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2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4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5.xml" ContentType="application/vnd.openxmlformats-officedocument.drawing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6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7.xml" ContentType="application/vnd.openxmlformats-officedocument.drawing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Wool (All)" sheetId="1" r:id="rId2"/>
    <sheet name="Graphs (All)" sheetId="2" r:id="rId3"/>
    <sheet name="Collective Graph (All)" sheetId="3" r:id="rId4"/>
    <sheet name="Wool (Adjusted)" sheetId="27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  <sheet name="Color Legend" sheetId="7" r:id="rId11"/>
  </sheets>
  <calcPr calcId="152511"/>
</workbook>
</file>

<file path=xl/calcChain.xml><?xml version="1.0" encoding="utf-8"?>
<calcChain xmlns="http://schemas.openxmlformats.org/spreadsheetml/2006/main">
  <c r="AQ6" i="27" l="1"/>
  <c r="AP6" i="27"/>
  <c r="AO6" i="27"/>
  <c r="AN6" i="27"/>
  <c r="AM6" i="27"/>
  <c r="DF6" i="1"/>
  <c r="G60" i="1" l="1"/>
  <c r="P78" i="27" l="1"/>
  <c r="L80" i="27"/>
  <c r="G80" i="27"/>
  <c r="AJ79" i="27"/>
  <c r="AA79" i="27"/>
  <c r="Y79" i="27"/>
  <c r="W79" i="27"/>
  <c r="V79" i="27"/>
  <c r="L79" i="27"/>
  <c r="G79" i="27"/>
  <c r="F79" i="27"/>
  <c r="E79" i="27"/>
  <c r="AI78" i="27"/>
  <c r="AH78" i="27"/>
  <c r="AJ78" i="27"/>
  <c r="AA78" i="27"/>
  <c r="Y78" i="27"/>
  <c r="W78" i="27"/>
  <c r="V78" i="27"/>
  <c r="L78" i="27"/>
  <c r="G78" i="27"/>
  <c r="F78" i="27"/>
  <c r="E78" i="27"/>
  <c r="AI77" i="27"/>
  <c r="AH77" i="27"/>
  <c r="AJ77" i="27"/>
  <c r="AE77" i="27"/>
  <c r="AC77" i="27"/>
  <c r="AA77" i="27"/>
  <c r="Y77" i="27"/>
  <c r="W77" i="27"/>
  <c r="V77" i="27"/>
  <c r="P77" i="27"/>
  <c r="L77" i="27"/>
  <c r="G77" i="27"/>
  <c r="F77" i="27"/>
  <c r="E77" i="27"/>
  <c r="AJ76" i="27"/>
  <c r="AE76" i="27"/>
  <c r="AC76" i="27"/>
  <c r="Y76" i="27"/>
  <c r="W76" i="27"/>
  <c r="V76" i="27"/>
  <c r="L76" i="27"/>
  <c r="G76" i="27"/>
  <c r="F76" i="27"/>
  <c r="E76" i="27"/>
  <c r="AH75" i="27"/>
  <c r="AJ75" i="27"/>
  <c r="AE75" i="27"/>
  <c r="AC75" i="27"/>
  <c r="Z75" i="27"/>
  <c r="Y75" i="27"/>
  <c r="X75" i="27"/>
  <c r="W75" i="27"/>
  <c r="V75" i="27"/>
  <c r="L75" i="27"/>
  <c r="G75" i="27"/>
  <c r="F75" i="27"/>
  <c r="E75" i="27"/>
  <c r="AI74" i="27"/>
  <c r="AH74" i="27"/>
  <c r="AJ74" i="27"/>
  <c r="AE74" i="27"/>
  <c r="AC74" i="27"/>
  <c r="Z74" i="27"/>
  <c r="Y74" i="27"/>
  <c r="X74" i="27"/>
  <c r="W74" i="27"/>
  <c r="V74" i="27"/>
  <c r="L74" i="27"/>
  <c r="G74" i="27"/>
  <c r="F74" i="27"/>
  <c r="E74" i="27"/>
  <c r="AE73" i="27"/>
  <c r="AC73" i="27"/>
  <c r="W73" i="27"/>
  <c r="V73" i="27"/>
  <c r="L73" i="27"/>
  <c r="G73" i="27"/>
  <c r="F73" i="27"/>
  <c r="E73" i="27"/>
  <c r="Y72" i="27"/>
  <c r="X72" i="27"/>
  <c r="W72" i="27"/>
  <c r="V72" i="27"/>
  <c r="L72" i="27"/>
  <c r="G72" i="27"/>
  <c r="F72" i="27"/>
  <c r="E72" i="27"/>
  <c r="Y71" i="27"/>
  <c r="X71" i="27"/>
  <c r="W71" i="27"/>
  <c r="V71" i="27"/>
  <c r="L71" i="27"/>
  <c r="G71" i="27"/>
  <c r="F71" i="27"/>
  <c r="E71" i="27"/>
  <c r="Y70" i="27"/>
  <c r="W70" i="27"/>
  <c r="V70" i="27"/>
  <c r="L70" i="27"/>
  <c r="G70" i="27"/>
  <c r="F70" i="27"/>
  <c r="E70" i="27"/>
  <c r="AK69" i="27"/>
  <c r="AC69" i="27"/>
  <c r="Y69" i="27"/>
  <c r="W69" i="27"/>
  <c r="V69" i="27"/>
  <c r="L69" i="27"/>
  <c r="G69" i="27"/>
  <c r="F69" i="27"/>
  <c r="E69" i="27"/>
  <c r="AK68" i="27"/>
  <c r="Y68" i="27"/>
  <c r="X68" i="27"/>
  <c r="L68" i="27"/>
  <c r="G68" i="27"/>
  <c r="F68" i="27"/>
  <c r="E68" i="27"/>
  <c r="AK67" i="27"/>
  <c r="Y67" i="27"/>
  <c r="X67" i="27"/>
  <c r="L67" i="27"/>
  <c r="G67" i="27"/>
  <c r="F67" i="27"/>
  <c r="E67" i="27"/>
  <c r="AK66" i="27"/>
  <c r="L66" i="27"/>
  <c r="G66" i="27"/>
  <c r="F66" i="27"/>
  <c r="E66" i="27"/>
  <c r="AK65" i="27"/>
  <c r="L65" i="27"/>
  <c r="G65" i="27"/>
  <c r="F65" i="27"/>
  <c r="E65" i="27"/>
  <c r="AK64" i="27"/>
  <c r="AB64" i="27"/>
  <c r="L64" i="27"/>
  <c r="G64" i="27"/>
  <c r="F64" i="27"/>
  <c r="E64" i="27"/>
  <c r="AK63" i="27"/>
  <c r="L63" i="27"/>
  <c r="G63" i="27"/>
  <c r="F63" i="27"/>
  <c r="E63" i="27"/>
  <c r="AL62" i="27"/>
  <c r="AK62" i="27"/>
  <c r="L62" i="27"/>
  <c r="G62" i="27"/>
  <c r="F62" i="27"/>
  <c r="AK61" i="27"/>
  <c r="AI61" i="27"/>
  <c r="Z61" i="27"/>
  <c r="L61" i="27"/>
  <c r="G61" i="27"/>
  <c r="F61" i="27"/>
  <c r="E61" i="27"/>
  <c r="AL60" i="27"/>
  <c r="AK60" i="27"/>
  <c r="AI60" i="27"/>
  <c r="AB60" i="27"/>
  <c r="AC60" i="27"/>
  <c r="L60" i="27"/>
  <c r="G60" i="27"/>
  <c r="F60" i="27"/>
  <c r="E60" i="27"/>
  <c r="AK59" i="27"/>
  <c r="AI59" i="27"/>
  <c r="AE59" i="27"/>
  <c r="AB59" i="27"/>
  <c r="L59" i="27"/>
  <c r="G59" i="27"/>
  <c r="E59" i="27"/>
  <c r="AL58" i="27"/>
  <c r="AK58" i="27"/>
  <c r="AI58" i="27"/>
  <c r="AE58" i="27"/>
  <c r="AB58" i="27"/>
  <c r="L58" i="27"/>
  <c r="G58" i="27"/>
  <c r="E58" i="27"/>
  <c r="AL57" i="27"/>
  <c r="AK57" i="27"/>
  <c r="AI57" i="27"/>
  <c r="L57" i="27"/>
  <c r="G57" i="27"/>
  <c r="E57" i="27"/>
  <c r="AL56" i="27"/>
  <c r="AI56" i="27"/>
  <c r="L56" i="27"/>
  <c r="G56" i="27"/>
  <c r="E56" i="27"/>
  <c r="AL55" i="27"/>
  <c r="AI55" i="27"/>
  <c r="L55" i="27"/>
  <c r="G55" i="27"/>
  <c r="E55" i="27"/>
  <c r="AL54" i="27"/>
  <c r="AI54" i="27"/>
  <c r="AH54" i="27"/>
  <c r="P54" i="27"/>
  <c r="L54" i="27"/>
  <c r="G54" i="27"/>
  <c r="E54" i="27"/>
  <c r="AI53" i="27"/>
  <c r="AH53" i="27"/>
  <c r="L53" i="27"/>
  <c r="AI52" i="27"/>
  <c r="AH52" i="27"/>
  <c r="P52" i="27"/>
  <c r="L52" i="27"/>
  <c r="AI51" i="27"/>
  <c r="AH51" i="27"/>
  <c r="L51" i="27"/>
  <c r="J51" i="27"/>
  <c r="I51" i="27"/>
  <c r="E51" i="27"/>
  <c r="AI50" i="27"/>
  <c r="AH50" i="27"/>
  <c r="L50" i="27"/>
  <c r="AH49" i="27"/>
  <c r="L49" i="27"/>
  <c r="AH48" i="27"/>
  <c r="L48" i="27"/>
  <c r="L47" i="27"/>
  <c r="L46" i="27"/>
  <c r="AE45" i="27"/>
  <c r="D45" i="27"/>
  <c r="L44" i="27"/>
  <c r="E44" i="27"/>
  <c r="AD43" i="27"/>
  <c r="L43" i="27"/>
  <c r="AD42" i="27"/>
  <c r="AC42" i="27"/>
  <c r="L42" i="27"/>
  <c r="E42" i="27"/>
  <c r="AB41" i="27"/>
  <c r="AC41" i="27"/>
  <c r="L41" i="27"/>
  <c r="D41" i="27"/>
  <c r="L40" i="27"/>
  <c r="E37" i="27"/>
  <c r="E36" i="27"/>
  <c r="D36" i="27"/>
  <c r="E35" i="27"/>
  <c r="E34" i="27"/>
  <c r="D34" i="27"/>
  <c r="E33" i="27"/>
  <c r="D33" i="27"/>
  <c r="H32" i="27"/>
  <c r="D32" i="27"/>
  <c r="H31" i="27"/>
  <c r="E31" i="27"/>
  <c r="D31" i="27"/>
  <c r="M30" i="27"/>
  <c r="L30" i="27"/>
  <c r="H30" i="27"/>
  <c r="P29" i="27"/>
  <c r="M29" i="27"/>
  <c r="H29" i="27"/>
  <c r="H28" i="27"/>
  <c r="M25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AP78" i="1" l="1"/>
  <c r="AP77" i="1"/>
  <c r="AP29" i="1"/>
  <c r="AP54" i="1"/>
  <c r="AP52" i="1"/>
  <c r="L51" i="1" l="1"/>
  <c r="M51" i="1"/>
  <c r="J80" i="1" l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K32" i="1"/>
  <c r="K31" i="1"/>
  <c r="K30" i="1"/>
  <c r="K29" i="1"/>
  <c r="K28" i="1"/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59" i="1"/>
  <c r="G58" i="1"/>
  <c r="G57" i="1"/>
  <c r="G56" i="1"/>
  <c r="G55" i="1"/>
  <c r="G54" i="1"/>
  <c r="G51" i="1"/>
  <c r="G44" i="1"/>
  <c r="G42" i="1"/>
  <c r="G37" i="1"/>
  <c r="G36" i="1"/>
  <c r="G35" i="1"/>
  <c r="G34" i="1"/>
  <c r="G33" i="1"/>
  <c r="G31" i="1"/>
  <c r="F45" i="1"/>
  <c r="F41" i="1"/>
  <c r="F36" i="1"/>
  <c r="F34" i="1"/>
  <c r="F33" i="1"/>
  <c r="F32" i="1"/>
  <c r="F31" i="1"/>
  <c r="U30" i="1" l="1"/>
  <c r="U29" i="1"/>
  <c r="U25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4" i="1"/>
  <c r="T43" i="1"/>
  <c r="T42" i="1"/>
  <c r="T41" i="1"/>
  <c r="T40" i="1"/>
  <c r="T30" i="1"/>
  <c r="CU61" i="1" l="1"/>
  <c r="CU60" i="1"/>
  <c r="CU59" i="1"/>
  <c r="CU58" i="1"/>
  <c r="CU57" i="1"/>
  <c r="CU69" i="1" l="1"/>
  <c r="CU68" i="1"/>
  <c r="CU67" i="1"/>
  <c r="CU66" i="1"/>
  <c r="CU65" i="1"/>
  <c r="CU64" i="1"/>
  <c r="CU63" i="1"/>
  <c r="CU62" i="1"/>
  <c r="CT79" i="1"/>
  <c r="CT78" i="1"/>
  <c r="CT77" i="1"/>
  <c r="CT76" i="1"/>
  <c r="CT75" i="1"/>
  <c r="CT74" i="1"/>
  <c r="CX78" i="1" l="1"/>
  <c r="CX77" i="1"/>
  <c r="CX74" i="1"/>
  <c r="CW78" i="1"/>
  <c r="CW77" i="1"/>
  <c r="CW75" i="1"/>
  <c r="CW74" i="1"/>
  <c r="BK79" i="1" l="1"/>
  <c r="BK78" i="1"/>
  <c r="BK77" i="1"/>
  <c r="BK76" i="1"/>
  <c r="BK75" i="1"/>
  <c r="BK74" i="1"/>
  <c r="BK73" i="1"/>
  <c r="BK72" i="1"/>
  <c r="BK71" i="1"/>
  <c r="BK70" i="1"/>
  <c r="BK69" i="1"/>
  <c r="BJ79" i="1"/>
  <c r="BJ78" i="1"/>
  <c r="BJ77" i="1"/>
  <c r="BJ76" i="1"/>
  <c r="BJ75" i="1"/>
  <c r="BJ74" i="1"/>
  <c r="BJ73" i="1"/>
  <c r="BJ72" i="1"/>
  <c r="BJ71" i="1"/>
  <c r="BJ70" i="1"/>
  <c r="BJ69" i="1"/>
  <c r="DA62" i="1" l="1"/>
  <c r="DA60" i="1"/>
  <c r="DA58" i="1"/>
  <c r="DA57" i="1"/>
  <c r="DA56" i="1"/>
  <c r="DA55" i="1"/>
  <c r="DA54" i="1"/>
  <c r="BN79" i="1" l="1"/>
  <c r="BN78" i="1"/>
  <c r="BN77" i="1"/>
  <c r="BN76" i="1"/>
  <c r="BN75" i="1"/>
  <c r="BN74" i="1"/>
  <c r="BN72" i="1"/>
  <c r="BN71" i="1"/>
  <c r="BN70" i="1"/>
  <c r="BN69" i="1"/>
  <c r="BN68" i="1"/>
  <c r="BN67" i="1"/>
  <c r="BM67" i="1"/>
  <c r="BM75" i="1"/>
  <c r="BM74" i="1"/>
  <c r="BM72" i="1"/>
  <c r="BM71" i="1"/>
  <c r="BM68" i="1"/>
  <c r="BQ75" i="1" l="1"/>
  <c r="BQ74" i="1"/>
  <c r="BQ61" i="1"/>
  <c r="BT79" i="1" l="1"/>
  <c r="BT78" i="1"/>
  <c r="BT77" i="1"/>
  <c r="BX64" i="1" l="1"/>
  <c r="BX60" i="1"/>
  <c r="BX59" i="1"/>
  <c r="BX58" i="1"/>
  <c r="BX41" i="1"/>
  <c r="BW69" i="1"/>
  <c r="BW60" i="1"/>
  <c r="BW42" i="1"/>
  <c r="BW41" i="1"/>
  <c r="BZ77" i="1" l="1"/>
  <c r="BZ76" i="1"/>
  <c r="BZ75" i="1"/>
  <c r="BZ74" i="1"/>
  <c r="BZ73" i="1"/>
  <c r="CD43" i="1" l="1"/>
  <c r="CD42" i="1"/>
  <c r="CF45" i="1" l="1"/>
  <c r="CF59" i="1"/>
  <c r="CF58" i="1"/>
  <c r="CF77" i="1"/>
  <c r="CF76" i="1"/>
  <c r="CF75" i="1"/>
  <c r="CF74" i="1"/>
  <c r="CF73" i="1"/>
  <c r="CR61" i="1" l="1"/>
  <c r="CR60" i="1"/>
  <c r="CR59" i="1"/>
  <c r="CR58" i="1"/>
  <c r="CR57" i="1"/>
  <c r="CR56" i="1"/>
  <c r="CR55" i="1"/>
  <c r="CR54" i="1"/>
  <c r="CR53" i="1"/>
  <c r="CR52" i="1"/>
  <c r="CR51" i="1"/>
  <c r="CR50" i="1"/>
  <c r="CQ54" i="1"/>
  <c r="CQ53" i="1"/>
  <c r="CQ52" i="1"/>
  <c r="CQ51" i="1"/>
  <c r="CQ50" i="1"/>
  <c r="CQ49" i="1"/>
  <c r="CQ48" i="1"/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C6" i="1"/>
  <c r="D6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comments1.xml><?xml version="1.0" encoding="utf-8"?>
<comments xmlns="http://schemas.openxmlformats.org/spreadsheetml/2006/main">
  <authors>
    <author>Author</author>
    <author>Rai Ghulam Mustafa</author>
  </authors>
  <commentList>
    <comment ref="CD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decline in prices is mainly due to the break out of an epidemic putting a stop to all trade during several months of the year and the Turco-Russian War</t>
        </r>
      </text>
    </comment>
    <comment ref="CQ4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2.40640712719986 sterling/bag.</t>
        </r>
      </text>
    </comment>
    <comment ref="CR4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2.36006150845379 sterling/bag.</t>
        </r>
      </text>
    </comment>
    <comment ref="AM5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=Quoted in sterling/kilo, Turkey is 0.234457370501587, and Constantinople is 0.0292193764986206.</t>
        </r>
      </text>
    </comment>
    <comment ref="AP5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=Quoted in sterling/kilo, Turkey is 0.234457370501587, and Constantinople is 0.0292193764986206.</t>
        </r>
      </text>
    </comment>
    <comment ref="CU5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CU58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CU5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to London and Marsailles while the other are to Europe and America.</t>
        </r>
      </text>
    </comment>
    <comment ref="CU60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CU61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CX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Only 23 cwts., high but reconfirmed from the reports.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Rai Ghulam Mustafa</author>
  </authors>
  <commentList>
    <comment ref="AD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decline in prices is mainly due to the break out of an epidemic putting a stop to all trade during several months of the year and the Turco-Russian War</t>
        </r>
      </text>
    </comment>
    <comment ref="AH4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2.40640712719986 sterling/bag.</t>
        </r>
      </text>
    </comment>
    <comment ref="AI4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2.36006150845379 sterling/bag.</t>
        </r>
      </text>
    </comment>
    <comment ref="P5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=Quoted in sterling/kilo, Turkey is 0.234457370501587, and Constantinople is 0.0292193764986206.</t>
        </r>
      </text>
    </comment>
    <comment ref="AK5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AK58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AK5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E60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to London and Marsailles while the other are to Europe and America.</t>
        </r>
      </text>
    </comment>
    <comment ref="AK60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AK61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bundle; converted using 1 bale = 1 bundle approximation.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  <comment ref="AI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
Only 23 cwts., high but reconfirmed from the reports.</t>
        </r>
      </text>
    </comment>
    <comment ref="AH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  <comment ref="AH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  <comment ref="AI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  <comment ref="AH78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  <comment ref="AI78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Lingah.</t>
        </r>
      </text>
    </comment>
  </commentList>
</comments>
</file>

<file path=xl/sharedStrings.xml><?xml version="1.0" encoding="utf-8"?>
<sst xmlns="http://schemas.openxmlformats.org/spreadsheetml/2006/main" count="690" uniqueCount="63">
  <si>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</si>
  <si>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</si>
  <si>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</si>
  <si>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</si>
  <si>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</si>
  <si>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</si>
  <si>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</si>
  <si>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</si>
  <si>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</si>
  <si>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</si>
  <si>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</si>
  <si>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</si>
  <si>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</si>
  <si>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</si>
  <si>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</si>
  <si>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</si>
  <si>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</si>
  <si>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</si>
  <si>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</si>
  <si>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</si>
  <si>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</si>
  <si>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</si>
  <si>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</si>
  <si>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</si>
  <si>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</si>
  <si>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</si>
  <si>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</si>
  <si>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</si>
  <si>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</si>
  <si>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</si>
  <si>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</si>
  <si>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</si>
  <si>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</si>
  <si>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</si>
  <si>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</si>
  <si>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</si>
  <si>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</si>
  <si>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</si>
  <si>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</si>
  <si>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</si>
  <si>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</si>
  <si>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</si>
  <si>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Turkey &amp; Constantinople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</si>
  <si>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</si>
  <si>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</si>
  <si>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UK (London)</t>
  </si>
  <si>
    <t>Aleppo</t>
  </si>
  <si>
    <t>Odessa</t>
  </si>
  <si>
    <t>Alexandria</t>
  </si>
  <si>
    <t>Istanbul (Rumeli)</t>
  </si>
  <si>
    <t>Istanbul (Anatolia)</t>
  </si>
  <si>
    <t/>
  </si>
  <si>
    <t>pound/ton</t>
  </si>
  <si>
    <t>Converted unit into pound/ton</t>
  </si>
  <si>
    <t>Wool</t>
  </si>
  <si>
    <t>Resht &amp; Mazandaran</t>
  </si>
  <si>
    <t>Muscat &amp; Lingah</t>
  </si>
  <si>
    <t>There are important issues regarding the accuracy of the returns in view of their provenance and the incentives to underreport values and evade taxation.</t>
  </si>
  <si>
    <t>India</t>
  </si>
  <si>
    <t>Bombay</t>
  </si>
  <si>
    <t>Karachi</t>
  </si>
  <si>
    <t>India (Average)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</si>
  <si>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Wool </t>
    </r>
    <r>
      <rPr>
        <sz val="10"/>
        <rFont val="Arial"/>
        <family val="2"/>
      </rPr>
      <t xml:space="preserve">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</si>
</sst>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&quot;?&quot;;\-#,##0&quot;?&quot;"/>
    <numFmt numFmtId="165" formatCode="0.0000"/>
    <numFmt numFmtId="167" formatCode="_(* #,##0.0000_);_(* \(#,##0.0000\);_(* &quot;-&quot;??_);_(@_)"/>
  </numFmts>
  <fonts count="35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1"/>
      <color theme="1"/>
      <name val="Calibri"/>
      <family val="2"/>
      <scheme val="mino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1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6" fillId="0" borderId="0">
      <alignment vertical="top"/>
    </xf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3" borderId="0" applyNumberFormat="0" applyFont="0" applyFill="0" applyProtection="0"/>
    <xf numFmtId="0" fontId="16" fillId="4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5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6" borderId="0" applyNumberFormat="0" applyFont="0" applyFill="0" applyProtection="0"/>
    <xf numFmtId="0" fontId="18" fillId="2" borderId="0" applyNumberFormat="0" applyFont="0" applyFill="0" applyProtection="0"/>
    <xf numFmtId="0" fontId="18" fillId="2" borderId="0" applyNumberFormat="0" applyFont="0" applyFill="0" applyProtection="0"/>
    <xf numFmtId="0" fontId="18" fillId="5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9" borderId="0" applyNumberFormat="0" applyFont="0" applyFill="0" applyProtection="0"/>
    <xf numFmtId="0" fontId="18" fillId="4" borderId="0" applyNumberFormat="0" applyFont="0" applyFill="0" applyProtection="0"/>
    <xf numFmtId="0" fontId="18" fillId="4" borderId="0" applyNumberFormat="0" applyFont="0" applyFill="0" applyProtection="0"/>
    <xf numFmtId="0" fontId="18" fillId="10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11" borderId="0" applyNumberFormat="0" applyFont="0" applyFill="0" applyProtection="0"/>
    <xf numFmtId="0" fontId="19" fillId="2" borderId="0" applyNumberFormat="0" applyFont="0" applyFill="0" applyProtection="0"/>
    <xf numFmtId="0" fontId="20" fillId="8" borderId="2" applyNumberFormat="0" applyFont="0" applyProtection="0"/>
    <xf numFmtId="0" fontId="21" fillId="11" borderId="3" applyNumberFormat="0" applyFont="0" applyProtection="0"/>
    <xf numFmtId="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 applyNumberFormat="0" applyFont="0" applyFill="0" applyAlignment="0" applyProtection="0"/>
    <xf numFmtId="0" fontId="23" fillId="2" borderId="0" applyNumberFormat="0" applyFont="0" applyFill="0" applyProtection="0"/>
    <xf numFmtId="0" fontId="24" fillId="0" borderId="4" applyNumberFormat="0" applyFont="0" applyAlignment="0" applyProtection="0"/>
    <xf numFmtId="0" fontId="25" fillId="0" borderId="4" applyNumberFormat="0" applyFont="0" applyAlignment="0" applyProtection="0"/>
    <xf numFmtId="0" fontId="26" fillId="0" borderId="5" applyNumberFormat="0" applyFont="0" applyAlignment="0" applyProtection="0"/>
    <xf numFmtId="0" fontId="26" fillId="0" borderId="0" applyNumberFormat="0" applyFont="0" applyFill="0" applyAlignment="0" applyProtection="0"/>
    <xf numFmtId="0" fontId="27" fillId="4" borderId="2" applyNumberFormat="0" applyFont="0" applyProtection="0"/>
    <xf numFmtId="0" fontId="28" fillId="0" borderId="6" applyNumberFormat="0" applyFont="0" applyAlignment="0" applyProtection="0"/>
    <xf numFmtId="0" fontId="29" fillId="2" borderId="0" applyNumberFormat="0" applyFont="0" applyFill="0" applyProtection="0"/>
    <xf numFmtId="0" fontId="16" fillId="4" borderId="7" applyNumberFormat="0" applyFont="0" applyBorder="0" applyProtection="0"/>
    <xf numFmtId="0" fontId="30" fillId="8" borderId="7" applyNumberFormat="0" applyFont="0" applyProtection="0"/>
    <xf numFmtId="0" fontId="31" fillId="0" borderId="0" applyNumberFormat="0" applyFont="0" applyFill="0" applyAlignment="0" applyProtection="0"/>
    <xf numFmtId="0" fontId="17" fillId="0" borderId="8" applyNumberFormat="0" applyFont="0" applyAlignment="0" applyProtection="0"/>
    <xf numFmtId="0" fontId="32" fillId="0" borderId="0" applyNumberFormat="0" applyFont="0" applyFill="0" applyAlignment="0" applyProtection="0"/>
    <xf numFmtId="43" fontId="34" fillId="0" borderId="0" applyFont="0" applyFill="0" applyBorder="0" applyAlignment="0" applyProtection="0"/>
  </cellStyleXfs>
  <cellXfs count="17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0" borderId="0" xfId="0" applyFont="1" applyAlignment="1"/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6" fillId="0" borderId="0" xfId="10" applyAlignment="1"/>
    <xf numFmtId="0" fontId="13" fillId="0" borderId="0" xfId="0" applyFont="1" applyAlignment="1"/>
    <xf numFmtId="0" fontId="0" fillId="0" borderId="0" xfId="0" applyFill="1" applyAlignment="1"/>
    <xf numFmtId="0" fontId="15" fillId="0" borderId="0" xfId="0" applyFont="1" applyAlignment="1"/>
    <xf numFmtId="1" fontId="0" fillId="0" borderId="0" xfId="0" applyNumberFormat="1" applyAlignment="1"/>
    <xf numFmtId="167" fontId="0" fillId="0" borderId="0" xfId="60" applyNumberFormat="1" applyFont="1" applyAlignment="1"/>
  </cellXfs>
  <cellStyles count="6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60" builtinId="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 (London),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(All)'!$D$7:$D$107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(All)'!$D$7:$D$107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57248"/>
        <c:axId val="182356688"/>
      </c:scatterChart>
      <c:valAx>
        <c:axId val="18235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56688"/>
        <c:crosses val="autoZero"/>
        <c:crossBetween val="midCat"/>
        <c:majorUnit val="5"/>
      </c:valAx>
      <c:valAx>
        <c:axId val="18235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5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(All)'!$I$7:$I$107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(All)'!$I$7:$I$107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54800"/>
        <c:axId val="353853120"/>
      </c:scatterChart>
      <c:valAx>
        <c:axId val="353854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3120"/>
        <c:crosses val="autoZero"/>
        <c:crossBetween val="midCat"/>
        <c:majorUnit val="5"/>
      </c:valAx>
      <c:valAx>
        <c:axId val="35385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4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(All)'!$DE$7:$DE$107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(All)'!$DE$7:$DE$107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91840"/>
        <c:axId val="237992400"/>
      </c:scatterChart>
      <c:valAx>
        <c:axId val="2379918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92400"/>
        <c:crosses val="autoZero"/>
        <c:crossBetween val="midCat"/>
        <c:majorUnit val="5"/>
      </c:valAx>
      <c:valAx>
        <c:axId val="2379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91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(All)'!$AI$7:$AI$107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(All)'!$AI$7:$AI$107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03920"/>
        <c:axId val="406904480"/>
      </c:scatterChart>
      <c:valAx>
        <c:axId val="4069039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04480"/>
        <c:crosses val="autoZero"/>
        <c:crossBetween val="midCat"/>
        <c:majorUnit val="5"/>
      </c:valAx>
      <c:valAx>
        <c:axId val="40690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039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(All)'!$AJ$7:$AJ$107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(All)'!$AJ$7:$AJ$107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07280"/>
        <c:axId val="406907840"/>
      </c:scatterChart>
      <c:valAx>
        <c:axId val="406907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07840"/>
        <c:crosses val="autoZero"/>
        <c:crossBetween val="midCat"/>
        <c:majorUnit val="5"/>
      </c:valAx>
      <c:valAx>
        <c:axId val="4069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07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(All)'!$AK$7:$AK$107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(All)'!$AK$7:$AK$107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10640"/>
        <c:axId val="406911200"/>
      </c:scatterChart>
      <c:valAx>
        <c:axId val="4069106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1200"/>
        <c:crosses val="autoZero"/>
        <c:crossBetween val="midCat"/>
        <c:majorUnit val="5"/>
      </c:valAx>
      <c:valAx>
        <c:axId val="40691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0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'Wheat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14000"/>
        <c:axId val="406914560"/>
      </c:scatterChart>
      <c:valAx>
        <c:axId val="4069140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4560"/>
        <c:crosses val="autoZero"/>
        <c:crossBetween val="midCat"/>
        <c:majorUnit val="5"/>
      </c:valAx>
      <c:valAx>
        <c:axId val="40691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4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Odessa,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(All)'!$E$7:$E$107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(All)'!$E$7:$E$107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17360"/>
        <c:axId val="406917920"/>
      </c:scatterChart>
      <c:valAx>
        <c:axId val="406917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7920"/>
        <c:crosses val="autoZero"/>
        <c:crossBetween val="midCat"/>
        <c:majorUnit val="5"/>
      </c:valAx>
      <c:valAx>
        <c:axId val="4069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17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Aleppo,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(All)'!$R$7:$R$107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(All)'!$R$7:$R$107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20720"/>
        <c:axId val="406921280"/>
      </c:scatterChart>
      <c:valAx>
        <c:axId val="406920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21280"/>
        <c:crosses val="autoZero"/>
        <c:crossBetween val="midCat"/>
        <c:majorUnit val="5"/>
      </c:valAx>
      <c:valAx>
        <c:axId val="40692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20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Alexandria,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(All)'!$AB$7:$AB$107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(All)'!$AB$7:$AB$107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24080"/>
        <c:axId val="406924640"/>
      </c:scatterChart>
      <c:valAx>
        <c:axId val="406924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24640"/>
        <c:crosses val="autoZero"/>
        <c:crossBetween val="midCat"/>
        <c:majorUnit val="5"/>
      </c:valAx>
      <c:valAx>
        <c:axId val="40692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924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 (Average),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(All)'!$DF$7:$DF$107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(All)'!$DF$7:$DF$107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005312"/>
        <c:axId val="589003632"/>
      </c:scatterChart>
      <c:valAx>
        <c:axId val="58900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9003632"/>
        <c:crosses val="autoZero"/>
        <c:crossBetween val="midCat"/>
        <c:majorUnit val="5"/>
      </c:valAx>
      <c:valAx>
        <c:axId val="5890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900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Wool,</a:t>
            </a:r>
            <a:r>
              <a:rPr lang="en-US" sz="2000" b="1" baseline="0">
                <a:solidFill>
                  <a:schemeClr val="tx1"/>
                </a:solidFill>
              </a:rPr>
              <a:t> </a:t>
            </a:r>
            <a:r>
              <a:rPr lang="en-US" sz="2000" b="1">
                <a:solidFill>
                  <a:schemeClr val="tx1"/>
                </a:solidFill>
              </a:rPr>
              <a:t>in pound/ton</a:t>
            </a: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'Wool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'Wool (All)'!$D$6</c:f>
              <c:strCache>
                <c:ptCount val="1"/>
                <c:pt idx="0">
                  <c:v>UK (London), 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(All)'!$D$7:$D$107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"/>
          <c:order val="2"/>
          <c:tx>
            <c:strRef>
              <c:f>'Wool (All)'!$F$6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(All)'!$F$7:$F$107</c:f>
              <c:numCache>
                <c:formatCode>0.0000</c:formatCode>
                <c:ptCount val="82"/>
                <c:pt idx="14">
                  <c:v>54.999458292249408</c:v>
                </c:pt>
                <c:pt idx="15">
                  <c:v>26.795419684763967</c:v>
                </c:pt>
                <c:pt idx="16">
                  <c:v>57.512123899509433</c:v>
                </c:pt>
                <c:pt idx="17">
                  <c:v>43.256832213441953</c:v>
                </c:pt>
                <c:pt idx="19">
                  <c:v>215.67046462316031</c:v>
                </c:pt>
                <c:pt idx="24">
                  <c:v>27.348254842429697</c:v>
                </c:pt>
                <c:pt idx="28">
                  <c:v>33.909171861086371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'Wool (All)'!$G$6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'Wool (All)'!$H$6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(All)'!$H$7:$H$107</c:f>
              <c:numCache>
                <c:formatCode>0.0000</c:formatCode>
                <c:ptCount val="82"/>
                <c:pt idx="43">
                  <c:v>47.917150326797469</c:v>
                </c:pt>
                <c:pt idx="44">
                  <c:v>49.411764705882433</c:v>
                </c:pt>
                <c:pt idx="45">
                  <c:v>39.957008480626271</c:v>
                </c:pt>
                <c:pt idx="46">
                  <c:v>46.700714694783741</c:v>
                </c:pt>
                <c:pt idx="47">
                  <c:v>39.539645555320291</c:v>
                </c:pt>
                <c:pt idx="48">
                  <c:v>41.516627833086112</c:v>
                </c:pt>
                <c:pt idx="49">
                  <c:v>28.754108906619038</c:v>
                </c:pt>
                <c:pt idx="50">
                  <c:v>38.431372549019521</c:v>
                </c:pt>
                <c:pt idx="51">
                  <c:v>39.803921568627551</c:v>
                </c:pt>
                <c:pt idx="52">
                  <c:v>41.176470588235361</c:v>
                </c:pt>
                <c:pt idx="53">
                  <c:v>47.490196078431453</c:v>
                </c:pt>
                <c:pt idx="54">
                  <c:v>50.46405228758163</c:v>
                </c:pt>
                <c:pt idx="55">
                  <c:v>52.156862745098046</c:v>
                </c:pt>
                <c:pt idx="56">
                  <c:v>64.784313725490236</c:v>
                </c:pt>
                <c:pt idx="57">
                  <c:v>52.545715032679681</c:v>
                </c:pt>
                <c:pt idx="58">
                  <c:v>43.647058823529505</c:v>
                </c:pt>
                <c:pt idx="59">
                  <c:v>43.921568627450981</c:v>
                </c:pt>
                <c:pt idx="60">
                  <c:v>58.264705882352928</c:v>
                </c:pt>
                <c:pt idx="61">
                  <c:v>54.352941176470495</c:v>
                </c:pt>
                <c:pt idx="62">
                  <c:v>58.882352941176357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'Wool (All)'!$I$6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(All)'!$I$7:$I$107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1"/>
          <c:order val="6"/>
          <c:tx>
            <c:strRef>
              <c:f>'Wool (All)'!$J$6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(All)'!$J$7:$J$107</c:f>
              <c:numCache>
                <c:formatCode>0.0000</c:formatCode>
                <c:ptCount val="82"/>
                <c:pt idx="37">
                  <c:v>64.65782296057526</c:v>
                </c:pt>
                <c:pt idx="38">
                  <c:v>55.947071567309216</c:v>
                </c:pt>
                <c:pt idx="39">
                  <c:v>58.65411756245328</c:v>
                </c:pt>
                <c:pt idx="40">
                  <c:v>56.249045964316799</c:v>
                </c:pt>
                <c:pt idx="41">
                  <c:v>56.867153719994022</c:v>
                </c:pt>
                <c:pt idx="42">
                  <c:v>53.333333333333314</c:v>
                </c:pt>
                <c:pt idx="43">
                  <c:v>58.797589298838652</c:v>
                </c:pt>
                <c:pt idx="44">
                  <c:v>40.000000000000099</c:v>
                </c:pt>
                <c:pt idx="45">
                  <c:v>41.999925503780609</c:v>
                </c:pt>
                <c:pt idx="46">
                  <c:v>40.000000000000099</c:v>
                </c:pt>
                <c:pt idx="47">
                  <c:v>45.32046288027059</c:v>
                </c:pt>
                <c:pt idx="48">
                  <c:v>40.000000000000099</c:v>
                </c:pt>
                <c:pt idx="49">
                  <c:v>40.000401533859424</c:v>
                </c:pt>
                <c:pt idx="50">
                  <c:v>40.000000000000099</c:v>
                </c:pt>
                <c:pt idx="51">
                  <c:v>40.000000000000099</c:v>
                </c:pt>
                <c:pt idx="52">
                  <c:v>40.000000000000099</c:v>
                </c:pt>
                <c:pt idx="53">
                  <c:v>40.000000000000099</c:v>
                </c:pt>
                <c:pt idx="54">
                  <c:v>40.000000000000099</c:v>
                </c:pt>
                <c:pt idx="55">
                  <c:v>41.70984056891993</c:v>
                </c:pt>
                <c:pt idx="56">
                  <c:v>41.999865747033823</c:v>
                </c:pt>
                <c:pt idx="57">
                  <c:v>43.333333333333343</c:v>
                </c:pt>
                <c:pt idx="58">
                  <c:v>46.666666666666593</c:v>
                </c:pt>
                <c:pt idx="59">
                  <c:v>46.666666666666593</c:v>
                </c:pt>
                <c:pt idx="60">
                  <c:v>46.683230728174657</c:v>
                </c:pt>
                <c:pt idx="61">
                  <c:v>46.666666666666593</c:v>
                </c:pt>
                <c:pt idx="62">
                  <c:v>46.666666666666593</c:v>
                </c:pt>
                <c:pt idx="63">
                  <c:v>46.666666666666593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'Wool (All)'!$K$6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(All)'!$K$7:$K$107</c:f>
              <c:numCache>
                <c:formatCode>0.0000</c:formatCode>
                <c:ptCount val="82"/>
                <c:pt idx="11">
                  <c:v>121.33333333333341</c:v>
                </c:pt>
                <c:pt idx="12">
                  <c:v>126</c:v>
                </c:pt>
                <c:pt idx="13">
                  <c:v>126</c:v>
                </c:pt>
                <c:pt idx="14">
                  <c:v>298.66666666666589</c:v>
                </c:pt>
                <c:pt idx="15">
                  <c:v>168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'Wool (All)'!$L$6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(All)'!$L$7:$L$107</c:f>
              <c:numCache>
                <c:formatCode>0.0000</c:formatCode>
                <c:ptCount val="82"/>
                <c:pt idx="34">
                  <c:v>30.909090909091002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'Wool (All)'!$M$6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(All)'!$M$7:$M$107</c:f>
              <c:numCache>
                <c:formatCode>0.0000</c:formatCode>
                <c:ptCount val="82"/>
                <c:pt idx="34">
                  <c:v>32.727272727272798</c:v>
                </c:pt>
              </c:numCache>
            </c:numRef>
          </c:val>
          <c:smooth val="0"/>
        </c:ser>
        <c:ser>
          <c:idx val="19"/>
          <c:order val="10"/>
          <c:tx>
            <c:strRef>
              <c:f>'Wool (All)'!$N$6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(All)'!$N$7:$N$107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21"/>
          <c:order val="11"/>
          <c:tx>
            <c:strRef>
              <c:f>'Wool (All)'!$S$6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(All)'!$S$7:$S$107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23"/>
          <c:order val="12"/>
          <c:tx>
            <c:strRef>
              <c:f>'Wool (All)'!$T$6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(All)'!$T$7:$T$107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'Wool (All)'!$U$6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(All)'!$U$7:$U$107</c:f>
              <c:numCache>
                <c:formatCode>0.0000</c:formatCode>
                <c:ptCount val="82"/>
                <c:pt idx="8">
                  <c:v>39.059389423624644</c:v>
                </c:pt>
                <c:pt idx="12">
                  <c:v>62.580136688193377</c:v>
                </c:pt>
                <c:pt idx="13">
                  <c:v>61.09753166238422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'Wool (All)'!$W$6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(All)'!$W$7:$W$107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val>
          <c:smooth val="0"/>
        </c:ser>
        <c:ser>
          <c:idx val="31"/>
          <c:order val="15"/>
          <c:tx>
            <c:strRef>
              <c:f>'Wool (All)'!$X$6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(All)'!$X$7:$X$107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33"/>
          <c:order val="16"/>
          <c:tx>
            <c:strRef>
              <c:f>'Wool (All)'!$Y$6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(All)'!$Y$7:$Y$107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35"/>
          <c:order val="17"/>
          <c:tx>
            <c:strRef>
              <c:f>'Wool (All)'!$Z$6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(All)'!$Z$7:$Z$107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val>
          <c:smooth val="0"/>
        </c:ser>
        <c:ser>
          <c:idx val="37"/>
          <c:order val="18"/>
          <c:tx>
            <c:strRef>
              <c:f>'Wool (All)'!$AA$6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(All)'!$AA$7:$AA$107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38"/>
          <c:order val="19"/>
          <c:tx>
            <c:strRef>
              <c:f>'Wool (All)'!$AC$6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(All)'!$AC$7:$AC$107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0"/>
          <c:order val="20"/>
          <c:tx>
            <c:strRef>
              <c:f>'Wool (All)'!$AD$6</c:f>
              <c:strCache>
                <c:ptCount val="1"/>
                <c:pt idx="0">
                  <c:v>Istanbul (Rumeli),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(All)'!$AD$7:$AD$107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2"/>
          <c:order val="21"/>
          <c:tx>
            <c:strRef>
              <c:f>'Wool (All)'!$AE$6</c:f>
              <c:strCache>
                <c:ptCount val="1"/>
                <c:pt idx="0">
                  <c:v>Istanbul (Rumeli),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(All)'!$AE$7:$AE$107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3"/>
          <c:order val="22"/>
          <c:tx>
            <c:strRef>
              <c:f>'Wool (All)'!$AF$6</c:f>
              <c:strCache>
                <c:ptCount val="1"/>
                <c:pt idx="0">
                  <c:v>Istanbul (Anatolia),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(All)'!$AF$7:$AF$107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5"/>
          <c:order val="23"/>
          <c:tx>
            <c:strRef>
              <c:f>'Wool (All)'!$AG$6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(All)'!$AG$7:$AG$107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7"/>
          <c:order val="24"/>
          <c:tx>
            <c:strRef>
              <c:f>'Wool (All)'!$AH$6</c:f>
              <c:strCache>
                <c:ptCount val="1"/>
                <c:pt idx="0">
                  <c:v>Istanbul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(All)'!$AH$7:$AH$107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49"/>
          <c:order val="25"/>
          <c:tx>
            <c:strRef>
              <c:f>'Wool (All)'!$AL$6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(All)'!$AL$7:$AL$107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51"/>
          <c:order val="26"/>
          <c:tx>
            <c:strRef>
              <c:f>'Wool (All)'!$AM$6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(All)'!$AM$7:$AM$107</c:f>
              <c:numCache>
                <c:formatCode>0.0000</c:formatCode>
                <c:ptCount val="82"/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61">
                  <c:v>55.551500109497042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'Wool (All)'!$AN$6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(All)'!$AN$7:$AN$107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55"/>
          <c:order val="28"/>
          <c:tx>
            <c:strRef>
              <c:f>'Wool (All)'!$AO$6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(All)'!$AO$7:$AO$107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'Wool (All)'!$AP$6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(All)'!$AP$7:$AP$107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57">
                  <c:v>42.25352112676056</c:v>
                </c:pt>
                <c:pt idx="60">
                  <c:v>56</c:v>
                </c:pt>
                <c:pt idx="61">
                  <c:v>58.333333333333407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'Wool (All)'!$AQ$6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(All)'!$AQ$7:$AQ$107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61"/>
          <c:order val="31"/>
          <c:tx>
            <c:strRef>
              <c:f>'Wool (All)'!$AR$6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(All)'!$AR$7:$AR$107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63"/>
          <c:order val="32"/>
          <c:tx>
            <c:strRef>
              <c:f>'Wool (All)'!$AS$6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(All)'!$AS$7:$AS$107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65"/>
          <c:order val="33"/>
          <c:tx>
            <c:strRef>
              <c:f>'Wool (All)'!$AT$6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(All)'!$AT$7:$AT$107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67"/>
          <c:order val="34"/>
          <c:tx>
            <c:strRef>
              <c:f>'Wool (All)'!$AU$6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(All)'!$AU$7:$AU$107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69"/>
          <c:order val="35"/>
          <c:tx>
            <c:strRef>
              <c:f>'Wool (All)'!$AV$6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(All)'!$AV$7:$AV$107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71"/>
          <c:order val="36"/>
          <c:tx>
            <c:strRef>
              <c:f>'Wool (All)'!$AW$6</c:f>
              <c:strCache>
                <c:ptCount val="1"/>
                <c:pt idx="0">
                  <c:v>Trebizond (Persia),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(All)'!$AW$7:$AW$107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73"/>
          <c:order val="37"/>
          <c:tx>
            <c:strRef>
              <c:f>'Wool (All)'!$AX$6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(All)'!$AX$7:$AX$107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75"/>
          <c:order val="38"/>
          <c:tx>
            <c:strRef>
              <c:f>'Wool (All)'!$AY$6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(All)'!$AY$7:$AY$107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val>
          <c:smooth val="0"/>
        </c:ser>
        <c:ser>
          <c:idx val="77"/>
          <c:order val="39"/>
          <c:tx>
            <c:strRef>
              <c:f>'Wool (All)'!$AZ$6</c:f>
              <c:strCache>
                <c:ptCount val="1"/>
                <c:pt idx="0">
                  <c:v>Izmir,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(All)'!$AZ$7:$AZ$107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79"/>
          <c:order val="40"/>
          <c:tx>
            <c:strRef>
              <c:f>'Wool (All)'!$BA$6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(All)'!$BA$7:$BA$107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81"/>
          <c:order val="41"/>
          <c:tx>
            <c:strRef>
              <c:f>'Wool (All)'!$BB$6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(All)'!$BB$7:$BB$107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val>
          <c:smooth val="0"/>
        </c:ser>
        <c:ser>
          <c:idx val="83"/>
          <c:order val="42"/>
          <c:tx>
            <c:strRef>
              <c:f>'Wool (All)'!$BC$6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(All)'!$BC$7:$BC$107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85"/>
          <c:order val="43"/>
          <c:tx>
            <c:strRef>
              <c:f>'Wool (All)'!$BD$6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(All)'!$BD$7:$BD$107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87"/>
          <c:order val="44"/>
          <c:tx>
            <c:strRef>
              <c:f>'Wool (All)'!$BE$6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(All)'!$BE$7:$BE$107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89"/>
          <c:order val="45"/>
          <c:tx>
            <c:strRef>
              <c:f>'Wool (All)'!$BF$6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(All)'!$BF$7:$BF$107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91"/>
          <c:order val="46"/>
          <c:tx>
            <c:strRef>
              <c:f>'Wool (All)'!$BG$6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(All)'!$BG$7:$BG$107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93"/>
          <c:order val="47"/>
          <c:tx>
            <c:strRef>
              <c:f>'Wool (All)'!$BH$6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(All)'!$BH$7:$BH$107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95"/>
          <c:order val="48"/>
          <c:tx>
            <c:strRef>
              <c:f>'Wool (All)'!$BI$6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(All)'!$BI$7:$BI$107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97"/>
          <c:order val="49"/>
          <c:tx>
            <c:strRef>
              <c:f>'Wool (All)'!$BJ$6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(All)'!$BJ$7:$BJ$107</c:f>
              <c:numCache>
                <c:formatCode>0.0000</c:formatCode>
                <c:ptCount val="82"/>
                <c:pt idx="52">
                  <c:v>31.706341511779424</c:v>
                </c:pt>
                <c:pt idx="53">
                  <c:v>62.461918627256068</c:v>
                </c:pt>
                <c:pt idx="54">
                  <c:v>52.797346129496411</c:v>
                </c:pt>
                <c:pt idx="55">
                  <c:v>52.035053554040928</c:v>
                </c:pt>
                <c:pt idx="56">
                  <c:v>48.211844685692348</c:v>
                </c:pt>
                <c:pt idx="57">
                  <c:v>48.508768197428893</c:v>
                </c:pt>
                <c:pt idx="58">
                  <c:v>39.5081897570089</c:v>
                </c:pt>
                <c:pt idx="59">
                  <c:v>44.962979329537916</c:v>
                </c:pt>
                <c:pt idx="60">
                  <c:v>44.600791294351716</c:v>
                </c:pt>
                <c:pt idx="61">
                  <c:v>33.487416613988962</c:v>
                </c:pt>
                <c:pt idx="62">
                  <c:v>53.804861045093091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'Wool (All)'!$BK$6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(All)'!$BK$7:$BK$107</c:f>
              <c:numCache>
                <c:formatCode>0.0000</c:formatCode>
                <c:ptCount val="82"/>
                <c:pt idx="52">
                  <c:v>30.517673333695967</c:v>
                </c:pt>
                <c:pt idx="53">
                  <c:v>42.596128972897922</c:v>
                </c:pt>
                <c:pt idx="54">
                  <c:v>39.231314264857346</c:v>
                </c:pt>
                <c:pt idx="55">
                  <c:v>49.271436338631808</c:v>
                </c:pt>
                <c:pt idx="56">
                  <c:v>51.496072851061435</c:v>
                </c:pt>
                <c:pt idx="57">
                  <c:v>58.367382684869888</c:v>
                </c:pt>
                <c:pt idx="58">
                  <c:v>45.875889159167649</c:v>
                </c:pt>
                <c:pt idx="59">
                  <c:v>40.913794455136291</c:v>
                </c:pt>
                <c:pt idx="60">
                  <c:v>47.153481054084381</c:v>
                </c:pt>
                <c:pt idx="61">
                  <c:v>56.270599046557955</c:v>
                </c:pt>
                <c:pt idx="62">
                  <c:v>63.665387441822432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'Wool (All)'!$BL$6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(All)'!$BL$7:$BL$107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03"/>
          <c:order val="52"/>
          <c:tx>
            <c:strRef>
              <c:f>'Wool (All)'!$BM$6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(All)'!$BM$7:$BM$107</c:f>
              <c:numCache>
                <c:formatCode>0.0000</c:formatCode>
                <c:ptCount val="82"/>
                <c:pt idx="50">
                  <c:v>38.909808140577404</c:v>
                </c:pt>
                <c:pt idx="51">
                  <c:v>44.693815987933604</c:v>
                </c:pt>
                <c:pt idx="54">
                  <c:v>67.342766665330402</c:v>
                </c:pt>
                <c:pt idx="55">
                  <c:v>43.291361639824402</c:v>
                </c:pt>
                <c:pt idx="57">
                  <c:v>58.75</c:v>
                </c:pt>
                <c:pt idx="58">
                  <c:v>64.5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'Wool (All)'!$BN$6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(All)'!$BN$7:$BN$107</c:f>
              <c:numCache>
                <c:formatCode>0.0000</c:formatCode>
                <c:ptCount val="82"/>
                <c:pt idx="50">
                  <c:v>26.965327303845399</c:v>
                </c:pt>
                <c:pt idx="51">
                  <c:v>23.960086530171999</c:v>
                </c:pt>
                <c:pt idx="52">
                  <c:v>21.364779328882403</c:v>
                </c:pt>
                <c:pt idx="53">
                  <c:v>30.675045380991598</c:v>
                </c:pt>
                <c:pt idx="54">
                  <c:v>39.641547047340403</c:v>
                </c:pt>
                <c:pt idx="55">
                  <c:v>37.4080190582984</c:v>
                </c:pt>
                <c:pt idx="57">
                  <c:v>47.751760275094199</c:v>
                </c:pt>
                <c:pt idx="58">
                  <c:v>40.283960092095199</c:v>
                </c:pt>
                <c:pt idx="59">
                  <c:v>39.936766034327</c:v>
                </c:pt>
                <c:pt idx="60">
                  <c:v>37.954086781029204</c:v>
                </c:pt>
                <c:pt idx="61">
                  <c:v>46.011423131841994</c:v>
                </c:pt>
                <c:pt idx="62">
                  <c:v>39.219304471256194</c:v>
                </c:pt>
              </c:numCache>
            </c:numRef>
          </c:val>
          <c:smooth val="0"/>
        </c:ser>
        <c:ser>
          <c:idx val="107"/>
          <c:order val="54"/>
          <c:tx>
            <c:strRef>
              <c:f>'Wool (All)'!$BO$6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(All)'!$BO$7:$BO$107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09"/>
          <c:order val="55"/>
          <c:tx>
            <c:strRef>
              <c:f>'Wool (All)'!$BP$6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(All)'!$BP$7:$BP$107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11"/>
          <c:order val="56"/>
          <c:tx>
            <c:strRef>
              <c:f>'Wool (All)'!$BQ$6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(All)'!$BQ$7:$BQ$107</c:f>
              <c:numCache>
                <c:formatCode>0.0000</c:formatCode>
                <c:ptCount val="82"/>
                <c:pt idx="44">
                  <c:v>56.123076923077022</c:v>
                </c:pt>
                <c:pt idx="57">
                  <c:v>42.666666666666565</c:v>
                </c:pt>
                <c:pt idx="58">
                  <c:v>32.000000000000028</c:v>
                </c:pt>
              </c:numCache>
            </c:numRef>
          </c:val>
          <c:smooth val="0"/>
        </c:ser>
        <c:ser>
          <c:idx val="113"/>
          <c:order val="57"/>
          <c:tx>
            <c:strRef>
              <c:f>'Wool (All)'!$BR$6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(All)'!$BR$7:$BR$107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15"/>
          <c:order val="58"/>
          <c:tx>
            <c:strRef>
              <c:f>'Wool (All)'!$BS$6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(All)'!$BS$7:$BS$107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17"/>
          <c:order val="59"/>
          <c:tx>
            <c:strRef>
              <c:f>'Wool (All)'!$BT$6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(All)'!$BT$7:$BT$107</c:f>
              <c:numCache>
                <c:formatCode>0.0000</c:formatCode>
                <c:ptCount val="82"/>
                <c:pt idx="60">
                  <c:v>26.886721680420003</c:v>
                </c:pt>
                <c:pt idx="61">
                  <c:v>50.412603150787582</c:v>
                </c:pt>
                <c:pt idx="62">
                  <c:v>61.455363840960317</c:v>
                </c:pt>
              </c:numCache>
            </c:numRef>
          </c:val>
          <c:smooth val="0"/>
        </c:ser>
        <c:ser>
          <c:idx val="119"/>
          <c:order val="60"/>
          <c:tx>
            <c:strRef>
              <c:f>'Wool (All)'!$BU$6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(All)'!$BU$7:$BU$107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21"/>
          <c:order val="61"/>
          <c:tx>
            <c:strRef>
              <c:f>'Wool (All)'!$BV$6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(All)'!$BV$7:$BV$107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23"/>
          <c:order val="62"/>
          <c:tx>
            <c:strRef>
              <c:f>'Wool (All)'!$BW$6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(All)'!$BW$7:$BW$107</c:f>
              <c:numCache>
                <c:formatCode>0.0000</c:formatCode>
                <c:ptCount val="82"/>
                <c:pt idx="24">
                  <c:v>35.137254901960738</c:v>
                </c:pt>
                <c:pt idx="25">
                  <c:v>79.999999999999972</c:v>
                </c:pt>
                <c:pt idx="43">
                  <c:v>32.274315858885629</c:v>
                </c:pt>
                <c:pt idx="52">
                  <c:v>17.286024619840703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'Wool (All)'!$BX$6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(All)'!$BX$7:$BX$107</c:f>
              <c:numCache>
                <c:formatCode>0.0000</c:formatCode>
                <c:ptCount val="82"/>
                <c:pt idx="24">
                  <c:v>35.137254901960738</c:v>
                </c:pt>
                <c:pt idx="41">
                  <c:v>19.764705882352949</c:v>
                </c:pt>
                <c:pt idx="42">
                  <c:v>20.86274509803922</c:v>
                </c:pt>
                <c:pt idx="43">
                  <c:v>21.96078431372549</c:v>
                </c:pt>
                <c:pt idx="47">
                  <c:v>31.94295900178253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'Wool (All)'!$BY$6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(All)'!$BY$7:$BY$107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29"/>
          <c:order val="65"/>
          <c:tx>
            <c:strRef>
              <c:f>'Wool (All)'!$BZ$6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(All)'!$BZ$7:$BZ$107</c:f>
              <c:numCache>
                <c:formatCode>0.0000</c:formatCode>
                <c:ptCount val="82"/>
                <c:pt idx="56">
                  <c:v>33.58194106144304</c:v>
                </c:pt>
                <c:pt idx="57">
                  <c:v>35.735994470691871</c:v>
                </c:pt>
                <c:pt idx="58">
                  <c:v>30.778612447372382</c:v>
                </c:pt>
                <c:pt idx="59">
                  <c:v>50.480141243343397</c:v>
                </c:pt>
                <c:pt idx="60">
                  <c:v>43.783374641950722</c:v>
                </c:pt>
              </c:numCache>
            </c:numRef>
          </c:val>
          <c:smooth val="0"/>
        </c:ser>
        <c:ser>
          <c:idx val="131"/>
          <c:order val="66"/>
          <c:tx>
            <c:strRef>
              <c:f>'Wool (All)'!$CA$6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(All)'!$CA$7:$CA$107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33"/>
          <c:order val="67"/>
          <c:tx>
            <c:strRef>
              <c:f>'Wool (All)'!$CB$6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(All)'!$CB$7:$CB$107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35"/>
          <c:order val="68"/>
          <c:tx>
            <c:strRef>
              <c:f>'Wool (All)'!$CC$6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(All)'!$CC$7:$CC$107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37"/>
          <c:order val="69"/>
          <c:tx>
            <c:strRef>
              <c:f>'Wool (All)'!$CD$6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(All)'!$CD$7:$CD$107</c:f>
              <c:numCache>
                <c:formatCode>0.0000</c:formatCode>
                <c:ptCount val="82"/>
                <c:pt idx="25">
                  <c:v>110.00000000000009</c:v>
                </c:pt>
                <c:pt idx="26">
                  <c:v>40.000000000000099</c:v>
                </c:pt>
              </c:numCache>
            </c:numRef>
          </c:val>
          <c:smooth val="0"/>
        </c:ser>
        <c:ser>
          <c:idx val="139"/>
          <c:order val="70"/>
          <c:tx>
            <c:strRef>
              <c:f>'Wool (All)'!$CE$6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(All)'!$CE$7:$CE$107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41"/>
          <c:order val="71"/>
          <c:tx>
            <c:strRef>
              <c:f>'Wool (All)'!$CF$6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(All)'!$CF$7:$CF$107</c:f>
              <c:numCache>
                <c:formatCode>0.0000</c:formatCode>
                <c:ptCount val="82"/>
                <c:pt idx="28">
                  <c:v>17.946666666666662</c:v>
                </c:pt>
                <c:pt idx="41">
                  <c:v>214.21609195402303</c:v>
                </c:pt>
                <c:pt idx="42">
                  <c:v>243.86206896551806</c:v>
                </c:pt>
                <c:pt idx="56">
                  <c:v>45.342508939303741</c:v>
                </c:pt>
                <c:pt idx="57">
                  <c:v>39.819814141813211</c:v>
                </c:pt>
                <c:pt idx="58">
                  <c:v>29.552580582752192</c:v>
                </c:pt>
                <c:pt idx="59">
                  <c:v>40.233912170437442</c:v>
                </c:pt>
                <c:pt idx="60">
                  <c:v>48.492469130218396</c:v>
                </c:pt>
              </c:numCache>
            </c:numRef>
          </c:val>
          <c:smooth val="0"/>
        </c:ser>
        <c:ser>
          <c:idx val="143"/>
          <c:order val="72"/>
          <c:tx>
            <c:strRef>
              <c:f>'Wool (All)'!$CG$6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(All)'!$CG$7:$CG$107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45"/>
          <c:order val="73"/>
          <c:tx>
            <c:strRef>
              <c:f>'Wool (All)'!$CH$6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(All)'!$CH$7:$CH$107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47"/>
          <c:order val="74"/>
          <c:tx>
            <c:strRef>
              <c:f>'Wool (All)'!$CI$6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(All)'!$CI$7:$CI$107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49"/>
          <c:order val="75"/>
          <c:tx>
            <c:strRef>
              <c:f>'Wool (All)'!$CJ$6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(All)'!$CJ$7:$CJ$107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51"/>
          <c:order val="76"/>
          <c:tx>
            <c:strRef>
              <c:f>'Wool (All)'!$CK$6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(All)'!$CK$7:$CK$107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53"/>
          <c:order val="77"/>
          <c:tx>
            <c:strRef>
              <c:f>'Wool (All)'!$CL$6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(All)'!$CL$7:$CL$107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55"/>
          <c:order val="78"/>
          <c:tx>
            <c:strRef>
              <c:f>'Wool (All)'!$CM$6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(All)'!$CM$7:$CM$107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56"/>
          <c:order val="79"/>
          <c:tx>
            <c:strRef>
              <c:f>'Wool (All)'!$CN$6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(All)'!$CN$7:$CN$107</c:f>
              <c:numCache>
                <c:formatCode>0.0000</c:formatCode>
                <c:ptCount val="82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'Wool (All)'!$CO$6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(All)'!$CO$7:$CO$107</c:f>
              <c:numCache>
                <c:formatCode>0.0000</c:formatCode>
                <c:ptCount val="82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'Wool (All)'!$CP$6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(All)'!$CP$7:$CP$107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60"/>
          <c:order val="82"/>
          <c:tx>
            <c:strRef>
              <c:f>'Wool (All)'!$CQ$6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(All)'!$CQ$7:$CQ$107</c:f>
              <c:numCache>
                <c:formatCode>0.0000</c:formatCode>
                <c:ptCount val="82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'Wool (All)'!$CR$6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(All)'!$CR$7:$CR$107</c:f>
              <c:numCache>
                <c:formatCode>0.0000</c:formatCode>
                <c:ptCount val="82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</c:numCache>
            </c:numRef>
          </c:val>
          <c:smooth val="0"/>
        </c:ser>
        <c:ser>
          <c:idx val="164"/>
          <c:order val="84"/>
          <c:tx>
            <c:strRef>
              <c:f>'Wool (All)'!$CS$6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(All)'!$CS$7:$CS$107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66"/>
          <c:order val="85"/>
          <c:tx>
            <c:strRef>
              <c:f>'Wool (All)'!$CT$6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(All)'!$CT$7:$CT$107</c:f>
              <c:numCache>
                <c:formatCode>0.0000</c:formatCode>
                <c:ptCount val="82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'Wool (All)'!$CU$6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(All)'!$CU$7:$CU$107</c:f>
              <c:numCache>
                <c:formatCode>0.0000</c:formatCode>
                <c:ptCount val="82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'Wool (All)'!$CV$6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(All)'!$CV$7:$CV$107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72"/>
          <c:order val="88"/>
          <c:tx>
            <c:strRef>
              <c:f>'Wool (All)'!$CW$6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(All)'!$CW$7:$CW$107</c:f>
              <c:numCache>
                <c:formatCode>0.0000</c:formatCode>
                <c:ptCount val="82"/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'Wool (All)'!$CX$6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(All)'!$CX$7:$CX$107</c:f>
              <c:numCache>
                <c:formatCode>0.0000</c:formatCode>
                <c:ptCount val="82"/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'Wool (All)'!$CY$6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(All)'!$CY$7:$CY$107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78"/>
          <c:order val="91"/>
          <c:tx>
            <c:strRef>
              <c:f>'Wool (All)'!$CZ$6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(All)'!$CZ$7:$CZ$107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80"/>
          <c:order val="92"/>
          <c:tx>
            <c:strRef>
              <c:f>'Wool (All)'!$DA$6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(All)'!$DA$7:$DA$107</c:f>
              <c:numCache>
                <c:formatCode>0.0000</c:formatCode>
                <c:ptCount val="82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val>
          <c:smooth val="0"/>
        </c:ser>
        <c:ser>
          <c:idx val="182"/>
          <c:order val="93"/>
          <c:tx>
            <c:strRef>
              <c:f>'Wool (All)'!$DB$6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(All)'!$DB$7:$DB$107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val>
          <c:smooth val="0"/>
        </c:ser>
        <c:ser>
          <c:idx val="0"/>
          <c:order val="94"/>
          <c:tx>
            <c:strRef>
              <c:f>'Wool (All)'!$DC$6</c:f>
              <c:strCache>
                <c:ptCount val="1"/>
                <c:pt idx="0">
                  <c:v>Bombay,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(All)'!$DC$7:$DC$107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'Wool (All)'!$DD$6</c:f>
              <c:strCache>
                <c:ptCount val="1"/>
                <c:pt idx="0">
                  <c:v>Karachi,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(All)'!$DD$7:$DD$107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'Wool (All)'!$DE$6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(All)'!$DE$7:$DE$107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val>
          <c:smooth val="0"/>
        </c:ser>
        <c:ser>
          <c:idx val="8"/>
          <c:order val="97"/>
          <c:tx>
            <c:strRef>
              <c:f>'Wool (All)'!$E$6</c:f>
              <c:strCache>
                <c:ptCount val="1"/>
                <c:pt idx="0">
                  <c:v>Odessa, 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'Wool (All)'!$E$7:$E$107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0"/>
          <c:order val="98"/>
          <c:tx>
            <c:strRef>
              <c:f>'Wool (All)'!$R$6</c:f>
              <c:strCache>
                <c:ptCount val="1"/>
                <c:pt idx="0">
                  <c:v>Aleppo, 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'Wool (All)'!$R$7:$R$107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2"/>
          <c:order val="99"/>
          <c:tx>
            <c:strRef>
              <c:f>'Wool (All)'!$AB$6</c:f>
              <c:strCache>
                <c:ptCount val="1"/>
                <c:pt idx="0">
                  <c:v>Alexandria,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'Wool (All)'!$AB$7:$AB$107</c:f>
              <c:numCache>
                <c:formatCode>0.0000</c:formatCode>
                <c:ptCount val="82"/>
              </c:numCache>
            </c:numRef>
          </c:val>
          <c:smooth val="0"/>
        </c:ser>
        <c:ser>
          <c:idx val="14"/>
          <c:order val="100"/>
          <c:tx>
            <c:strRef>
              <c:f>'Wool (All)'!$DF$6</c:f>
              <c:strCache>
                <c:ptCount val="1"/>
                <c:pt idx="0">
                  <c:v>India (Average), Exports,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'Wool (All)'!$DF$7:$DF$107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150560"/>
        <c:axId val="340151120"/>
      </c:lineChart>
      <c:catAx>
        <c:axId val="34015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51120"/>
        <c:crosses val="autoZero"/>
        <c:auto val="1"/>
        <c:lblAlgn val="ctr"/>
        <c:lblOffset val="100"/>
        <c:noMultiLvlLbl val="0"/>
      </c:catAx>
      <c:valAx>
        <c:axId val="34015112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50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5.580247558174866E-2"/>
          <c:w val="0.43554308815358905"/>
          <c:h val="0.86585353472725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(All)'!$L$7:$L$107</c:f>
              <c:numCache>
                <c:formatCode>0.0000</c:formatCode>
                <c:ptCount val="82"/>
                <c:pt idx="34">
                  <c:v>30.909090909091002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(All)'!$L$7:$L$107</c:f>
              <c:numCache>
                <c:formatCode>0.0000</c:formatCode>
                <c:ptCount val="82"/>
                <c:pt idx="34">
                  <c:v>30.909090909091002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903520"/>
        <c:axId val="353902960"/>
      </c:scatterChart>
      <c:valAx>
        <c:axId val="3539035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902960"/>
        <c:crosses val="autoZero"/>
        <c:crossBetween val="midCat"/>
        <c:majorUnit val="5"/>
      </c:valAx>
      <c:valAx>
        <c:axId val="3539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9035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Wool, UK &amp; Ottomon Empire,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'Wool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'Wool (Adjusted)'!$D$6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(Adjusted)'!$D$7:$D$107</c:f>
              <c:numCache>
                <c:formatCode>0.0000</c:formatCode>
                <c:ptCount val="82"/>
                <c:pt idx="14">
                  <c:v>54.999458292249408</c:v>
                </c:pt>
                <c:pt idx="15">
                  <c:v>26.795419684763967</c:v>
                </c:pt>
                <c:pt idx="16">
                  <c:v>57.512123899509433</c:v>
                </c:pt>
                <c:pt idx="17">
                  <c:v>43.256832213441953</c:v>
                </c:pt>
                <c:pt idx="19">
                  <c:v>215.67046462316031</c:v>
                </c:pt>
                <c:pt idx="24">
                  <c:v>27.348254842429697</c:v>
                </c:pt>
                <c:pt idx="28">
                  <c:v>33.909171861086371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'Wool (Adjusted)'!$E$6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(Adjusted)'!$E$7:$E$107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'Wool (Adjusted)'!$G$6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(Adjusted)'!$G$7:$G$107</c:f>
              <c:numCache>
                <c:formatCode>0.0000</c:formatCode>
                <c:ptCount val="82"/>
                <c:pt idx="37">
                  <c:v>64.65782296057526</c:v>
                </c:pt>
                <c:pt idx="38">
                  <c:v>55.947071567309216</c:v>
                </c:pt>
                <c:pt idx="39">
                  <c:v>58.65411756245328</c:v>
                </c:pt>
                <c:pt idx="40">
                  <c:v>56.249045964316799</c:v>
                </c:pt>
                <c:pt idx="41">
                  <c:v>56.867153719994022</c:v>
                </c:pt>
                <c:pt idx="42">
                  <c:v>53.333333333333314</c:v>
                </c:pt>
                <c:pt idx="43">
                  <c:v>58.797589298838652</c:v>
                </c:pt>
                <c:pt idx="44">
                  <c:v>40.000000000000099</c:v>
                </c:pt>
                <c:pt idx="45">
                  <c:v>41.999925503780609</c:v>
                </c:pt>
                <c:pt idx="46">
                  <c:v>40.000000000000099</c:v>
                </c:pt>
                <c:pt idx="47">
                  <c:v>45.32046288027059</c:v>
                </c:pt>
                <c:pt idx="48">
                  <c:v>40.000000000000099</c:v>
                </c:pt>
                <c:pt idx="49">
                  <c:v>40.000401533859424</c:v>
                </c:pt>
                <c:pt idx="50">
                  <c:v>40.000000000000099</c:v>
                </c:pt>
                <c:pt idx="51">
                  <c:v>40.000000000000099</c:v>
                </c:pt>
                <c:pt idx="52">
                  <c:v>40.000000000000099</c:v>
                </c:pt>
                <c:pt idx="53">
                  <c:v>40.000000000000099</c:v>
                </c:pt>
                <c:pt idx="54">
                  <c:v>40.000000000000099</c:v>
                </c:pt>
                <c:pt idx="55">
                  <c:v>41.70984056891993</c:v>
                </c:pt>
                <c:pt idx="56">
                  <c:v>41.999865747033823</c:v>
                </c:pt>
                <c:pt idx="57">
                  <c:v>43.333333333333343</c:v>
                </c:pt>
                <c:pt idx="58">
                  <c:v>46.666666666666593</c:v>
                </c:pt>
                <c:pt idx="59">
                  <c:v>46.666666666666593</c:v>
                </c:pt>
                <c:pt idx="60">
                  <c:v>46.683230728174657</c:v>
                </c:pt>
                <c:pt idx="61">
                  <c:v>46.666666666666593</c:v>
                </c:pt>
                <c:pt idx="62">
                  <c:v>46.666666666666593</c:v>
                </c:pt>
                <c:pt idx="63">
                  <c:v>46.666666666666593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'Wool (Adjusted)'!$I$6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(Adjusted)'!$I$7:$I$107</c:f>
              <c:numCache>
                <c:formatCode>0.0000</c:formatCode>
                <c:ptCount val="82"/>
                <c:pt idx="34">
                  <c:v>30.909090909091002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'Wool (Adjusted)'!$J$6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(Adjusted)'!$J$7:$J$107</c:f>
              <c:numCache>
                <c:formatCode>0.0000</c:formatCode>
                <c:ptCount val="82"/>
                <c:pt idx="34">
                  <c:v>32.727272727272798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'Wool (Adjusted)'!$K$6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(Adjusted)'!$K$7:$K$107</c:f>
              <c:numCache>
                <c:formatCode>0.0000</c:formatCode>
                <c:ptCount val="82"/>
                <c:pt idx="35">
                  <c:v>44.348246297739671</c:v>
                </c:pt>
                <c:pt idx="36">
                  <c:v>36.785134393856282</c:v>
                </c:pt>
                <c:pt idx="37">
                  <c:v>43.317492163009405</c:v>
                </c:pt>
                <c:pt idx="38">
                  <c:v>42.549386281588447</c:v>
                </c:pt>
                <c:pt idx="39">
                  <c:v>47.380569948186526</c:v>
                </c:pt>
                <c:pt idx="40">
                  <c:v>46.263445017182129</c:v>
                </c:pt>
                <c:pt idx="41">
                  <c:v>45.213597033374533</c:v>
                </c:pt>
                <c:pt idx="42">
                  <c:v>45.33556430446194</c:v>
                </c:pt>
                <c:pt idx="43">
                  <c:v>46.271726755218211</c:v>
                </c:pt>
                <c:pt idx="44">
                  <c:v>41.863004291845492</c:v>
                </c:pt>
                <c:pt idx="45">
                  <c:v>41.874533437013994</c:v>
                </c:pt>
                <c:pt idx="46">
                  <c:v>40.9278452685422</c:v>
                </c:pt>
                <c:pt idx="47">
                  <c:v>41.044064303380047</c:v>
                </c:pt>
                <c:pt idx="48">
                  <c:v>40.79032846715328</c:v>
                </c:pt>
                <c:pt idx="49">
                  <c:v>43.762453183520599</c:v>
                </c:pt>
                <c:pt idx="50">
                  <c:v>40.220640904806785</c:v>
                </c:pt>
                <c:pt idx="51">
                  <c:v>39.796328029375758</c:v>
                </c:pt>
                <c:pt idx="52">
                  <c:v>40.851494845360826</c:v>
                </c:pt>
                <c:pt idx="53">
                  <c:v>58.725825688073392</c:v>
                </c:pt>
                <c:pt idx="54">
                  <c:v>68.590912462908008</c:v>
                </c:pt>
                <c:pt idx="55">
                  <c:v>75.850954861111106</c:v>
                </c:pt>
                <c:pt idx="56">
                  <c:v>56.868470149253731</c:v>
                </c:pt>
                <c:pt idx="57">
                  <c:v>56.903177167474418</c:v>
                </c:pt>
                <c:pt idx="58">
                  <c:v>45.990528080469403</c:v>
                </c:pt>
                <c:pt idx="59">
                  <c:v>37.069817578772799</c:v>
                </c:pt>
                <c:pt idx="60">
                  <c:v>54.394595959595954</c:v>
                </c:pt>
                <c:pt idx="61">
                  <c:v>54.297157475838539</c:v>
                </c:pt>
                <c:pt idx="62">
                  <c:v>60.585581622678397</c:v>
                </c:pt>
                <c:pt idx="63">
                  <c:v>61.619676848162896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'Wool (Adjusted)'!$L$6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(Adjusted)'!$L$7:$L$107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'Wool (Adjusted)'!$N$6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(Adjusted)'!$N$7:$N$107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'Wool (Adjusted)'!$O$6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(Adjusted)'!$O$7:$O$107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'Wool (Adjusted)'!$P$6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(Adjusted)'!$P$7:$P$107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57">
                  <c:v>42.25352112676056</c:v>
                </c:pt>
                <c:pt idx="60">
                  <c:v>56</c:v>
                </c:pt>
                <c:pt idx="61">
                  <c:v>56.942416721415199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'Wool (Adjusted)'!$Q$6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(Adjusted)'!$Q$7:$Q$107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'Wool (Adjusted)'!$R$6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(Adjusted)'!$R$7:$R$107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'Wool (Adjusted)'!$S$6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(Adjusted)'!$S$7:$S$107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19"/>
          <c:order val="14"/>
          <c:tx>
            <c:strRef>
              <c:f>'Wool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(Adjusted)'!$T$7:$T$107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val>
          <c:smooth val="0"/>
        </c:ser>
        <c:ser>
          <c:idx val="20"/>
          <c:order val="15"/>
          <c:tx>
            <c:strRef>
              <c:f>'Wool (Adjusted)'!$U$6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(Adjusted)'!$U$7:$U$107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161760"/>
        <c:axId val="340162320"/>
      </c:lineChart>
      <c:catAx>
        <c:axId val="3401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62320"/>
        <c:crosses val="autoZero"/>
        <c:auto val="1"/>
        <c:lblAlgn val="ctr"/>
        <c:lblOffset val="100"/>
        <c:noMultiLvlLbl val="0"/>
      </c:catAx>
      <c:valAx>
        <c:axId val="340162320"/>
        <c:scaling>
          <c:orientation val="minMax"/>
          <c:max val="2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617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59389684320057"/>
          <c:y val="0.11821986428525702"/>
          <c:w val="0.218032616859795"/>
          <c:h val="0.82222368926445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Wool, UK, Black Sea, Mediterranean Sea, Caspian Sea &amp; Persian Gulf,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'Wool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'Wool (Adjusted)'!$K$6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(Adjusted)'!$K$7:$K$107</c:f>
              <c:numCache>
                <c:formatCode>0.0000</c:formatCode>
                <c:ptCount val="82"/>
                <c:pt idx="35">
                  <c:v>44.348246297739671</c:v>
                </c:pt>
                <c:pt idx="36">
                  <c:v>36.785134393856282</c:v>
                </c:pt>
                <c:pt idx="37">
                  <c:v>43.317492163009405</c:v>
                </c:pt>
                <c:pt idx="38">
                  <c:v>42.549386281588447</c:v>
                </c:pt>
                <c:pt idx="39">
                  <c:v>47.380569948186526</c:v>
                </c:pt>
                <c:pt idx="40">
                  <c:v>46.263445017182129</c:v>
                </c:pt>
                <c:pt idx="41">
                  <c:v>45.213597033374533</c:v>
                </c:pt>
                <c:pt idx="42">
                  <c:v>45.33556430446194</c:v>
                </c:pt>
                <c:pt idx="43">
                  <c:v>46.271726755218211</c:v>
                </c:pt>
                <c:pt idx="44">
                  <c:v>41.863004291845492</c:v>
                </c:pt>
                <c:pt idx="45">
                  <c:v>41.874533437013994</c:v>
                </c:pt>
                <c:pt idx="46">
                  <c:v>40.9278452685422</c:v>
                </c:pt>
                <c:pt idx="47">
                  <c:v>41.044064303380047</c:v>
                </c:pt>
                <c:pt idx="48">
                  <c:v>40.79032846715328</c:v>
                </c:pt>
                <c:pt idx="49">
                  <c:v>43.762453183520599</c:v>
                </c:pt>
                <c:pt idx="50">
                  <c:v>40.220640904806785</c:v>
                </c:pt>
                <c:pt idx="51">
                  <c:v>39.796328029375758</c:v>
                </c:pt>
                <c:pt idx="52">
                  <c:v>40.851494845360826</c:v>
                </c:pt>
                <c:pt idx="53">
                  <c:v>58.725825688073392</c:v>
                </c:pt>
                <c:pt idx="54">
                  <c:v>68.590912462908008</c:v>
                </c:pt>
                <c:pt idx="55">
                  <c:v>75.850954861111106</c:v>
                </c:pt>
                <c:pt idx="56">
                  <c:v>56.868470149253731</c:v>
                </c:pt>
                <c:pt idx="57">
                  <c:v>56.903177167474418</c:v>
                </c:pt>
                <c:pt idx="58">
                  <c:v>45.990528080469403</c:v>
                </c:pt>
                <c:pt idx="59">
                  <c:v>37.069817578772799</c:v>
                </c:pt>
                <c:pt idx="60">
                  <c:v>54.394595959595954</c:v>
                </c:pt>
                <c:pt idx="61">
                  <c:v>54.297157475838539</c:v>
                </c:pt>
                <c:pt idx="62">
                  <c:v>60.585581622678397</c:v>
                </c:pt>
                <c:pt idx="63">
                  <c:v>61.619676848162896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'Wool (Adjusted)'!$L$6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(Adjusted)'!$L$7:$L$107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'Wool (Adjusted)'!$N$6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(Adjusted)'!$N$7:$N$107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'Wool (Adjusted)'!$O$6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(Adjusted)'!$O$7:$O$107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'Wool (Adjusted)'!$P$6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(Adjusted)'!$P$7:$P$107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57">
                  <c:v>42.25352112676056</c:v>
                </c:pt>
                <c:pt idx="60">
                  <c:v>56</c:v>
                </c:pt>
                <c:pt idx="61">
                  <c:v>56.942416721415199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'Wool (Adjusted)'!$Q$6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(Adjusted)'!$Q$7:$Q$107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'Wool (Adjusted)'!$R$6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(Adjusted)'!$R$7:$R$107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'Wool (Adjusted)'!$S$6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(Adjusted)'!$S$7:$S$107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'Wool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(Adjusted)'!$T$7:$T$107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'Wool (Adjusted)'!$U$6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(Adjusted)'!$U$7:$U$107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74192"/>
        <c:axId val="729574752"/>
      </c:lineChart>
      <c:catAx>
        <c:axId val="72957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74752"/>
        <c:crosses val="autoZero"/>
        <c:auto val="1"/>
        <c:lblAlgn val="ctr"/>
        <c:lblOffset val="100"/>
        <c:noMultiLvlLbl val="0"/>
      </c:catAx>
      <c:valAx>
        <c:axId val="72957475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741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73229178629144"/>
          <c:y val="0.2905192647746826"/>
          <c:w val="0.21692655412366416"/>
          <c:h val="0.49723418258518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Wool, UK, Black Sea, Caspian Sea, Persia,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'Wool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'Wool (Adjusted)'!$P$6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(Adjusted)'!$P$7:$P$107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57">
                  <c:v>42.25352112676056</c:v>
                </c:pt>
                <c:pt idx="60">
                  <c:v>56</c:v>
                </c:pt>
                <c:pt idx="61">
                  <c:v>56.942416721415199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'Wool (Adjusted)'!$Q$6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(Adjusted)'!$Q$7:$Q$107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'Wool (Adjusted)'!$R$6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(Adjusted)'!$R$7:$R$107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'Wool (Adjusted)'!$S$6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(Adjusted)'!$S$7:$S$107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'Wool (Adjusted)'!$V$6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(Adjusted)'!$V$7:$V$107</c:f>
              <c:numCache>
                <c:formatCode>0.0000</c:formatCode>
                <c:ptCount val="82"/>
                <c:pt idx="52">
                  <c:v>31.706341511779424</c:v>
                </c:pt>
                <c:pt idx="53">
                  <c:v>62.461918627256068</c:v>
                </c:pt>
                <c:pt idx="54">
                  <c:v>52.797346129496411</c:v>
                </c:pt>
                <c:pt idx="55">
                  <c:v>52.035053554040928</c:v>
                </c:pt>
                <c:pt idx="56">
                  <c:v>48.211844685692348</c:v>
                </c:pt>
                <c:pt idx="57">
                  <c:v>48.508768197428893</c:v>
                </c:pt>
                <c:pt idx="58">
                  <c:v>39.5081897570089</c:v>
                </c:pt>
                <c:pt idx="59">
                  <c:v>44.962979329537916</c:v>
                </c:pt>
                <c:pt idx="60">
                  <c:v>44.600791294351716</c:v>
                </c:pt>
                <c:pt idx="61">
                  <c:v>33.487416613988962</c:v>
                </c:pt>
                <c:pt idx="62">
                  <c:v>53.804861045093091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'Wool (Adjusted)'!$W$6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(Adjusted)'!$W$7:$W$107</c:f>
              <c:numCache>
                <c:formatCode>0.0000</c:formatCode>
                <c:ptCount val="82"/>
                <c:pt idx="52">
                  <c:v>30.517673333695967</c:v>
                </c:pt>
                <c:pt idx="53">
                  <c:v>42.596128972897922</c:v>
                </c:pt>
                <c:pt idx="54">
                  <c:v>39.231314264857346</c:v>
                </c:pt>
                <c:pt idx="55">
                  <c:v>49.271436338631808</c:v>
                </c:pt>
                <c:pt idx="56">
                  <c:v>51.496072851061435</c:v>
                </c:pt>
                <c:pt idx="57">
                  <c:v>58.367382684869888</c:v>
                </c:pt>
                <c:pt idx="58">
                  <c:v>45.875889159167649</c:v>
                </c:pt>
                <c:pt idx="59">
                  <c:v>40.913794455136291</c:v>
                </c:pt>
                <c:pt idx="60">
                  <c:v>47.153481054084381</c:v>
                </c:pt>
                <c:pt idx="61">
                  <c:v>56.270599046557955</c:v>
                </c:pt>
                <c:pt idx="62">
                  <c:v>63.665387441822432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'Wool (Adjusted)'!$X$6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(Adjusted)'!$X$7:$X$107</c:f>
              <c:numCache>
                <c:formatCode>0.0000</c:formatCode>
                <c:ptCount val="82"/>
                <c:pt idx="50">
                  <c:v>38.909808140577404</c:v>
                </c:pt>
                <c:pt idx="51">
                  <c:v>44.693815987933604</c:v>
                </c:pt>
                <c:pt idx="54">
                  <c:v>67.342766665330402</c:v>
                </c:pt>
                <c:pt idx="55">
                  <c:v>43.291361639824402</c:v>
                </c:pt>
                <c:pt idx="57">
                  <c:v>58.75</c:v>
                </c:pt>
                <c:pt idx="58">
                  <c:v>64.5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'Wool (Adjusted)'!$Y$6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(Adjusted)'!$Y$7:$Y$107</c:f>
              <c:numCache>
                <c:formatCode>0.0000</c:formatCode>
                <c:ptCount val="82"/>
                <c:pt idx="50">
                  <c:v>26.965327303845399</c:v>
                </c:pt>
                <c:pt idx="51">
                  <c:v>23.960086530171999</c:v>
                </c:pt>
                <c:pt idx="52">
                  <c:v>21.364779328882403</c:v>
                </c:pt>
                <c:pt idx="53">
                  <c:v>30.675045380991598</c:v>
                </c:pt>
                <c:pt idx="54">
                  <c:v>39.641547047340403</c:v>
                </c:pt>
                <c:pt idx="55">
                  <c:v>37.4080190582984</c:v>
                </c:pt>
                <c:pt idx="57">
                  <c:v>47.751760275094199</c:v>
                </c:pt>
                <c:pt idx="58">
                  <c:v>40.283960092095199</c:v>
                </c:pt>
                <c:pt idx="59">
                  <c:v>39.936766034327</c:v>
                </c:pt>
                <c:pt idx="60">
                  <c:v>37.954086781029204</c:v>
                </c:pt>
                <c:pt idx="61">
                  <c:v>46.011423131841994</c:v>
                </c:pt>
                <c:pt idx="62">
                  <c:v>39.219304471256194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'Wool (Adjusted)'!$Z$6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(Adjusted)'!$Z$7:$Z$107</c:f>
              <c:numCache>
                <c:formatCode>0.0000</c:formatCode>
                <c:ptCount val="82"/>
                <c:pt idx="44">
                  <c:v>56.123076923077022</c:v>
                </c:pt>
                <c:pt idx="57">
                  <c:v>42.666666666666565</c:v>
                </c:pt>
                <c:pt idx="58">
                  <c:v>32.000000000000028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'Wool (Adjusted)'!$AA$6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(Adjusted)'!$AA$7:$AA$107</c:f>
              <c:numCache>
                <c:formatCode>0.0000</c:formatCode>
                <c:ptCount val="82"/>
                <c:pt idx="60">
                  <c:v>26.886721680420003</c:v>
                </c:pt>
                <c:pt idx="61">
                  <c:v>50.412603150787582</c:v>
                </c:pt>
                <c:pt idx="62">
                  <c:v>61.455363840960317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'Wool (Adjusted)'!$AC$6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(Adjusted)'!$AC$7:$AC$107</c:f>
              <c:numCache>
                <c:formatCode>0.0000</c:formatCode>
                <c:ptCount val="82"/>
                <c:pt idx="24">
                  <c:v>35.137254901960738</c:v>
                </c:pt>
                <c:pt idx="25">
                  <c:v>79.999999999999972</c:v>
                </c:pt>
                <c:pt idx="43">
                  <c:v>32.274315858885629</c:v>
                </c:pt>
                <c:pt idx="52">
                  <c:v>17.286024619840703</c:v>
                </c:pt>
                <c:pt idx="56">
                  <c:v>33.58194106144304</c:v>
                </c:pt>
                <c:pt idx="57">
                  <c:v>35.735994470691871</c:v>
                </c:pt>
                <c:pt idx="58">
                  <c:v>30.778612447372382</c:v>
                </c:pt>
                <c:pt idx="59">
                  <c:v>50.480141243343397</c:v>
                </c:pt>
                <c:pt idx="60">
                  <c:v>43.783374641950722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'Wool (Adjusted)'!$AE$6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(Adjusted)'!$AE$7:$AE$107</c:f>
              <c:numCache>
                <c:formatCode>0.0000</c:formatCode>
                <c:ptCount val="82"/>
                <c:pt idx="28">
                  <c:v>17.946666666666662</c:v>
                </c:pt>
                <c:pt idx="41">
                  <c:v>214.21609195402303</c:v>
                </c:pt>
                <c:pt idx="42">
                  <c:v>243.86206896551806</c:v>
                </c:pt>
                <c:pt idx="56">
                  <c:v>45.342508939303741</c:v>
                </c:pt>
                <c:pt idx="57">
                  <c:v>39.819814141813211</c:v>
                </c:pt>
                <c:pt idx="58">
                  <c:v>29.552580582752192</c:v>
                </c:pt>
                <c:pt idx="59">
                  <c:v>40.233912170437442</c:v>
                </c:pt>
                <c:pt idx="60">
                  <c:v>48.492469130218396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'Wool (Adjusted)'!$AF$6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(Adjusted)'!$AF$7:$AF$107</c:f>
              <c:numCache>
                <c:formatCode>0.0000</c:formatCode>
                <c:ptCount val="82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'Wool (Adjusted)'!$AG$6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(Adjusted)'!$AG$7:$AG$107</c:f>
              <c:numCache>
                <c:formatCode>0.0000</c:formatCode>
                <c:ptCount val="82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'Wool (Adjusted)'!$AH$6</c:f>
              <c:strCache>
                <c:ptCount val="1"/>
                <c:pt idx="0">
                  <c:v>Muscat &amp; 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(Adjusted)'!$AH$7:$AH$107</c:f>
              <c:numCache>
                <c:formatCode>0.0000</c:formatCode>
                <c:ptCount val="82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'Wool (Adjusted)'!$AI$6</c:f>
              <c:strCache>
                <c:ptCount val="1"/>
                <c:pt idx="0">
                  <c:v>Muscat &amp; 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(Adjusted)'!$AI$7:$AI$107</c:f>
              <c:numCache>
                <c:formatCode>0.0000</c:formatCode>
                <c:ptCount val="82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'Wool (Adjusted)'!$AJ$6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(Adjusted)'!$AJ$7:$AJ$107</c:f>
              <c:numCache>
                <c:formatCode>0.0000</c:formatCode>
                <c:ptCount val="82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'Wool (Adjusted)'!$AK$6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(Adjusted)'!$AK$7:$AK$107</c:f>
              <c:numCache>
                <c:formatCode>0.0000</c:formatCode>
                <c:ptCount val="82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'Wool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(Adjusted)'!$AL$7:$AL$107</c:f>
              <c:numCache>
                <c:formatCode>0.0000</c:formatCode>
                <c:ptCount val="82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val>
          <c:smooth val="0"/>
        </c:ser>
        <c:ser>
          <c:idx val="0"/>
          <c:order val="20"/>
          <c:tx>
            <c:strRef>
              <c:f>'Wool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'Wool (Adjusted)'!$AM$7:$AM$107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val>
          <c:smooth val="0"/>
        </c:ser>
        <c:ser>
          <c:idx val="1"/>
          <c:order val="21"/>
          <c:tx>
            <c:strRef>
              <c:f>'Wool (Adjusted)'!$AN$6</c:f>
              <c:strCache>
                <c:ptCount val="1"/>
                <c:pt idx="0">
                  <c:v>Bombay,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'Wool (Adjusted)'!$AN$7:$AN$107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val>
          <c:smooth val="0"/>
        </c:ser>
        <c:ser>
          <c:idx val="13"/>
          <c:order val="22"/>
          <c:tx>
            <c:strRef>
              <c:f>'Wool (Adjusted)'!$AO$6</c:f>
              <c:strCache>
                <c:ptCount val="1"/>
                <c:pt idx="0">
                  <c:v>Karachi,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'Wool (Adjusted)'!$AO$7:$AO$107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val>
          <c:smooth val="0"/>
        </c:ser>
        <c:ser>
          <c:idx val="15"/>
          <c:order val="23"/>
          <c:tx>
            <c:strRef>
              <c:f>'Wool (Adjusted)'!$AP$6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'Wool (Adjusted)'!$AP$7:$AP$107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'Wool (Adjusted)'!$AQ$6</c:f>
              <c:strCache>
                <c:ptCount val="1"/>
                <c:pt idx="0">
                  <c:v>India (Average),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'Wool (Adjusted)'!$AQ$7:$AQ$107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88192"/>
        <c:axId val="729588752"/>
      </c:lineChart>
      <c:catAx>
        <c:axId val="7295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88752"/>
        <c:crosses val="autoZero"/>
        <c:auto val="1"/>
        <c:lblAlgn val="ctr"/>
        <c:lblOffset val="100"/>
        <c:noMultiLvlLbl val="0"/>
      </c:catAx>
      <c:valAx>
        <c:axId val="72958875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881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56659689690687"/>
          <c:y val="6.4646063978844745E-2"/>
          <c:w val="0.21651466826140403"/>
          <c:h val="0.87594576993665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Wool, UK, Black Sea, Mediterranean Sea,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'Wool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(Adjusted)'!$C$7:$C$107</c:f>
              <c:numCache>
                <c:formatCode>0.0000</c:formatCode>
                <c:ptCount val="82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'Wool (Adjusted)'!$K$6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(Adjusted)'!$K$7:$K$107</c:f>
              <c:numCache>
                <c:formatCode>0.0000</c:formatCode>
                <c:ptCount val="82"/>
                <c:pt idx="35">
                  <c:v>44.348246297739671</c:v>
                </c:pt>
                <c:pt idx="36">
                  <c:v>36.785134393856282</c:v>
                </c:pt>
                <c:pt idx="37">
                  <c:v>43.317492163009405</c:v>
                </c:pt>
                <c:pt idx="38">
                  <c:v>42.549386281588447</c:v>
                </c:pt>
                <c:pt idx="39">
                  <c:v>47.380569948186526</c:v>
                </c:pt>
                <c:pt idx="40">
                  <c:v>46.263445017182129</c:v>
                </c:pt>
                <c:pt idx="41">
                  <c:v>45.213597033374533</c:v>
                </c:pt>
                <c:pt idx="42">
                  <c:v>45.33556430446194</c:v>
                </c:pt>
                <c:pt idx="43">
                  <c:v>46.271726755218211</c:v>
                </c:pt>
                <c:pt idx="44">
                  <c:v>41.863004291845492</c:v>
                </c:pt>
                <c:pt idx="45">
                  <c:v>41.874533437013994</c:v>
                </c:pt>
                <c:pt idx="46">
                  <c:v>40.9278452685422</c:v>
                </c:pt>
                <c:pt idx="47">
                  <c:v>41.044064303380047</c:v>
                </c:pt>
                <c:pt idx="48">
                  <c:v>40.79032846715328</c:v>
                </c:pt>
                <c:pt idx="49">
                  <c:v>43.762453183520599</c:v>
                </c:pt>
                <c:pt idx="50">
                  <c:v>40.220640904806785</c:v>
                </c:pt>
                <c:pt idx="51">
                  <c:v>39.796328029375758</c:v>
                </c:pt>
                <c:pt idx="52">
                  <c:v>40.851494845360826</c:v>
                </c:pt>
                <c:pt idx="53">
                  <c:v>58.725825688073392</c:v>
                </c:pt>
                <c:pt idx="54">
                  <c:v>68.590912462908008</c:v>
                </c:pt>
                <c:pt idx="55">
                  <c:v>75.850954861111106</c:v>
                </c:pt>
                <c:pt idx="56">
                  <c:v>56.868470149253731</c:v>
                </c:pt>
                <c:pt idx="57">
                  <c:v>56.903177167474418</c:v>
                </c:pt>
                <c:pt idx="58">
                  <c:v>45.990528080469403</c:v>
                </c:pt>
                <c:pt idx="59">
                  <c:v>37.069817578772799</c:v>
                </c:pt>
                <c:pt idx="60">
                  <c:v>54.394595959595954</c:v>
                </c:pt>
                <c:pt idx="61">
                  <c:v>54.297157475838539</c:v>
                </c:pt>
                <c:pt idx="62">
                  <c:v>60.585581622678397</c:v>
                </c:pt>
                <c:pt idx="63">
                  <c:v>61.619676848162896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'Wool (Adjusted)'!$L$6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(Adjusted)'!$L$7:$L$107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'Wool (Adjusted)'!$N$6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(Adjusted)'!$N$7:$N$107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'Wool (Adjusted)'!$O$6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(Adjusted)'!$O$7:$O$107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'Wool (Adjusted)'!$P$6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(Adjusted)'!$P$7:$P$107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57">
                  <c:v>42.25352112676056</c:v>
                </c:pt>
                <c:pt idx="60">
                  <c:v>56</c:v>
                </c:pt>
                <c:pt idx="61">
                  <c:v>56.942416721415199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'Wool (Adjusted)'!$Q$6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(Adjusted)'!$Q$7:$Q$107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'Wool (Adjusted)'!$R$6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(Adjusted)'!$R$7:$R$107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'Wool (Adjusted)'!$S$6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(Adjusted)'!$S$7:$S$107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'Wool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(Adjusted)'!$T$7:$T$107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'Wool (Adjusted)'!$U$6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(Adjusted)'!$U$7:$U$107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'Wool (Adjusted)'!$AF$6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(Adjusted)'!$AF$7:$AF$107</c:f>
              <c:numCache>
                <c:formatCode>0.0000</c:formatCode>
                <c:ptCount val="82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'Wool (Adjusted)'!$AG$6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(Adjusted)'!$AG$7:$AG$107</c:f>
              <c:numCache>
                <c:formatCode>0.0000</c:formatCode>
                <c:ptCount val="82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'Wool (Adjusted)'!$AH$6</c:f>
              <c:strCache>
                <c:ptCount val="1"/>
                <c:pt idx="0">
                  <c:v>Muscat &amp; Lingah,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(Adjusted)'!$AH$7:$AH$107</c:f>
              <c:numCache>
                <c:formatCode>0.0000</c:formatCode>
                <c:ptCount val="82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'Wool (Adjusted)'!$AI$6</c:f>
              <c:strCache>
                <c:ptCount val="1"/>
                <c:pt idx="0">
                  <c:v>Muscat &amp; Lingah,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(Adjusted)'!$AI$7:$AI$107</c:f>
              <c:numCache>
                <c:formatCode>0.0000</c:formatCode>
                <c:ptCount val="82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'Wool (Adjusted)'!$AJ$6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(Adjusted)'!$AJ$7:$AJ$107</c:f>
              <c:numCache>
                <c:formatCode>0.0000</c:formatCode>
                <c:ptCount val="82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val>
          <c:smooth val="0"/>
        </c:ser>
        <c:ser>
          <c:idx val="19"/>
          <c:order val="16"/>
          <c:tx>
            <c:strRef>
              <c:f>'Wool (Adjusted)'!$AK$6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(Adjusted)'!$AK$7:$AK$107</c:f>
              <c:numCache>
                <c:formatCode>0.0000</c:formatCode>
                <c:ptCount val="82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val>
          <c:smooth val="0"/>
        </c:ser>
        <c:ser>
          <c:idx val="20"/>
          <c:order val="17"/>
          <c:tx>
            <c:strRef>
              <c:f>'Wool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(Adjusted)'!$AL$7:$AL$107</c:f>
              <c:numCache>
                <c:formatCode>0.0000</c:formatCode>
                <c:ptCount val="82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'Wool (Adjusted)'!$AQ$6</c:f>
              <c:strCache>
                <c:ptCount val="1"/>
                <c:pt idx="0">
                  <c:v>India (Average),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'Wool (Adjusted)'!$AQ$7:$AQ$107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val>
          <c:smooth val="0"/>
        </c:ser>
        <c:ser>
          <c:idx val="1"/>
          <c:order val="19"/>
          <c:tx>
            <c:strRef>
              <c:f>'Wool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'Wool (Adjusted)'!$AM$7:$AM$107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val>
          <c:smooth val="0"/>
        </c:ser>
        <c:ser>
          <c:idx val="5"/>
          <c:order val="20"/>
          <c:tx>
            <c:strRef>
              <c:f>'Wool (Adjusted)'!$AN$6</c:f>
              <c:strCache>
                <c:ptCount val="1"/>
                <c:pt idx="0">
                  <c:v>Bombay,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'Wool (Adjusted)'!$AN$7:$AN$107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'Wool (Adjusted)'!$AO$6</c:f>
              <c:strCache>
                <c:ptCount val="1"/>
                <c:pt idx="0">
                  <c:v>Karachi,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val>
            <c:numRef>
              <c:f>'Wool (Adjusted)'!$AO$7:$AO$107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'Wool (Adjusted)'!$AP$6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val>
            <c:numRef>
              <c:f>'Wool (Adjusted)'!$AP$7:$AP$107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601072"/>
        <c:axId val="729601632"/>
      </c:lineChart>
      <c:catAx>
        <c:axId val="7296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601632"/>
        <c:crosses val="autoZero"/>
        <c:auto val="1"/>
        <c:lblAlgn val="ctr"/>
        <c:lblOffset val="100"/>
        <c:noMultiLvlLbl val="0"/>
      </c:catAx>
      <c:valAx>
        <c:axId val="7296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6010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16454173361837"/>
          <c:y val="9.014805035598096E-2"/>
          <c:w val="0.21747817918182985"/>
          <c:h val="0.84747670014302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Wool, Black Sea, Caspian Sea, Persia,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404008772326023E-2"/>
          <c:y val="9.2401594419531635E-2"/>
          <c:w val="0.71386233269598476"/>
          <c:h val="0.82573767404634957"/>
        </c:manualLayout>
      </c:layout>
      <c:lineChart>
        <c:grouping val="standard"/>
        <c:varyColors val="0"/>
        <c:ser>
          <c:idx val="2"/>
          <c:order val="0"/>
          <c:tx>
            <c:strRef>
              <c:f>'Wool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(Adjusted)'!$C$17:$C$87</c:f>
              <c:numCache>
                <c:formatCode>0.0000</c:formatCode>
                <c:ptCount val="71"/>
                <c:pt idx="4">
                  <c:v>137.17956357680612</c:v>
                </c:pt>
                <c:pt idx="5">
                  <c:v>147.24211812704246</c:v>
                </c:pt>
                <c:pt idx="6">
                  <c:v>167.00859068962879</c:v>
                </c:pt>
                <c:pt idx="7">
                  <c:v>167.14195675128778</c:v>
                </c:pt>
                <c:pt idx="8">
                  <c:v>158.5763833205105</c:v>
                </c:pt>
                <c:pt idx="9">
                  <c:v>165.15193851978466</c:v>
                </c:pt>
                <c:pt idx="10">
                  <c:v>166.51673144724896</c:v>
                </c:pt>
                <c:pt idx="11">
                  <c:v>147.90481512822058</c:v>
                </c:pt>
                <c:pt idx="12">
                  <c:v>153.3854819449034</c:v>
                </c:pt>
                <c:pt idx="13">
                  <c:v>150.08339088285661</c:v>
                </c:pt>
                <c:pt idx="14">
                  <c:v>168.19532990371698</c:v>
                </c:pt>
                <c:pt idx="15">
                  <c:v>157.64000000000001</c:v>
                </c:pt>
                <c:pt idx="16">
                  <c:v>164.17333333333335</c:v>
                </c:pt>
                <c:pt idx="17">
                  <c:v>155.02666666666667</c:v>
                </c:pt>
                <c:pt idx="18">
                  <c:v>134.02666666666664</c:v>
                </c:pt>
                <c:pt idx="19">
                  <c:v>127.4</c:v>
                </c:pt>
                <c:pt idx="20">
                  <c:v>134.58666666666667</c:v>
                </c:pt>
                <c:pt idx="21">
                  <c:v>124.32000000000001</c:v>
                </c:pt>
                <c:pt idx="22">
                  <c:v>135.42666666666665</c:v>
                </c:pt>
                <c:pt idx="23">
                  <c:v>137.66666666666666</c:v>
                </c:pt>
                <c:pt idx="24">
                  <c:v>137.29333333333332</c:v>
                </c:pt>
                <c:pt idx="25">
                  <c:v>143.82666666666668</c:v>
                </c:pt>
                <c:pt idx="26">
                  <c:v>135.70666666666665</c:v>
                </c:pt>
                <c:pt idx="27">
                  <c:v>134.21333333333334</c:v>
                </c:pt>
                <c:pt idx="28">
                  <c:v>129.73333333333332</c:v>
                </c:pt>
                <c:pt idx="29">
                  <c:v>126.56</c:v>
                </c:pt>
                <c:pt idx="30">
                  <c:v>127.49333333333333</c:v>
                </c:pt>
                <c:pt idx="31">
                  <c:v>129.45333333333332</c:v>
                </c:pt>
                <c:pt idx="32">
                  <c:v>114.52</c:v>
                </c:pt>
                <c:pt idx="33">
                  <c:v>112.74666666666667</c:v>
                </c:pt>
                <c:pt idx="34">
                  <c:v>112.83999999999999</c:v>
                </c:pt>
                <c:pt idx="35">
                  <c:v>93.800000000000011</c:v>
                </c:pt>
                <c:pt idx="36">
                  <c:v>84.74666666666667</c:v>
                </c:pt>
                <c:pt idx="37">
                  <c:v>94.733333333333334</c:v>
                </c:pt>
                <c:pt idx="38">
                  <c:v>91.186666666666667</c:v>
                </c:pt>
                <c:pt idx="39">
                  <c:v>91.279999999999987</c:v>
                </c:pt>
                <c:pt idx="40">
                  <c:v>95.853333333333325</c:v>
                </c:pt>
                <c:pt idx="41">
                  <c:v>87.173333333333332</c:v>
                </c:pt>
                <c:pt idx="42">
                  <c:v>81.48</c:v>
                </c:pt>
                <c:pt idx="43">
                  <c:v>81.38666666666667</c:v>
                </c:pt>
                <c:pt idx="44">
                  <c:v>79.240000000000009</c:v>
                </c:pt>
                <c:pt idx="45">
                  <c:v>75.599999999999994</c:v>
                </c:pt>
                <c:pt idx="46">
                  <c:v>78.306666666666672</c:v>
                </c:pt>
                <c:pt idx="47">
                  <c:v>74.38666666666667</c:v>
                </c:pt>
                <c:pt idx="48">
                  <c:v>76.160000000000011</c:v>
                </c:pt>
                <c:pt idx="49">
                  <c:v>80.08</c:v>
                </c:pt>
                <c:pt idx="50">
                  <c:v>88.386666666666684</c:v>
                </c:pt>
                <c:pt idx="51">
                  <c:v>70.093333333333334</c:v>
                </c:pt>
                <c:pt idx="52">
                  <c:v>70.093333333333334</c:v>
                </c:pt>
                <c:pt idx="53">
                  <c:v>77.093333333333334</c:v>
                </c:pt>
                <c:pt idx="54">
                  <c:v>81.199999999999989</c:v>
                </c:pt>
                <c:pt idx="55">
                  <c:v>86.706666666666663</c:v>
                </c:pt>
                <c:pt idx="56">
                  <c:v>95.106666666666669</c:v>
                </c:pt>
                <c:pt idx="57">
                  <c:v>96.413333333333327</c:v>
                </c:pt>
                <c:pt idx="58">
                  <c:v>87.173333333333332</c:v>
                </c:pt>
                <c:pt idx="59">
                  <c:v>88.946666666666658</c:v>
                </c:pt>
                <c:pt idx="60">
                  <c:v>95.013333333333335</c:v>
                </c:pt>
                <c:pt idx="61">
                  <c:v>92.960000000000008</c:v>
                </c:pt>
                <c:pt idx="62">
                  <c:v>92.306666666666672</c:v>
                </c:pt>
                <c:pt idx="63">
                  <c:v>95.759999999999991</c:v>
                </c:pt>
                <c:pt idx="64">
                  <c:v>98.093333333333334</c:v>
                </c:pt>
                <c:pt idx="65">
                  <c:v>101.64000000000001</c:v>
                </c:pt>
                <c:pt idx="66">
                  <c:v>135.89333333333335</c:v>
                </c:pt>
                <c:pt idx="67">
                  <c:v>177.89333333333332</c:v>
                </c:pt>
                <c:pt idx="68">
                  <c:v>196.83999999999997</c:v>
                </c:pt>
                <c:pt idx="69">
                  <c:v>208.13333333333335</c:v>
                </c:pt>
                <c:pt idx="70">
                  <c:v>224.84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'Wool (Adjusted)'!$P$6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(Adjusted)'!$P$17:$P$87</c:f>
              <c:numCache>
                <c:formatCode>0.0000</c:formatCode>
                <c:ptCount val="71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57">
                  <c:v>42.25352112676056</c:v>
                </c:pt>
                <c:pt idx="60">
                  <c:v>56</c:v>
                </c:pt>
                <c:pt idx="61">
                  <c:v>56.942416721415199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'Wool (Adjusted)'!$Q$6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(Adjusted)'!$Q$17:$Q$87</c:f>
              <c:numCache>
                <c:formatCode>0.0000</c:formatCode>
                <c:ptCount val="71"/>
                <c:pt idx="57">
                  <c:v>165.07936507936509</c:v>
                </c:pt>
                <c:pt idx="60">
                  <c:v>113.63636363636364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'Wool (Adjusted)'!$R$6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(Adjusted)'!$R$17:$R$87</c:f>
              <c:numCache>
                <c:formatCode>0.0000</c:formatCode>
                <c:ptCount val="71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'Wool (Adjusted)'!$S$6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(Adjusted)'!$S$17:$S$87</c:f>
              <c:numCache>
                <c:formatCode>0.0000</c:formatCode>
                <c:ptCount val="71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'Wool (Adjusted)'!$V$6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(Adjusted)'!$V$17:$V$87</c:f>
              <c:numCache>
                <c:formatCode>0.0000</c:formatCode>
                <c:ptCount val="71"/>
                <c:pt idx="52">
                  <c:v>31.706341511779424</c:v>
                </c:pt>
                <c:pt idx="53">
                  <c:v>62.461918627256068</c:v>
                </c:pt>
                <c:pt idx="54">
                  <c:v>52.797346129496411</c:v>
                </c:pt>
                <c:pt idx="55">
                  <c:v>52.035053554040928</c:v>
                </c:pt>
                <c:pt idx="56">
                  <c:v>48.211844685692348</c:v>
                </c:pt>
                <c:pt idx="57">
                  <c:v>48.508768197428893</c:v>
                </c:pt>
                <c:pt idx="58">
                  <c:v>39.5081897570089</c:v>
                </c:pt>
                <c:pt idx="59">
                  <c:v>44.962979329537916</c:v>
                </c:pt>
                <c:pt idx="60">
                  <c:v>44.600791294351716</c:v>
                </c:pt>
                <c:pt idx="61">
                  <c:v>33.487416613988962</c:v>
                </c:pt>
                <c:pt idx="62">
                  <c:v>53.804861045093091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'Wool (Adjusted)'!$W$6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(Adjusted)'!$W$17:$W$87</c:f>
              <c:numCache>
                <c:formatCode>0.0000</c:formatCode>
                <c:ptCount val="71"/>
                <c:pt idx="52">
                  <c:v>30.517673333695967</c:v>
                </c:pt>
                <c:pt idx="53">
                  <c:v>42.596128972897922</c:v>
                </c:pt>
                <c:pt idx="54">
                  <c:v>39.231314264857346</c:v>
                </c:pt>
                <c:pt idx="55">
                  <c:v>49.271436338631808</c:v>
                </c:pt>
                <c:pt idx="56">
                  <c:v>51.496072851061435</c:v>
                </c:pt>
                <c:pt idx="57">
                  <c:v>58.367382684869888</c:v>
                </c:pt>
                <c:pt idx="58">
                  <c:v>45.875889159167649</c:v>
                </c:pt>
                <c:pt idx="59">
                  <c:v>40.913794455136291</c:v>
                </c:pt>
                <c:pt idx="60">
                  <c:v>47.153481054084381</c:v>
                </c:pt>
                <c:pt idx="61">
                  <c:v>56.270599046557955</c:v>
                </c:pt>
                <c:pt idx="62">
                  <c:v>63.665387441822432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'Wool (Adjusted)'!$X$6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(Adjusted)'!$X$17:$X$87</c:f>
              <c:numCache>
                <c:formatCode>0.0000</c:formatCode>
                <c:ptCount val="71"/>
                <c:pt idx="50">
                  <c:v>38.909808140577404</c:v>
                </c:pt>
                <c:pt idx="51">
                  <c:v>44.693815987933604</c:v>
                </c:pt>
                <c:pt idx="54">
                  <c:v>67.342766665330402</c:v>
                </c:pt>
                <c:pt idx="55">
                  <c:v>43.291361639824402</c:v>
                </c:pt>
                <c:pt idx="57">
                  <c:v>58.75</c:v>
                </c:pt>
                <c:pt idx="58">
                  <c:v>64.5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'Wool (Adjusted)'!$Y$6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(Adjusted)'!$Y$17:$Y$87</c:f>
              <c:numCache>
                <c:formatCode>0.0000</c:formatCode>
                <c:ptCount val="71"/>
                <c:pt idx="50">
                  <c:v>26.965327303845399</c:v>
                </c:pt>
                <c:pt idx="51">
                  <c:v>23.960086530171999</c:v>
                </c:pt>
                <c:pt idx="52">
                  <c:v>21.364779328882403</c:v>
                </c:pt>
                <c:pt idx="53">
                  <c:v>30.675045380991598</c:v>
                </c:pt>
                <c:pt idx="54">
                  <c:v>39.641547047340403</c:v>
                </c:pt>
                <c:pt idx="55">
                  <c:v>37.4080190582984</c:v>
                </c:pt>
                <c:pt idx="57">
                  <c:v>47.751760275094199</c:v>
                </c:pt>
                <c:pt idx="58">
                  <c:v>40.283960092095199</c:v>
                </c:pt>
                <c:pt idx="59">
                  <c:v>39.936766034327</c:v>
                </c:pt>
                <c:pt idx="60">
                  <c:v>37.954086781029204</c:v>
                </c:pt>
                <c:pt idx="61">
                  <c:v>46.011423131841994</c:v>
                </c:pt>
                <c:pt idx="62">
                  <c:v>39.219304471256194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'Wool (Adjusted)'!$Z$6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(Adjusted)'!$Z$17:$Z$87</c:f>
              <c:numCache>
                <c:formatCode>0.0000</c:formatCode>
                <c:ptCount val="71"/>
                <c:pt idx="44">
                  <c:v>56.123076923077022</c:v>
                </c:pt>
                <c:pt idx="57">
                  <c:v>42.666666666666565</c:v>
                </c:pt>
                <c:pt idx="58">
                  <c:v>32.000000000000028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'Wool (Adjusted)'!$AA$6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(Adjusted)'!$AA$17:$AA$87</c:f>
              <c:numCache>
                <c:formatCode>0.0000</c:formatCode>
                <c:ptCount val="71"/>
                <c:pt idx="60">
                  <c:v>26.886721680420003</c:v>
                </c:pt>
                <c:pt idx="61">
                  <c:v>50.412603150787582</c:v>
                </c:pt>
                <c:pt idx="62">
                  <c:v>61.455363840960317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'Wool (Adjusted)'!$AC$6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(Adjusted)'!$AC$17:$AC$87</c:f>
              <c:numCache>
                <c:formatCode>0.0000</c:formatCode>
                <c:ptCount val="71"/>
                <c:pt idx="24">
                  <c:v>35.137254901960738</c:v>
                </c:pt>
                <c:pt idx="25">
                  <c:v>79.999999999999972</c:v>
                </c:pt>
                <c:pt idx="43">
                  <c:v>32.274315858885629</c:v>
                </c:pt>
                <c:pt idx="52">
                  <c:v>17.286024619840703</c:v>
                </c:pt>
                <c:pt idx="56">
                  <c:v>33.58194106144304</c:v>
                </c:pt>
                <c:pt idx="57">
                  <c:v>35.735994470691871</c:v>
                </c:pt>
                <c:pt idx="58">
                  <c:v>30.778612447372382</c:v>
                </c:pt>
                <c:pt idx="59">
                  <c:v>50.480141243343397</c:v>
                </c:pt>
                <c:pt idx="60">
                  <c:v>43.783374641950722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'Wool (Adjusted)'!$AE$6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(Adjusted)'!$AE$17:$AE$87</c:f>
              <c:numCache>
                <c:formatCode>0.0000</c:formatCode>
                <c:ptCount val="71"/>
                <c:pt idx="28">
                  <c:v>17.946666666666662</c:v>
                </c:pt>
                <c:pt idx="41">
                  <c:v>214.21609195402303</c:v>
                </c:pt>
                <c:pt idx="42">
                  <c:v>243.86206896551806</c:v>
                </c:pt>
                <c:pt idx="56">
                  <c:v>45.342508939303741</c:v>
                </c:pt>
                <c:pt idx="57">
                  <c:v>39.819814141813211</c:v>
                </c:pt>
                <c:pt idx="58">
                  <c:v>29.552580582752192</c:v>
                </c:pt>
                <c:pt idx="59">
                  <c:v>40.233912170437442</c:v>
                </c:pt>
                <c:pt idx="60">
                  <c:v>48.492469130218396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'Wool (Adjusted)'!$AF$6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(Adjusted)'!$AF$17:$AF$87</c:f>
              <c:numCache>
                <c:formatCode>0.0000</c:formatCode>
                <c:ptCount val="71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'Wool (Adjusted)'!$AG$6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(Adjusted)'!$AG$17:$AG$87</c:f>
              <c:numCache>
                <c:formatCode>0.0000</c:formatCode>
                <c:ptCount val="71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'Wool (Adjusted)'!$AH$6</c:f>
              <c:strCache>
                <c:ptCount val="1"/>
                <c:pt idx="0">
                  <c:v>Muscat &amp; 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(Adjusted)'!$AH$17:$AH$87</c:f>
              <c:numCache>
                <c:formatCode>0.0000</c:formatCode>
                <c:ptCount val="71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'Wool (Adjusted)'!$AI$6</c:f>
              <c:strCache>
                <c:ptCount val="1"/>
                <c:pt idx="0">
                  <c:v>Muscat &amp; 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(Adjusted)'!$AI$17:$AI$87</c:f>
              <c:numCache>
                <c:formatCode>0.0000</c:formatCode>
                <c:ptCount val="71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'Wool (Adjusted)'!$AJ$6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(Adjusted)'!$AJ$17:$AJ$87</c:f>
              <c:numCache>
                <c:formatCode>0.0000</c:formatCode>
                <c:ptCount val="71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'Wool (Adjusted)'!$AK$6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(Adjusted)'!$AK$17:$AK$87</c:f>
              <c:numCache>
                <c:formatCode>0.0000</c:formatCode>
                <c:ptCount val="71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'Wool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(Adjusted)'!$AL$17:$AL$87</c:f>
              <c:numCache>
                <c:formatCode>0.0000</c:formatCode>
                <c:ptCount val="71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val>
          <c:smooth val="0"/>
        </c:ser>
        <c:ser>
          <c:idx val="0"/>
          <c:order val="20"/>
          <c:tx>
            <c:strRef>
              <c:f>'Wool (Adjusted)'!$AO$6</c:f>
              <c:strCache>
                <c:ptCount val="1"/>
                <c:pt idx="0">
                  <c:v>Karachi,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(Adjusted)'!$AO$17:$AO$98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val>
          <c:smooth val="0"/>
        </c:ser>
        <c:ser>
          <c:idx val="1"/>
          <c:order val="21"/>
          <c:tx>
            <c:strRef>
              <c:f>'Wool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(Adjusted)'!$AM$17:$AM$98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val>
          <c:smooth val="0"/>
        </c:ser>
        <c:ser>
          <c:idx val="13"/>
          <c:order val="22"/>
          <c:tx>
            <c:strRef>
              <c:f>'Wool (Adjusted)'!$AN$6</c:f>
              <c:strCache>
                <c:ptCount val="1"/>
                <c:pt idx="0">
                  <c:v>Bombay,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(Adjusted)'!$AN$17:$AN$98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val>
          <c:smooth val="0"/>
        </c:ser>
        <c:ser>
          <c:idx val="15"/>
          <c:order val="23"/>
          <c:tx>
            <c:strRef>
              <c:f>'Wool (Adjusted)'!$AP$6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(Adjusted)'!$AP$17:$AP$98</c:f>
              <c:numCache>
                <c:formatCode>0.0000</c:formatCode>
                <c:ptCount val="82"/>
                <c:pt idx="18">
                  <c:v>82.624492817649568</c:v>
                </c:pt>
                <c:pt idx="19">
                  <c:v>70.49794156066352</c:v>
                </c:pt>
                <c:pt idx="20">
                  <c:v>79.431901773101046</c:v>
                </c:pt>
                <c:pt idx="21">
                  <c:v>77.30467778303921</c:v>
                </c:pt>
                <c:pt idx="22">
                  <c:v>83.749600427266543</c:v>
                </c:pt>
                <c:pt idx="23">
                  <c:v>92.694001417370728</c:v>
                </c:pt>
                <c:pt idx="24">
                  <c:v>103.22116401551523</c:v>
                </c:pt>
                <c:pt idx="25">
                  <c:v>100.90215633115213</c:v>
                </c:pt>
                <c:pt idx="26">
                  <c:v>102.98086437029831</c:v>
                </c:pt>
                <c:pt idx="27">
                  <c:v>100.47632819265523</c:v>
                </c:pt>
                <c:pt idx="28">
                  <c:v>91.717882488629243</c:v>
                </c:pt>
                <c:pt idx="29">
                  <c:v>89.441592672110119</c:v>
                </c:pt>
                <c:pt idx="30">
                  <c:v>92.813461345528978</c:v>
                </c:pt>
                <c:pt idx="31">
                  <c:v>101.84035409807184</c:v>
                </c:pt>
                <c:pt idx="32">
                  <c:v>87.251946306196515</c:v>
                </c:pt>
                <c:pt idx="33">
                  <c:v>85.152315208223158</c:v>
                </c:pt>
                <c:pt idx="34">
                  <c:v>87.256143209598676</c:v>
                </c:pt>
                <c:pt idx="35">
                  <c:v>87.201389508798073</c:v>
                </c:pt>
                <c:pt idx="36">
                  <c:v>86.237972274758064</c:v>
                </c:pt>
                <c:pt idx="37">
                  <c:v>89.124919134930948</c:v>
                </c:pt>
                <c:pt idx="38">
                  <c:v>95.440121766691007</c:v>
                </c:pt>
                <c:pt idx="39">
                  <c:v>101.30889688584278</c:v>
                </c:pt>
                <c:pt idx="40">
                  <c:v>104.13023566146452</c:v>
                </c:pt>
                <c:pt idx="41">
                  <c:v>104.54166208777245</c:v>
                </c:pt>
                <c:pt idx="42">
                  <c:v>103.32590735914668</c:v>
                </c:pt>
                <c:pt idx="43">
                  <c:v>103.45809685284782</c:v>
                </c:pt>
                <c:pt idx="44">
                  <c:v>102.75419004669797</c:v>
                </c:pt>
                <c:pt idx="45">
                  <c:v>101.02729708659743</c:v>
                </c:pt>
                <c:pt idx="46">
                  <c:v>97.785697713578131</c:v>
                </c:pt>
                <c:pt idx="47">
                  <c:v>97.808059589849194</c:v>
                </c:pt>
                <c:pt idx="48">
                  <c:v>98.359618679777213</c:v>
                </c:pt>
                <c:pt idx="49">
                  <c:v>66.90519536755879</c:v>
                </c:pt>
                <c:pt idx="50">
                  <c:v>63.425516476818906</c:v>
                </c:pt>
                <c:pt idx="51">
                  <c:v>61.647605939125789</c:v>
                </c:pt>
                <c:pt idx="52">
                  <c:v>60.504724738192238</c:v>
                </c:pt>
                <c:pt idx="53">
                  <c:v>62.389042544091332</c:v>
                </c:pt>
                <c:pt idx="54">
                  <c:v>61.890335048153631</c:v>
                </c:pt>
                <c:pt idx="55">
                  <c:v>73.237119765317658</c:v>
                </c:pt>
                <c:pt idx="56">
                  <c:v>74.279723242400649</c:v>
                </c:pt>
                <c:pt idx="57">
                  <c:v>78.929071025163253</c:v>
                </c:pt>
                <c:pt idx="58">
                  <c:v>78.977043384617019</c:v>
                </c:pt>
                <c:pt idx="59">
                  <c:v>71.754571348455556</c:v>
                </c:pt>
                <c:pt idx="60">
                  <c:v>71.332173959089644</c:v>
                </c:pt>
                <c:pt idx="61">
                  <c:v>72.643382028270295</c:v>
                </c:pt>
                <c:pt idx="62">
                  <c:v>73.728090144083524</c:v>
                </c:pt>
                <c:pt idx="63">
                  <c:v>73.642078600294894</c:v>
                </c:pt>
                <c:pt idx="64">
                  <c:v>76.448272283540959</c:v>
                </c:pt>
                <c:pt idx="65">
                  <c:v>79.30277068156947</c:v>
                </c:pt>
                <c:pt idx="66">
                  <c:v>87.062763157684273</c:v>
                </c:pt>
                <c:pt idx="67">
                  <c:v>117.85048814413481</c:v>
                </c:pt>
                <c:pt idx="68">
                  <c:v>142.84480533149375</c:v>
                </c:pt>
                <c:pt idx="69">
                  <c:v>169.97539627681539</c:v>
                </c:pt>
                <c:pt idx="70">
                  <c:v>247.4842021253485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'Wool (Adjusted)'!$AQ$6</c:f>
              <c:strCache>
                <c:ptCount val="1"/>
                <c:pt idx="0">
                  <c:v>India (Average),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'Wool (Adjusted)'!$A$17:$A$98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cat>
          <c:val>
            <c:numRef>
              <c:f>'Wool (Adjusted)'!$AQ$17:$AQ$98</c:f>
              <c:numCache>
                <c:formatCode>General</c:formatCode>
                <c:ptCount val="82"/>
                <c:pt idx="11" formatCode="_(* #,##0.0000_);_(* \(#,##0.0000\);_(* &quot;-&quot;??_);_(@_)">
                  <c:v>49.736090592199908</c:v>
                </c:pt>
                <c:pt idx="12" formatCode="_(* #,##0.0000_);_(* \(#,##0.0000\);_(* &quot;-&quot;??_);_(@_)">
                  <c:v>54.815184959879488</c:v>
                </c:pt>
                <c:pt idx="13" formatCode="_(* #,##0.0000_);_(* \(#,##0.0000\);_(* &quot;-&quot;??_);_(@_)">
                  <c:v>73.012562401629907</c:v>
                </c:pt>
                <c:pt idx="14" formatCode="_(* #,##0.0000_);_(* \(#,##0.0000\);_(* &quot;-&quot;??_);_(@_)">
                  <c:v>51.108793681140938</c:v>
                </c:pt>
                <c:pt idx="15" formatCode="_(* #,##0.0000_);_(* \(#,##0.0000\);_(* &quot;-&quot;??_);_(@_)">
                  <c:v>59.02065650859862</c:v>
                </c:pt>
                <c:pt idx="16" formatCode="_(* #,##0.0000_);_(* \(#,##0.0000\);_(* &quot;-&quot;??_);_(@_)">
                  <c:v>66.625264331855959</c:v>
                </c:pt>
                <c:pt idx="17" formatCode="_(* #,##0.0000_);_(* \(#,##0.0000\);_(* &quot;-&quot;??_);_(@_)">
                  <c:v>57.636800787926184</c:v>
                </c:pt>
                <c:pt idx="18" formatCode="_(* #,##0.0000_);_(* \(#,##0.0000\);_(* &quot;-&quot;??_);_(@_)">
                  <c:v>66.052501133002337</c:v>
                </c:pt>
                <c:pt idx="19" formatCode="_(* #,##0.0000_);_(* \(#,##0.0000\);_(* &quot;-&quot;??_);_(@_)">
                  <c:v>58.615593029590663</c:v>
                </c:pt>
                <c:pt idx="20" formatCode="_(* #,##0.0000_);_(* \(#,##0.0000\);_(* &quot;-&quot;??_);_(@_)">
                  <c:v>58.277116798112068</c:v>
                </c:pt>
                <c:pt idx="21" formatCode="_(* #,##0.0000_);_(* \(#,##0.0000\);_(* &quot;-&quot;??_);_(@_)">
                  <c:v>63.479468893647812</c:v>
                </c:pt>
                <c:pt idx="22" formatCode="_(* #,##0.0000_);_(* \(#,##0.0000\);_(* &quot;-&quot;??_);_(@_)">
                  <c:v>83.592424300703271</c:v>
                </c:pt>
                <c:pt idx="23" formatCode="_(* #,##0.0000_);_(* \(#,##0.0000\);_(* &quot;-&quot;??_);_(@_)">
                  <c:v>86.301950510553226</c:v>
                </c:pt>
                <c:pt idx="24" formatCode="_(* #,##0.0000_);_(* \(#,##0.0000\);_(* &quot;-&quot;??_);_(@_)">
                  <c:v>70.97750538863059</c:v>
                </c:pt>
                <c:pt idx="25" formatCode="_(* #,##0.0000_);_(* \(#,##0.0000\);_(* &quot;-&quot;??_);_(@_)">
                  <c:v>69.687455846714613</c:v>
                </c:pt>
                <c:pt idx="26" formatCode="_(* #,##0.0000_);_(* \(#,##0.0000\);_(* &quot;-&quot;??_);_(@_)">
                  <c:v>66.106983155493651</c:v>
                </c:pt>
                <c:pt idx="27" formatCode="_(* #,##0.0000_);_(* \(#,##0.0000\);_(* &quot;-&quot;??_);_(@_)">
                  <c:v>71.069564901836529</c:v>
                </c:pt>
                <c:pt idx="28" formatCode="_(* #,##0.0000_);_(* \(#,##0.0000\);_(* &quot;-&quot;??_);_(@_)">
                  <c:v>60.916399364371863</c:v>
                </c:pt>
                <c:pt idx="29" formatCode="_(* #,##0.0000_);_(* \(#,##0.0000\);_(* &quot;-&quot;??_);_(@_)">
                  <c:v>58.718743128915612</c:v>
                </c:pt>
                <c:pt idx="30" formatCode="_(* #,##0.0000_);_(* \(#,##0.0000\);_(* &quot;-&quot;??_);_(@_)">
                  <c:v>81.59534208164105</c:v>
                </c:pt>
                <c:pt idx="31" formatCode="_(* #,##0.0000_);_(* \(#,##0.0000\);_(* &quot;-&quot;??_);_(@_)">
                  <c:v>77.128481600566388</c:v>
                </c:pt>
                <c:pt idx="32" formatCode="_(* #,##0.0000_);_(* \(#,##0.0000\);_(* &quot;-&quot;??_);_(@_)">
                  <c:v>70.007588635428135</c:v>
                </c:pt>
                <c:pt idx="33" formatCode="_(* #,##0.0000_);_(* \(#,##0.0000\);_(* &quot;-&quot;??_);_(@_)">
                  <c:v>68.653994851492612</c:v>
                </c:pt>
                <c:pt idx="34" formatCode="_(* #,##0.0000_);_(* \(#,##0.0000\);_(* &quot;-&quot;??_);_(@_)">
                  <c:v>66.007193601434849</c:v>
                </c:pt>
                <c:pt idx="35" formatCode="_(* #,##0.0000_);_(* \(#,##0.0000\);_(* &quot;-&quot;??_);_(@_)">
                  <c:v>63.4887854164582</c:v>
                </c:pt>
                <c:pt idx="36" formatCode="_(* #,##0.0000_);_(* \(#,##0.0000\);_(* &quot;-&quot;??_);_(@_)">
                  <c:v>61.585084207102234</c:v>
                </c:pt>
                <c:pt idx="37" formatCode="_(* #,##0.0000_);_(* \(#,##0.0000\);_(* &quot;-&quot;??_);_(@_)">
                  <c:v>64.70089914529332</c:v>
                </c:pt>
                <c:pt idx="38" formatCode="_(* #,##0.0000_);_(* \(#,##0.0000\);_(* &quot;-&quot;??_);_(@_)">
                  <c:v>62.174844039798018</c:v>
                </c:pt>
                <c:pt idx="39" formatCode="_(* #,##0.0000_);_(* \(#,##0.0000\);_(* &quot;-&quot;??_);_(@_)">
                  <c:v>64.157498780708394</c:v>
                </c:pt>
                <c:pt idx="40" formatCode="_(* #,##0.0000_);_(* \(#,##0.0000\);_(* &quot;-&quot;??_);_(@_)">
                  <c:v>66.765489206793134</c:v>
                </c:pt>
                <c:pt idx="41" formatCode="_(* #,##0.0000_);_(* \(#,##0.0000\);_(* &quot;-&quot;??_);_(@_)">
                  <c:v>62.47302277294574</c:v>
                </c:pt>
                <c:pt idx="42" formatCode="_(* #,##0.0000_);_(* \(#,##0.0000\);_(* &quot;-&quot;??_);_(@_)">
                  <c:v>59.255572713806963</c:v>
                </c:pt>
                <c:pt idx="43" formatCode="_(* #,##0.0000_);_(* \(#,##0.0000\);_(* &quot;-&quot;??_);_(@_)">
                  <c:v>60.835874540242266</c:v>
                </c:pt>
                <c:pt idx="44" formatCode="_(* #,##0.0000_);_(* \(#,##0.0000\);_(* &quot;-&quot;??_);_(@_)">
                  <c:v>53.953664524594252</c:v>
                </c:pt>
                <c:pt idx="45" formatCode="_(* #,##0.0000_);_(* \(#,##0.0000\);_(* &quot;-&quot;??_);_(@_)">
                  <c:v>54.988345152125191</c:v>
                </c:pt>
                <c:pt idx="46" formatCode="_(* #,##0.0000_);_(* \(#,##0.0000\);_(* &quot;-&quot;??_);_(@_)">
                  <c:v>56.734197319861529</c:v>
                </c:pt>
                <c:pt idx="47" formatCode="_(* #,##0.0000_);_(* \(#,##0.0000\);_(* &quot;-&quot;??_);_(@_)">
                  <c:v>58.005509519547623</c:v>
                </c:pt>
                <c:pt idx="48" formatCode="_(* #,##0.0000_);_(* \(#,##0.0000\);_(* &quot;-&quot;??_);_(@_)">
                  <c:v>55.938397864223056</c:v>
                </c:pt>
                <c:pt idx="49" formatCode="_(* #,##0.0000_);_(* \(#,##0.0000\);_(* &quot;-&quot;??_);_(@_)">
                  <c:v>43.787504188052829</c:v>
                </c:pt>
                <c:pt idx="50" formatCode="_(* #,##0.0000_);_(* \(#,##0.0000\);_(* &quot;-&quot;??_);_(@_)">
                  <c:v>41.757697193199583</c:v>
                </c:pt>
                <c:pt idx="51" formatCode="_(* #,##0.0000_);_(* \(#,##0.0000\);_(* &quot;-&quot;??_);_(@_)">
                  <c:v>42.224170009389717</c:v>
                </c:pt>
                <c:pt idx="52" formatCode="_(* #,##0.0000_);_(* \(#,##0.0000\);_(* &quot;-&quot;??_);_(@_)">
                  <c:v>40.065752330566696</c:v>
                </c:pt>
                <c:pt idx="53" formatCode="_(* #,##0.0000_);_(* \(#,##0.0000\);_(* &quot;-&quot;??_);_(@_)">
                  <c:v>40.148370344975547</c:v>
                </c:pt>
                <c:pt idx="54" formatCode="_(* #,##0.0000_);_(* \(#,##0.0000\);_(* &quot;-&quot;??_);_(@_)">
                  <c:v>43.050137164557007</c:v>
                </c:pt>
                <c:pt idx="55" formatCode="_(* #,##0.0000_);_(* \(#,##0.0000\);_(* &quot;-&quot;??_);_(@_)">
                  <c:v>60.875843996101139</c:v>
                </c:pt>
                <c:pt idx="56" formatCode="_(* #,##0.0000_);_(* \(#,##0.0000\);_(* &quot;-&quot;??_);_(@_)">
                  <c:v>59.3131701847024</c:v>
                </c:pt>
                <c:pt idx="57" formatCode="_(* #,##0.0000_);_(* \(#,##0.0000\);_(* &quot;-&quot;??_);_(@_)">
                  <c:v>61.306196686496158</c:v>
                </c:pt>
                <c:pt idx="58" formatCode="_(* #,##0.0000_);_(* \(#,##0.0000\);_(* &quot;-&quot;??_);_(@_)">
                  <c:v>56.25049069472793</c:v>
                </c:pt>
                <c:pt idx="59" formatCode="_(* #,##0.0000_);_(* \(#,##0.0000\);_(* &quot;-&quot;??_);_(@_)">
                  <c:v>53.388821600397847</c:v>
                </c:pt>
                <c:pt idx="60" formatCode="_(* #,##0.0000_);_(* \(#,##0.0000\);_(* &quot;-&quot;??_);_(@_)">
                  <c:v>53.126770615198133</c:v>
                </c:pt>
                <c:pt idx="61" formatCode="_(* #,##0.0000_);_(* \(#,##0.0000\);_(* &quot;-&quot;??_);_(@_)">
                  <c:v>55.638231218116445</c:v>
                </c:pt>
                <c:pt idx="62" formatCode="_(* #,##0.0000_);_(* \(#,##0.0000\);_(* &quot;-&quot;??_);_(@_)">
                  <c:v>56.723274876151066</c:v>
                </c:pt>
                <c:pt idx="63" formatCode="_(* #,##0.0000_);_(* \(#,##0.0000\);_(* &quot;-&quot;??_);_(@_)">
                  <c:v>57.561747174996675</c:v>
                </c:pt>
                <c:pt idx="64" formatCode="_(* #,##0.0000_);_(* \(#,##0.0000\);_(* &quot;-&quot;??_);_(@_)">
                  <c:v>52.821697117380239</c:v>
                </c:pt>
                <c:pt idx="65" formatCode="_(* #,##0.0000_);_(* \(#,##0.0000\);_(* &quot;-&quot;??_);_(@_)">
                  <c:v>54.76114143834571</c:v>
                </c:pt>
                <c:pt idx="66" formatCode="_(* #,##0.0000_);_(* \(#,##0.0000\);_(* &quot;-&quot;??_);_(@_)">
                  <c:v>63.506991334939698</c:v>
                </c:pt>
                <c:pt idx="67" formatCode="_(* #,##0.0000_);_(* \(#,##0.0000\);_(* &quot;-&quot;??_);_(@_)">
                  <c:v>77.876463584262524</c:v>
                </c:pt>
                <c:pt idx="68" formatCode="_(* #,##0.0000_);_(* \(#,##0.0000\);_(* &quot;-&quot;??_);_(@_)">
                  <c:v>90.629719738917601</c:v>
                </c:pt>
                <c:pt idx="69" formatCode="_(* #,##0.0000_);_(* \(#,##0.0000\);_(* &quot;-&quot;??_);_(@_)">
                  <c:v>104.45111277255404</c:v>
                </c:pt>
                <c:pt idx="70" formatCode="_(* #,##0.0000_);_(* \(#,##0.0000\);_(* &quot;-&quot;??_);_(@_)">
                  <c:v>140.13234496511328</c:v>
                </c:pt>
                <c:pt idx="71" formatCode="_(* #,##0.0000_);_(* \(#,##0.0000\);_(* &quot;-&quot;??_);_(@_)">
                  <c:v>22.024390243902438</c:v>
                </c:pt>
                <c:pt idx="72" formatCode="_(* #,##0.0000_);_(* \(#,##0.0000\);_(* &quot;-&quot;??_);_(@_)">
                  <c:v>23.304878048780488</c:v>
                </c:pt>
                <c:pt idx="73" formatCode="_(* #,##0.0000_);_(* \(#,##0.0000\);_(* &quot;-&quot;??_);_(@_)">
                  <c:v>30.987804878048784</c:v>
                </c:pt>
                <c:pt idx="74" formatCode="_(* #,##0.0000_);_(* \(#,##0.0000\);_(* &quot;-&quot;??_);_(@_)">
                  <c:v>39.439024390243901</c:v>
                </c:pt>
                <c:pt idx="75" formatCode="_(* #,##0.0000_);_(* \(#,##0.0000\);_(* &quot;-&quot;??_);_(@_)">
                  <c:v>47.121951219512198</c:v>
                </c:pt>
                <c:pt idx="76" formatCode="_(* #,##0.0000_);_(* \(#,##0.0000\);_(* &quot;-&quot;??_);_(@_)">
                  <c:v>36.878048780487809</c:v>
                </c:pt>
                <c:pt idx="77" formatCode="_(* #,##0.0000_);_(* \(#,##0.0000\);_(* &quot;-&quot;??_);_(@_)">
                  <c:v>35.469512195121951</c:v>
                </c:pt>
                <c:pt idx="78" formatCode="_(* #,##0.0000_);_(* \(#,##0.0000\);_(* &quot;-&quot;??_);_(@_)">
                  <c:v>35.59756097560976</c:v>
                </c:pt>
                <c:pt idx="79" formatCode="_(* #,##0.0000_);_(* \(#,##0.0000\);_(* &quot;-&quot;??_);_(@_)">
                  <c:v>37.134146341463421</c:v>
                </c:pt>
                <c:pt idx="80" formatCode="_(* #,##0.0000_);_(* \(#,##0.0000\);_(* &quot;-&quot;??_);_(@_)">
                  <c:v>26.031563845050211</c:v>
                </c:pt>
                <c:pt idx="81" formatCode="_(* #,##0.0000_);_(* \(#,##0.0000\);_(* &quot;-&quot;??_);_(@_)">
                  <c:v>14.944045911047343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322672"/>
        <c:axId val="336323232"/>
      </c:lineChart>
      <c:catAx>
        <c:axId val="33632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323232"/>
        <c:crosses val="autoZero"/>
        <c:auto val="1"/>
        <c:lblAlgn val="ctr"/>
        <c:lblOffset val="100"/>
        <c:noMultiLvlLbl val="0"/>
      </c:catAx>
      <c:valAx>
        <c:axId val="33632323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3226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95106634615229"/>
          <c:y val="8.4688040676529783E-2"/>
          <c:w val="0.218032616859795"/>
          <c:h val="0.86572586498436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(All)'!$M$7:$M$107</c:f>
              <c:numCache>
                <c:formatCode>0.0000</c:formatCode>
                <c:ptCount val="82"/>
                <c:pt idx="34">
                  <c:v>32.727272727272798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(All)'!$M$7:$M$107</c:f>
              <c:numCache>
                <c:formatCode>0.0000</c:formatCode>
                <c:ptCount val="82"/>
                <c:pt idx="34">
                  <c:v>32.727272727272798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900720"/>
        <c:axId val="353896800"/>
      </c:scatterChart>
      <c:valAx>
        <c:axId val="353900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96800"/>
        <c:crosses val="autoZero"/>
        <c:crossBetween val="midCat"/>
        <c:majorUnit val="5"/>
      </c:valAx>
      <c:valAx>
        <c:axId val="35389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900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(All)'!$N$7:$N$107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(All)'!$N$7:$N$107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62640"/>
        <c:axId val="353882240"/>
      </c:scatterChart>
      <c:valAx>
        <c:axId val="3538626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2240"/>
        <c:crosses val="autoZero"/>
        <c:crossBetween val="midCat"/>
        <c:majorUnit val="5"/>
      </c:valAx>
      <c:valAx>
        <c:axId val="3538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62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(All)'!$V$7:$V$107</c:f>
              <c:numCache>
                <c:formatCode>0.0000</c:formatCode>
                <c:ptCount val="82"/>
                <c:pt idx="8">
                  <c:v>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(All)'!$V$7:$V$107</c:f>
              <c:numCache>
                <c:formatCode>0.0000</c:formatCode>
                <c:ptCount val="82"/>
                <c:pt idx="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95120"/>
        <c:axId val="353894560"/>
      </c:scatterChart>
      <c:valAx>
        <c:axId val="353895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94560"/>
        <c:crosses val="autoZero"/>
        <c:crossBetween val="midCat"/>
        <c:majorUnit val="5"/>
      </c:valAx>
      <c:valAx>
        <c:axId val="3538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95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(All)'!$W$7:$W$107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(All)'!$W$7:$W$107</c:f>
              <c:numCache>
                <c:formatCode>0.0000</c:formatCode>
                <c:ptCount val="82"/>
                <c:pt idx="32">
                  <c:v>58.181818181818187</c:v>
                </c:pt>
                <c:pt idx="34">
                  <c:v>40.249128051818637</c:v>
                </c:pt>
                <c:pt idx="35">
                  <c:v>43.633366303989455</c:v>
                </c:pt>
                <c:pt idx="36">
                  <c:v>59.054758800521512</c:v>
                </c:pt>
                <c:pt idx="37">
                  <c:v>30.408967315909219</c:v>
                </c:pt>
                <c:pt idx="38">
                  <c:v>33.478369592398096</c:v>
                </c:pt>
                <c:pt idx="39">
                  <c:v>23.586206896551722</c:v>
                </c:pt>
                <c:pt idx="40">
                  <c:v>51.862068965517238</c:v>
                </c:pt>
                <c:pt idx="41">
                  <c:v>41.29032258064516</c:v>
                </c:pt>
                <c:pt idx="42">
                  <c:v>42.209523809523816</c:v>
                </c:pt>
                <c:pt idx="43">
                  <c:v>30.715151515151515</c:v>
                </c:pt>
                <c:pt idx="44">
                  <c:v>25.716049382716051</c:v>
                </c:pt>
                <c:pt idx="48">
                  <c:v>50</c:v>
                </c:pt>
                <c:pt idx="51">
                  <c:v>26.666666666666668</c:v>
                </c:pt>
                <c:pt idx="52">
                  <c:v>23.469387755102041</c:v>
                </c:pt>
                <c:pt idx="53">
                  <c:v>34.307692307692307</c:v>
                </c:pt>
                <c:pt idx="54">
                  <c:v>40</c:v>
                </c:pt>
                <c:pt idx="55">
                  <c:v>42.2</c:v>
                </c:pt>
                <c:pt idx="56">
                  <c:v>50</c:v>
                </c:pt>
                <c:pt idx="58">
                  <c:v>50</c:v>
                </c:pt>
                <c:pt idx="59">
                  <c:v>48</c:v>
                </c:pt>
                <c:pt idx="60">
                  <c:v>48</c:v>
                </c:pt>
                <c:pt idx="61">
                  <c:v>60.952380952380949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91760"/>
        <c:axId val="353891200"/>
      </c:scatterChart>
      <c:valAx>
        <c:axId val="353891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91200"/>
        <c:crosses val="autoZero"/>
        <c:crossBetween val="midCat"/>
        <c:majorUnit val="5"/>
      </c:valAx>
      <c:valAx>
        <c:axId val="3538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91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(All)'!$X$7:$X$107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(All)'!$X$7:$X$107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88400"/>
        <c:axId val="353887840"/>
      </c:scatterChart>
      <c:valAx>
        <c:axId val="353888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7840"/>
        <c:crosses val="autoZero"/>
        <c:crossBetween val="midCat"/>
        <c:majorUnit val="5"/>
      </c:valAx>
      <c:valAx>
        <c:axId val="3538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8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(All)'!$Y$7:$Y$107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(All)'!$Y$7:$Y$107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84480"/>
        <c:axId val="353883920"/>
      </c:scatterChart>
      <c:valAx>
        <c:axId val="353884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3920"/>
        <c:crosses val="autoZero"/>
        <c:crossBetween val="midCat"/>
        <c:majorUnit val="5"/>
      </c:valAx>
      <c:valAx>
        <c:axId val="35388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4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(All)'!$AA$7:$AA$107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(All)'!$AA$7:$AA$107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58864"/>
        <c:axId val="398738144"/>
      </c:scatterChart>
      <c:valAx>
        <c:axId val="398758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8144"/>
        <c:crosses val="autoZero"/>
        <c:crossBetween val="midCat"/>
        <c:majorUnit val="5"/>
      </c:valAx>
      <c:valAx>
        <c:axId val="3987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58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(All)'!$Z$7:$Z$107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(All)'!$Z$7:$Z$107</c:f>
              <c:numCache>
                <c:formatCode>0.0000</c:formatCode>
                <c:ptCount val="82"/>
                <c:pt idx="21">
                  <c:v>91.333333333333329</c:v>
                </c:pt>
                <c:pt idx="23">
                  <c:v>66.145833333333329</c:v>
                </c:pt>
                <c:pt idx="24">
                  <c:v>50.336507936507935</c:v>
                </c:pt>
                <c:pt idx="25">
                  <c:v>45.940594059405939</c:v>
                </c:pt>
                <c:pt idx="26">
                  <c:v>36.507936507936506</c:v>
                </c:pt>
                <c:pt idx="29">
                  <c:v>38.733705772811916</c:v>
                </c:pt>
                <c:pt idx="38">
                  <c:v>55.555555555555557</c:v>
                </c:pt>
                <c:pt idx="41">
                  <c:v>48.888888888888893</c:v>
                </c:pt>
                <c:pt idx="42">
                  <c:v>48.25396825396826</c:v>
                </c:pt>
                <c:pt idx="44">
                  <c:v>35.555555555555557</c:v>
                </c:pt>
                <c:pt idx="45">
                  <c:v>48.888888888888893</c:v>
                </c:pt>
                <c:pt idx="46">
                  <c:v>53.333333333333329</c:v>
                </c:pt>
                <c:pt idx="47">
                  <c:v>46.666666666666671</c:v>
                </c:pt>
                <c:pt idx="48">
                  <c:v>46.666666666666671</c:v>
                </c:pt>
                <c:pt idx="49">
                  <c:v>48.888888888888893</c:v>
                </c:pt>
                <c:pt idx="50">
                  <c:v>49.382716049382715</c:v>
                </c:pt>
                <c:pt idx="51">
                  <c:v>51.90243902439024</c:v>
                </c:pt>
                <c:pt idx="59">
                  <c:v>93.476599999999991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04544"/>
        <c:axId val="398752704"/>
      </c:scatterChart>
      <c:valAx>
        <c:axId val="398704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52704"/>
        <c:crosses val="autoZero"/>
        <c:crossBetween val="midCat"/>
        <c:majorUnit val="5"/>
      </c:valAx>
      <c:valAx>
        <c:axId val="3987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04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(All)'!$G$7:$G$107</c:f>
              <c:numCache>
                <c:formatCode>0.0000</c:formatCode>
                <c:ptCount val="82"/>
                <c:pt idx="14">
                  <c:v>26.795425896339072</c:v>
                </c:pt>
                <c:pt idx="16">
                  <c:v>26.795282773149633</c:v>
                </c:pt>
                <c:pt idx="17">
                  <c:v>26.771814091938495</c:v>
                </c:pt>
                <c:pt idx="18">
                  <c:v>53.604822696234436</c:v>
                </c:pt>
                <c:pt idx="19">
                  <c:v>52.148873684918755</c:v>
                </c:pt>
                <c:pt idx="20">
                  <c:v>26.958802613738911</c:v>
                </c:pt>
                <c:pt idx="25">
                  <c:v>10.109701309821165</c:v>
                </c:pt>
                <c:pt idx="27">
                  <c:v>7.5774134790528151</c:v>
                </c:pt>
                <c:pt idx="34">
                  <c:v>60.000000000000036</c:v>
                </c:pt>
                <c:pt idx="37">
                  <c:v>46.666429781236388</c:v>
                </c:pt>
                <c:pt idx="38">
                  <c:v>58.773784355179714</c:v>
                </c:pt>
                <c:pt idx="39">
                  <c:v>56.730769230769312</c:v>
                </c:pt>
                <c:pt idx="40">
                  <c:v>56.623655913978496</c:v>
                </c:pt>
                <c:pt idx="41">
                  <c:v>56.599999999999902</c:v>
                </c:pt>
                <c:pt idx="42">
                  <c:v>53.331561461794109</c:v>
                </c:pt>
                <c:pt idx="43">
                  <c:v>140.03360000000001</c:v>
                </c:pt>
                <c:pt idx="44">
                  <c:v>53.273539748421669</c:v>
                </c:pt>
                <c:pt idx="46">
                  <c:v>60.003367988158786</c:v>
                </c:pt>
                <c:pt idx="47">
                  <c:v>59.995843724023196</c:v>
                </c:pt>
                <c:pt idx="48">
                  <c:v>46.667014668267392</c:v>
                </c:pt>
                <c:pt idx="49">
                  <c:v>46.669155688303455</c:v>
                </c:pt>
                <c:pt idx="50">
                  <c:v>46.669155688303455</c:v>
                </c:pt>
                <c:pt idx="51">
                  <c:v>42.416984518734559</c:v>
                </c:pt>
                <c:pt idx="52">
                  <c:v>46.666666666666593</c:v>
                </c:pt>
                <c:pt idx="53">
                  <c:v>66.666666666666742</c:v>
                </c:pt>
                <c:pt idx="54">
                  <c:v>66.666666666666742</c:v>
                </c:pt>
                <c:pt idx="55">
                  <c:v>69.928182268449788</c:v>
                </c:pt>
                <c:pt idx="56">
                  <c:v>73.02351313969578</c:v>
                </c:pt>
                <c:pt idx="57">
                  <c:v>66.666666666666742</c:v>
                </c:pt>
                <c:pt idx="58">
                  <c:v>58.333696204368927</c:v>
                </c:pt>
                <c:pt idx="59">
                  <c:v>73.333333333333243</c:v>
                </c:pt>
                <c:pt idx="60">
                  <c:v>74.998469744666053</c:v>
                </c:pt>
                <c:pt idx="61">
                  <c:v>66.666666666666742</c:v>
                </c:pt>
                <c:pt idx="62">
                  <c:v>83.328730769607461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47728"/>
        <c:axId val="182349968"/>
      </c:scatterChart>
      <c:valAx>
        <c:axId val="182347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49968"/>
        <c:crosses val="autoZero"/>
        <c:crossBetween val="midCat"/>
        <c:majorUnit val="5"/>
      </c:valAx>
      <c:valAx>
        <c:axId val="18234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47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(Rumeli),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(All)'!$AC$7:$AC$107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(All)'!$AC$7:$AC$107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51024"/>
        <c:axId val="398731424"/>
      </c:scatterChart>
      <c:valAx>
        <c:axId val="398751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1424"/>
        <c:crosses val="autoZero"/>
        <c:crossBetween val="midCat"/>
        <c:majorUnit val="5"/>
      </c:valAx>
      <c:valAx>
        <c:axId val="39873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51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(Anatolia),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(All)'!$AF$7:$AF$107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(All)'!$AF$7:$AF$107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28624"/>
        <c:axId val="398738704"/>
      </c:scatterChart>
      <c:valAx>
        <c:axId val="398728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8704"/>
        <c:crosses val="autoZero"/>
        <c:crossBetween val="midCat"/>
        <c:majorUnit val="5"/>
      </c:valAx>
      <c:valAx>
        <c:axId val="39873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28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(All)'!$AD$7:$AD$107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(All)'!$AD$7:$AD$107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52144"/>
        <c:axId val="398717424"/>
      </c:scatterChart>
      <c:valAx>
        <c:axId val="398752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17424"/>
        <c:crosses val="autoZero"/>
        <c:crossBetween val="midCat"/>
        <c:majorUnit val="5"/>
      </c:valAx>
      <c:valAx>
        <c:axId val="3987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52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(All)'!$AE$7:$AE$107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(All)'!$AE$7:$AE$107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19664"/>
        <c:axId val="398726384"/>
      </c:scatterChart>
      <c:valAx>
        <c:axId val="398719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26384"/>
        <c:crosses val="autoZero"/>
        <c:crossBetween val="midCat"/>
        <c:majorUnit val="5"/>
      </c:valAx>
      <c:valAx>
        <c:axId val="39872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19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(All)'!$AG$7:$AG$107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(All)'!$AG$7:$AG$107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43744"/>
        <c:axId val="398721904"/>
      </c:scatterChart>
      <c:valAx>
        <c:axId val="398743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21904"/>
        <c:crosses val="autoZero"/>
        <c:crossBetween val="midCat"/>
        <c:majorUnit val="5"/>
      </c:valAx>
      <c:valAx>
        <c:axId val="39872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43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(All)'!$AH$7:$AH$107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(All)'!$AH$7:$AH$107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30304"/>
        <c:axId val="398734224"/>
      </c:scatterChart>
      <c:valAx>
        <c:axId val="3987303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4224"/>
        <c:crosses val="autoZero"/>
        <c:crossBetween val="midCat"/>
        <c:majorUnit val="5"/>
      </c:valAx>
      <c:valAx>
        <c:axId val="3987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0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(All)'!$AM$7:$AM$107</c:f>
              <c:numCache>
                <c:formatCode>0.0000</c:formatCode>
                <c:ptCount val="82"/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61">
                  <c:v>55.551500109497042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(All)'!$AM$7:$AM$107</c:f>
              <c:numCache>
                <c:formatCode>0.0000</c:formatCode>
                <c:ptCount val="82"/>
                <c:pt idx="46">
                  <c:v>57.431215627657977</c:v>
                </c:pt>
                <c:pt idx="50">
                  <c:v>54.890403093780989</c:v>
                </c:pt>
                <c:pt idx="51">
                  <c:v>63.478653085846688</c:v>
                </c:pt>
                <c:pt idx="61">
                  <c:v>55.551500109497042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18544"/>
        <c:axId val="398732544"/>
      </c:scatterChart>
      <c:valAx>
        <c:axId val="398718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2544"/>
        <c:crosses val="autoZero"/>
        <c:crossBetween val="midCat"/>
        <c:majorUnit val="5"/>
      </c:valAx>
      <c:valAx>
        <c:axId val="39873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18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(All)'!$AL$7:$AL$107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(All)'!$AL$7:$AL$107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23584"/>
        <c:axId val="398734784"/>
      </c:scatterChart>
      <c:valAx>
        <c:axId val="398723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34784"/>
        <c:crosses val="autoZero"/>
        <c:crossBetween val="midCat"/>
        <c:majorUnit val="5"/>
      </c:valAx>
      <c:valAx>
        <c:axId val="3987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23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(All)'!$AN$7:$AN$107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(All)'!$AN$7:$AN$107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00624"/>
        <c:axId val="398705104"/>
      </c:scatterChart>
      <c:valAx>
        <c:axId val="398700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05104"/>
        <c:crosses val="autoZero"/>
        <c:crossBetween val="midCat"/>
        <c:majorUnit val="5"/>
      </c:valAx>
      <c:valAx>
        <c:axId val="39870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0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(All)'!$AO$7:$AO$107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(All)'!$AO$7:$AO$107</c:f>
              <c:numCache>
                <c:formatCode>0.0000</c:formatCode>
                <c:ptCount val="82"/>
                <c:pt idx="57">
                  <c:v>165.07936507936509</c:v>
                </c:pt>
                <c:pt idx="60">
                  <c:v>113.63636363636364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699504"/>
        <c:axId val="398698944"/>
      </c:scatterChart>
      <c:valAx>
        <c:axId val="398699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698944"/>
        <c:crosses val="autoZero"/>
        <c:crossBetween val="midCat"/>
        <c:majorUnit val="5"/>
      </c:valAx>
      <c:valAx>
        <c:axId val="39869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699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(All)'!$H$7:$H$107</c:f>
              <c:numCache>
                <c:formatCode>0.0000</c:formatCode>
                <c:ptCount val="82"/>
                <c:pt idx="43">
                  <c:v>47.917150326797469</c:v>
                </c:pt>
                <c:pt idx="44">
                  <c:v>49.411764705882433</c:v>
                </c:pt>
                <c:pt idx="45">
                  <c:v>39.957008480626271</c:v>
                </c:pt>
                <c:pt idx="46">
                  <c:v>46.700714694783741</c:v>
                </c:pt>
                <c:pt idx="47">
                  <c:v>39.539645555320291</c:v>
                </c:pt>
                <c:pt idx="48">
                  <c:v>41.516627833086112</c:v>
                </c:pt>
                <c:pt idx="49">
                  <c:v>28.754108906619038</c:v>
                </c:pt>
                <c:pt idx="50">
                  <c:v>38.431372549019521</c:v>
                </c:pt>
                <c:pt idx="51">
                  <c:v>39.803921568627551</c:v>
                </c:pt>
                <c:pt idx="52">
                  <c:v>41.176470588235361</c:v>
                </c:pt>
                <c:pt idx="53">
                  <c:v>47.490196078431453</c:v>
                </c:pt>
                <c:pt idx="54">
                  <c:v>50.46405228758163</c:v>
                </c:pt>
                <c:pt idx="55">
                  <c:v>52.156862745098046</c:v>
                </c:pt>
                <c:pt idx="56">
                  <c:v>64.784313725490236</c:v>
                </c:pt>
                <c:pt idx="57">
                  <c:v>52.545715032679681</c:v>
                </c:pt>
                <c:pt idx="58">
                  <c:v>43.647058823529505</c:v>
                </c:pt>
                <c:pt idx="59">
                  <c:v>43.921568627450981</c:v>
                </c:pt>
                <c:pt idx="60">
                  <c:v>58.264705882352928</c:v>
                </c:pt>
                <c:pt idx="61">
                  <c:v>54.352941176470495</c:v>
                </c:pt>
                <c:pt idx="62">
                  <c:v>58.882352941176357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(All)'!$H$7:$H$107</c:f>
              <c:numCache>
                <c:formatCode>0.0000</c:formatCode>
                <c:ptCount val="82"/>
                <c:pt idx="43">
                  <c:v>47.917150326797469</c:v>
                </c:pt>
                <c:pt idx="44">
                  <c:v>49.411764705882433</c:v>
                </c:pt>
                <c:pt idx="45">
                  <c:v>39.957008480626271</c:v>
                </c:pt>
                <c:pt idx="46">
                  <c:v>46.700714694783741</c:v>
                </c:pt>
                <c:pt idx="47">
                  <c:v>39.539645555320291</c:v>
                </c:pt>
                <c:pt idx="48">
                  <c:v>41.516627833086112</c:v>
                </c:pt>
                <c:pt idx="49">
                  <c:v>28.754108906619038</c:v>
                </c:pt>
                <c:pt idx="50">
                  <c:v>38.431372549019521</c:v>
                </c:pt>
                <c:pt idx="51">
                  <c:v>39.803921568627551</c:v>
                </c:pt>
                <c:pt idx="52">
                  <c:v>41.176470588235361</c:v>
                </c:pt>
                <c:pt idx="53">
                  <c:v>47.490196078431453</c:v>
                </c:pt>
                <c:pt idx="54">
                  <c:v>50.46405228758163</c:v>
                </c:pt>
                <c:pt idx="55">
                  <c:v>52.156862745098046</c:v>
                </c:pt>
                <c:pt idx="56">
                  <c:v>64.784313725490236</c:v>
                </c:pt>
                <c:pt idx="57">
                  <c:v>52.545715032679681</c:v>
                </c:pt>
                <c:pt idx="58">
                  <c:v>43.647058823529505</c:v>
                </c:pt>
                <c:pt idx="59">
                  <c:v>43.921568627450981</c:v>
                </c:pt>
                <c:pt idx="60">
                  <c:v>58.264705882352928</c:v>
                </c:pt>
                <c:pt idx="61">
                  <c:v>54.352941176470495</c:v>
                </c:pt>
                <c:pt idx="62">
                  <c:v>58.882352941176357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79440"/>
        <c:axId val="353881680"/>
      </c:scatterChart>
      <c:valAx>
        <c:axId val="3538794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81680"/>
        <c:crosses val="autoZero"/>
        <c:crossBetween val="midCat"/>
        <c:majorUnit val="5"/>
      </c:valAx>
      <c:valAx>
        <c:axId val="35388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794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(All)'!$AP$7:$AP$107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57">
                  <c:v>42.25352112676056</c:v>
                </c:pt>
                <c:pt idx="60">
                  <c:v>56</c:v>
                </c:pt>
                <c:pt idx="61">
                  <c:v>58.333333333333407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(All)'!$AP$7:$AP$107</c:f>
              <c:numCache>
                <c:formatCode>0.0000</c:formatCode>
                <c:ptCount val="82"/>
                <c:pt idx="12">
                  <c:v>68.601477639722276</c:v>
                </c:pt>
                <c:pt idx="35">
                  <c:v>39.626379847155356</c:v>
                </c:pt>
                <c:pt idx="37">
                  <c:v>54.936572060829086</c:v>
                </c:pt>
                <c:pt idx="57">
                  <c:v>42.25352112676056</c:v>
                </c:pt>
                <c:pt idx="60">
                  <c:v>56</c:v>
                </c:pt>
                <c:pt idx="61">
                  <c:v>58.333333333333407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696144"/>
        <c:axId val="398694464"/>
      </c:scatterChart>
      <c:valAx>
        <c:axId val="398696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694464"/>
        <c:crosses val="autoZero"/>
        <c:crossBetween val="midCat"/>
        <c:majorUnit val="5"/>
      </c:valAx>
      <c:valAx>
        <c:axId val="39869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696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(All)'!$AQ$7:$AQ$107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(All)'!$AQ$7:$AQ$107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707344"/>
        <c:axId val="398709584"/>
      </c:scatterChart>
      <c:valAx>
        <c:axId val="398707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09584"/>
        <c:crosses val="autoZero"/>
        <c:crossBetween val="midCat"/>
        <c:majorUnit val="5"/>
      </c:valAx>
      <c:valAx>
        <c:axId val="39870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707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(All)'!$AR$7:$AR$107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(All)'!$AR$7:$AR$107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82976"/>
        <c:axId val="538380176"/>
      </c:scatterChart>
      <c:valAx>
        <c:axId val="538382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80176"/>
        <c:crosses val="autoZero"/>
        <c:crossBetween val="midCat"/>
        <c:majorUnit val="5"/>
      </c:valAx>
      <c:valAx>
        <c:axId val="53838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82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(All)'!$AS$7:$AS$107</c:f>
              <c:numCache>
                <c:formatCode>0.0000</c:formatCode>
                <c:ptCount val="82"/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69.475847893114079</c:v>
                </c:pt>
                <c:pt idx="25">
                  <c:v>57.142857142857146</c:v>
                </c:pt>
                <c:pt idx="27">
                  <c:v>50</c:v>
                </c:pt>
                <c:pt idx="28">
                  <c:v>50</c:v>
                </c:pt>
                <c:pt idx="29">
                  <c:v>57.142857142857146</c:v>
                </c:pt>
                <c:pt idx="33">
                  <c:v>76.457142857142856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22.972972972972975</c:v>
                </c:pt>
                <c:pt idx="42">
                  <c:v>22.38095238095238</c:v>
                </c:pt>
                <c:pt idx="43">
                  <c:v>32.857142857142854</c:v>
                </c:pt>
                <c:pt idx="44">
                  <c:v>34.339622641509436</c:v>
                </c:pt>
                <c:pt idx="45">
                  <c:v>33.191489361702125</c:v>
                </c:pt>
                <c:pt idx="46">
                  <c:v>40</c:v>
                </c:pt>
                <c:pt idx="47">
                  <c:v>36.756756756756758</c:v>
                </c:pt>
                <c:pt idx="48">
                  <c:v>28.148148148148149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40.487804878048777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38.095238095238095</c:v>
                </c:pt>
                <c:pt idx="59">
                  <c:v>39.852941176470587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(All)'!$AT$7:$AT$107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76256"/>
        <c:axId val="538380736"/>
      </c:scatterChart>
      <c:valAx>
        <c:axId val="538376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80736"/>
        <c:crosses val="autoZero"/>
        <c:crossBetween val="midCat"/>
        <c:majorUnit val="5"/>
      </c:valAx>
      <c:valAx>
        <c:axId val="5383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6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(All)'!$AT$7:$AT$107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(All)'!$AT$7:$AT$107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71216"/>
        <c:axId val="538375136"/>
      </c:scatterChart>
      <c:valAx>
        <c:axId val="538371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5136"/>
        <c:crosses val="autoZero"/>
        <c:crossBetween val="midCat"/>
        <c:majorUnit val="5"/>
      </c:valAx>
      <c:valAx>
        <c:axId val="5383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1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(All)'!$AU$7:$AU$107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(All)'!$AU$7:$AU$107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70656"/>
        <c:axId val="538370096"/>
      </c:scatterChart>
      <c:valAx>
        <c:axId val="538370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0096"/>
        <c:crosses val="autoZero"/>
        <c:crossBetween val="midCat"/>
        <c:majorUnit val="5"/>
      </c:valAx>
      <c:valAx>
        <c:axId val="53837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0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(All)'!$AV$7:$AV$107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(All)'!$AV$7:$AV$107</c:f>
              <c:numCache>
                <c:formatCode>0.0000</c:formatCode>
                <c:ptCount val="82"/>
                <c:pt idx="24">
                  <c:v>57.142857142857146</c:v>
                </c:pt>
                <c:pt idx="25">
                  <c:v>57.142857142857146</c:v>
                </c:pt>
                <c:pt idx="27">
                  <c:v>57.142857142857146</c:v>
                </c:pt>
                <c:pt idx="28">
                  <c:v>57.142857142857146</c:v>
                </c:pt>
                <c:pt idx="29">
                  <c:v>57.142857142857146</c:v>
                </c:pt>
                <c:pt idx="30">
                  <c:v>57.142857142857146</c:v>
                </c:pt>
                <c:pt idx="31">
                  <c:v>57.142857142857146</c:v>
                </c:pt>
                <c:pt idx="32">
                  <c:v>57.142857142857146</c:v>
                </c:pt>
                <c:pt idx="33">
                  <c:v>45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39.970501474926252</c:v>
                </c:pt>
                <c:pt idx="39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68416"/>
        <c:axId val="538367296"/>
      </c:scatterChart>
      <c:valAx>
        <c:axId val="538368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67296"/>
        <c:crosses val="autoZero"/>
        <c:crossBetween val="midCat"/>
        <c:majorUnit val="5"/>
      </c:valAx>
      <c:valAx>
        <c:axId val="53836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68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(All)'!$AW$7:$AW$107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(All)'!$AW$7:$AW$107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59456"/>
        <c:axId val="538358896"/>
      </c:scatterChart>
      <c:valAx>
        <c:axId val="538359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8896"/>
        <c:crosses val="autoZero"/>
        <c:crossBetween val="midCat"/>
        <c:majorUnit val="5"/>
      </c:valAx>
      <c:valAx>
        <c:axId val="53835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9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(All)'!$AX$7:$AX$107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(All)'!$AX$7:$AX$107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56096"/>
        <c:axId val="538355536"/>
      </c:scatterChart>
      <c:valAx>
        <c:axId val="538356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5536"/>
        <c:crosses val="autoZero"/>
        <c:crossBetween val="midCat"/>
        <c:majorUnit val="5"/>
      </c:valAx>
      <c:valAx>
        <c:axId val="53835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56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(All)'!$BB$7:$BB$107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(All)'!$BB$7:$BB$107</c:f>
              <c:numCache>
                <c:formatCode>0.0000</c:formatCode>
                <c:ptCount val="82"/>
                <c:pt idx="28">
                  <c:v>80.01363791339918</c:v>
                </c:pt>
                <c:pt idx="29">
                  <c:v>55.510698425514683</c:v>
                </c:pt>
                <c:pt idx="30">
                  <c:v>59.999999999999943</c:v>
                </c:pt>
                <c:pt idx="31">
                  <c:v>59.999999999999957</c:v>
                </c:pt>
                <c:pt idx="32">
                  <c:v>59.999999999999943</c:v>
                </c:pt>
                <c:pt idx="33">
                  <c:v>59.985311398354817</c:v>
                </c:pt>
                <c:pt idx="35">
                  <c:v>43.899430740037907</c:v>
                </c:pt>
                <c:pt idx="36">
                  <c:v>44.341544607190372</c:v>
                </c:pt>
                <c:pt idx="37">
                  <c:v>43.939377682403389</c:v>
                </c:pt>
                <c:pt idx="38">
                  <c:v>48.830966304650467</c:v>
                </c:pt>
                <c:pt idx="39">
                  <c:v>46.092173438778254</c:v>
                </c:pt>
                <c:pt idx="40">
                  <c:v>52.428104575163353</c:v>
                </c:pt>
                <c:pt idx="41">
                  <c:v>49.501429592566069</c:v>
                </c:pt>
                <c:pt idx="42">
                  <c:v>46.16869788325846</c:v>
                </c:pt>
                <c:pt idx="43">
                  <c:v>49.818644067796562</c:v>
                </c:pt>
                <c:pt idx="44">
                  <c:v>50.578046324269842</c:v>
                </c:pt>
                <c:pt idx="45">
                  <c:v>50.927293710328861</c:v>
                </c:pt>
                <c:pt idx="46">
                  <c:v>53.488805970149208</c:v>
                </c:pt>
                <c:pt idx="47">
                  <c:v>52.502292075965897</c:v>
                </c:pt>
                <c:pt idx="48">
                  <c:v>51.991330953595053</c:v>
                </c:pt>
                <c:pt idx="49">
                  <c:v>55.877637130801631</c:v>
                </c:pt>
                <c:pt idx="50">
                  <c:v>58.49999999999995</c:v>
                </c:pt>
                <c:pt idx="51">
                  <c:v>60.49343981745573</c:v>
                </c:pt>
                <c:pt idx="52">
                  <c:v>58.371517027863725</c:v>
                </c:pt>
                <c:pt idx="53">
                  <c:v>61.600357621814872</c:v>
                </c:pt>
                <c:pt idx="54">
                  <c:v>61.626168224299015</c:v>
                </c:pt>
                <c:pt idx="55">
                  <c:v>62.630331753554444</c:v>
                </c:pt>
                <c:pt idx="56">
                  <c:v>62.572595281306668</c:v>
                </c:pt>
                <c:pt idx="57">
                  <c:v>62.35795454545449</c:v>
                </c:pt>
                <c:pt idx="58">
                  <c:v>80.713266761768821</c:v>
                </c:pt>
                <c:pt idx="59">
                  <c:v>99.659781287970745</c:v>
                </c:pt>
                <c:pt idx="60">
                  <c:v>99.396396396396312</c:v>
                </c:pt>
                <c:pt idx="61">
                  <c:v>106.06332378223496</c:v>
                </c:pt>
                <c:pt idx="62">
                  <c:v>105.69272727272728</c:v>
                </c:pt>
                <c:pt idx="63">
                  <c:v>104.78571428571429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76816"/>
        <c:axId val="538378496"/>
      </c:scatterChart>
      <c:valAx>
        <c:axId val="538376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8496"/>
        <c:crosses val="autoZero"/>
        <c:crossBetween val="midCat"/>
        <c:majorUnit val="5"/>
      </c:valAx>
      <c:valAx>
        <c:axId val="53837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76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(All)'!$J$7:$J$107</c:f>
              <c:numCache>
                <c:formatCode>0.0000</c:formatCode>
                <c:ptCount val="82"/>
                <c:pt idx="37">
                  <c:v>64.65782296057526</c:v>
                </c:pt>
                <c:pt idx="38">
                  <c:v>55.947071567309216</c:v>
                </c:pt>
                <c:pt idx="39">
                  <c:v>58.65411756245328</c:v>
                </c:pt>
                <c:pt idx="40">
                  <c:v>56.249045964316799</c:v>
                </c:pt>
                <c:pt idx="41">
                  <c:v>56.867153719994022</c:v>
                </c:pt>
                <c:pt idx="42">
                  <c:v>53.333333333333314</c:v>
                </c:pt>
                <c:pt idx="43">
                  <c:v>58.797589298838652</c:v>
                </c:pt>
                <c:pt idx="44">
                  <c:v>40.000000000000099</c:v>
                </c:pt>
                <c:pt idx="45">
                  <c:v>41.999925503780609</c:v>
                </c:pt>
                <c:pt idx="46">
                  <c:v>40.000000000000099</c:v>
                </c:pt>
                <c:pt idx="47">
                  <c:v>45.32046288027059</c:v>
                </c:pt>
                <c:pt idx="48">
                  <c:v>40.000000000000099</c:v>
                </c:pt>
                <c:pt idx="49">
                  <c:v>40.000401533859424</c:v>
                </c:pt>
                <c:pt idx="50">
                  <c:v>40.000000000000099</c:v>
                </c:pt>
                <c:pt idx="51">
                  <c:v>40.000000000000099</c:v>
                </c:pt>
                <c:pt idx="52">
                  <c:v>40.000000000000099</c:v>
                </c:pt>
                <c:pt idx="53">
                  <c:v>40.000000000000099</c:v>
                </c:pt>
                <c:pt idx="54">
                  <c:v>40.000000000000099</c:v>
                </c:pt>
                <c:pt idx="55">
                  <c:v>41.70984056891993</c:v>
                </c:pt>
                <c:pt idx="56">
                  <c:v>41.999865747033823</c:v>
                </c:pt>
                <c:pt idx="57">
                  <c:v>43.333333333333343</c:v>
                </c:pt>
                <c:pt idx="58">
                  <c:v>46.666666666666593</c:v>
                </c:pt>
                <c:pt idx="59">
                  <c:v>46.666666666666593</c:v>
                </c:pt>
                <c:pt idx="60">
                  <c:v>46.683230728174657</c:v>
                </c:pt>
                <c:pt idx="61">
                  <c:v>46.666666666666593</c:v>
                </c:pt>
                <c:pt idx="62">
                  <c:v>46.666666666666593</c:v>
                </c:pt>
                <c:pt idx="63">
                  <c:v>46.666666666666593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(All)'!$J$7:$J$107</c:f>
              <c:numCache>
                <c:formatCode>0.0000</c:formatCode>
                <c:ptCount val="82"/>
                <c:pt idx="37">
                  <c:v>64.65782296057526</c:v>
                </c:pt>
                <c:pt idx="38">
                  <c:v>55.947071567309216</c:v>
                </c:pt>
                <c:pt idx="39">
                  <c:v>58.65411756245328</c:v>
                </c:pt>
                <c:pt idx="40">
                  <c:v>56.249045964316799</c:v>
                </c:pt>
                <c:pt idx="41">
                  <c:v>56.867153719994022</c:v>
                </c:pt>
                <c:pt idx="42">
                  <c:v>53.333333333333314</c:v>
                </c:pt>
                <c:pt idx="43">
                  <c:v>58.797589298838652</c:v>
                </c:pt>
                <c:pt idx="44">
                  <c:v>40.000000000000099</c:v>
                </c:pt>
                <c:pt idx="45">
                  <c:v>41.999925503780609</c:v>
                </c:pt>
                <c:pt idx="46">
                  <c:v>40.000000000000099</c:v>
                </c:pt>
                <c:pt idx="47">
                  <c:v>45.32046288027059</c:v>
                </c:pt>
                <c:pt idx="48">
                  <c:v>40.000000000000099</c:v>
                </c:pt>
                <c:pt idx="49">
                  <c:v>40.000401533859424</c:v>
                </c:pt>
                <c:pt idx="50">
                  <c:v>40.000000000000099</c:v>
                </c:pt>
                <c:pt idx="51">
                  <c:v>40.000000000000099</c:v>
                </c:pt>
                <c:pt idx="52">
                  <c:v>40.000000000000099</c:v>
                </c:pt>
                <c:pt idx="53">
                  <c:v>40.000000000000099</c:v>
                </c:pt>
                <c:pt idx="54">
                  <c:v>40.000000000000099</c:v>
                </c:pt>
                <c:pt idx="55">
                  <c:v>41.70984056891993</c:v>
                </c:pt>
                <c:pt idx="56">
                  <c:v>41.999865747033823</c:v>
                </c:pt>
                <c:pt idx="57">
                  <c:v>43.333333333333343</c:v>
                </c:pt>
                <c:pt idx="58">
                  <c:v>46.666666666666593</c:v>
                </c:pt>
                <c:pt idx="59">
                  <c:v>46.666666666666593</c:v>
                </c:pt>
                <c:pt idx="60">
                  <c:v>46.683230728174657</c:v>
                </c:pt>
                <c:pt idx="61">
                  <c:v>46.666666666666593</c:v>
                </c:pt>
                <c:pt idx="62">
                  <c:v>46.666666666666593</c:v>
                </c:pt>
                <c:pt idx="63">
                  <c:v>46.666666666666593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64320"/>
        <c:axId val="353865440"/>
      </c:scatterChart>
      <c:valAx>
        <c:axId val="353864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65440"/>
        <c:crosses val="autoZero"/>
        <c:crossBetween val="midCat"/>
        <c:majorUnit val="5"/>
      </c:valAx>
      <c:valAx>
        <c:axId val="35386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64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(All)'!$BF$7:$BF$107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(All)'!$BF$7:$BF$107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81296"/>
        <c:axId val="364064864"/>
      </c:scatterChart>
      <c:valAx>
        <c:axId val="538381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64864"/>
        <c:crosses val="autoZero"/>
        <c:crossBetween val="midCat"/>
        <c:majorUnit val="5"/>
      </c:valAx>
      <c:valAx>
        <c:axId val="36406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8381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(All)'!$AY$7:$AY$107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(All)'!$AY$7:$AY$107</c:f>
              <c:numCache>
                <c:formatCode>0.0000</c:formatCode>
                <c:ptCount val="82"/>
                <c:pt idx="19">
                  <c:v>95.141911527284449</c:v>
                </c:pt>
                <c:pt idx="21">
                  <c:v>66.722742636407531</c:v>
                </c:pt>
                <c:pt idx="22">
                  <c:v>64.530079388415174</c:v>
                </c:pt>
                <c:pt idx="24">
                  <c:v>69.51695762718127</c:v>
                </c:pt>
                <c:pt idx="25">
                  <c:v>54.268068768466506</c:v>
                </c:pt>
                <c:pt idx="26">
                  <c:v>34.223809245470022</c:v>
                </c:pt>
                <c:pt idx="27">
                  <c:v>66.279564927195779</c:v>
                </c:pt>
                <c:pt idx="28">
                  <c:v>74.728688003941187</c:v>
                </c:pt>
                <c:pt idx="29">
                  <c:v>76.750734612450856</c:v>
                </c:pt>
                <c:pt idx="30">
                  <c:v>76.181125404858292</c:v>
                </c:pt>
                <c:pt idx="31">
                  <c:v>74.866842105263146</c:v>
                </c:pt>
                <c:pt idx="32">
                  <c:v>85.542408645924198</c:v>
                </c:pt>
                <c:pt idx="33">
                  <c:v>94.118671054816915</c:v>
                </c:pt>
                <c:pt idx="34">
                  <c:v>85.562105263157889</c:v>
                </c:pt>
                <c:pt idx="35">
                  <c:v>85.562105263157889</c:v>
                </c:pt>
                <c:pt idx="36">
                  <c:v>74.866842105263146</c:v>
                </c:pt>
                <c:pt idx="38">
                  <c:v>64.171578947368417</c:v>
                </c:pt>
                <c:pt idx="39">
                  <c:v>57.533763935097959</c:v>
                </c:pt>
                <c:pt idx="40">
                  <c:v>48.128684210526316</c:v>
                </c:pt>
                <c:pt idx="41">
                  <c:v>42.781052631578945</c:v>
                </c:pt>
                <c:pt idx="42">
                  <c:v>42.781052631578945</c:v>
                </c:pt>
                <c:pt idx="44">
                  <c:v>32.085789473684208</c:v>
                </c:pt>
                <c:pt idx="48">
                  <c:v>34.917647058823526</c:v>
                </c:pt>
                <c:pt idx="49">
                  <c:v>40.254211332312408</c:v>
                </c:pt>
                <c:pt idx="50">
                  <c:v>40.547979797979799</c:v>
                </c:pt>
                <c:pt idx="51">
                  <c:v>43.984375</c:v>
                </c:pt>
                <c:pt idx="52">
                  <c:v>44.048780487804876</c:v>
                </c:pt>
                <c:pt idx="53">
                  <c:v>47.376470588235293</c:v>
                </c:pt>
                <c:pt idx="54">
                  <c:v>39.412017167381975</c:v>
                </c:pt>
                <c:pt idx="55">
                  <c:v>32.578486554096308</c:v>
                </c:pt>
                <c:pt idx="56">
                  <c:v>23.272964169381108</c:v>
                </c:pt>
                <c:pt idx="57">
                  <c:v>30.116625310173696</c:v>
                </c:pt>
                <c:pt idx="58">
                  <c:v>6.8016528925619832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071584"/>
        <c:axId val="364074944"/>
      </c:scatterChart>
      <c:valAx>
        <c:axId val="364071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4944"/>
        <c:crosses val="autoZero"/>
        <c:crossBetween val="midCat"/>
        <c:majorUnit val="5"/>
      </c:valAx>
      <c:valAx>
        <c:axId val="36407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1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(All)'!$AZ$7:$AZ$107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(All)'!$AZ$7:$AZ$107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078864"/>
        <c:axId val="364056464"/>
      </c:scatterChart>
      <c:valAx>
        <c:axId val="364078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56464"/>
        <c:crosses val="autoZero"/>
        <c:crossBetween val="midCat"/>
        <c:majorUnit val="5"/>
      </c:valAx>
      <c:valAx>
        <c:axId val="36405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8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(All)'!$BA$7:$BA$107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(All)'!$BA$7:$BA$107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063744"/>
        <c:axId val="364067104"/>
      </c:scatterChart>
      <c:valAx>
        <c:axId val="364063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67104"/>
        <c:crosses val="autoZero"/>
        <c:crossBetween val="midCat"/>
        <c:majorUnit val="5"/>
      </c:valAx>
      <c:valAx>
        <c:axId val="3640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63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(All)'!$BC$7:$BC$107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(All)'!$BC$7:$BC$107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053664"/>
        <c:axId val="364077744"/>
      </c:scatterChart>
      <c:valAx>
        <c:axId val="364053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7744"/>
        <c:crosses val="autoZero"/>
        <c:crossBetween val="midCat"/>
        <c:majorUnit val="5"/>
      </c:valAx>
      <c:valAx>
        <c:axId val="36407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53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(All)'!$BE$7:$BE$107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(All)'!$BE$7:$BE$107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073264"/>
        <c:axId val="364079424"/>
      </c:scatterChart>
      <c:valAx>
        <c:axId val="364073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9424"/>
        <c:crosses val="autoZero"/>
        <c:crossBetween val="midCat"/>
        <c:majorUnit val="5"/>
      </c:valAx>
      <c:valAx>
        <c:axId val="36407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4073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(All)'!$BD$7:$BD$107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(All)'!$BD$7:$BD$107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52288"/>
        <c:axId val="293156208"/>
      </c:scatterChart>
      <c:valAx>
        <c:axId val="293152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56208"/>
        <c:crosses val="autoZero"/>
        <c:crossBetween val="midCat"/>
        <c:majorUnit val="5"/>
      </c:valAx>
      <c:valAx>
        <c:axId val="2931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52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(All)'!$BG$7:$BG$107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(All)'!$BG$7:$BG$107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49488"/>
        <c:axId val="293148928"/>
      </c:scatterChart>
      <c:valAx>
        <c:axId val="293149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8928"/>
        <c:crosses val="autoZero"/>
        <c:crossBetween val="midCat"/>
        <c:majorUnit val="5"/>
      </c:valAx>
      <c:valAx>
        <c:axId val="29314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9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(All)'!$BH$7:$BH$107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(All)'!$BH$7:$BH$107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53968"/>
        <c:axId val="293157328"/>
      </c:scatterChart>
      <c:valAx>
        <c:axId val="293153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57328"/>
        <c:crosses val="autoZero"/>
        <c:crossBetween val="midCat"/>
        <c:majorUnit val="5"/>
      </c:valAx>
      <c:valAx>
        <c:axId val="2931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53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(All)'!$BI$7:$BI$107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(All)'!$BI$7:$BI$107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47248"/>
        <c:axId val="293146688"/>
      </c:scatterChart>
      <c:valAx>
        <c:axId val="29314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6688"/>
        <c:crosses val="autoZero"/>
        <c:crossBetween val="midCat"/>
        <c:majorUnit val="5"/>
      </c:valAx>
      <c:valAx>
        <c:axId val="2931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(All)'!$K$7:$K$107</c:f>
              <c:numCache>
                <c:formatCode>0.0000</c:formatCode>
                <c:ptCount val="82"/>
                <c:pt idx="11">
                  <c:v>121.33333333333341</c:v>
                </c:pt>
                <c:pt idx="12">
                  <c:v>126</c:v>
                </c:pt>
                <c:pt idx="13">
                  <c:v>126</c:v>
                </c:pt>
                <c:pt idx="14">
                  <c:v>298.66666666666589</c:v>
                </c:pt>
                <c:pt idx="15">
                  <c:v>168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(All)'!$K$7:$K$107</c:f>
              <c:numCache>
                <c:formatCode>0.0000</c:formatCode>
                <c:ptCount val="82"/>
                <c:pt idx="11">
                  <c:v>121.33333333333341</c:v>
                </c:pt>
                <c:pt idx="12">
                  <c:v>126</c:v>
                </c:pt>
                <c:pt idx="13">
                  <c:v>126</c:v>
                </c:pt>
                <c:pt idx="14">
                  <c:v>298.66666666666589</c:v>
                </c:pt>
                <c:pt idx="15">
                  <c:v>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70480"/>
        <c:axId val="353871040"/>
      </c:scatterChart>
      <c:valAx>
        <c:axId val="353870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71040"/>
        <c:crosses val="autoZero"/>
        <c:crossBetween val="midCat"/>
        <c:majorUnit val="5"/>
      </c:valAx>
      <c:valAx>
        <c:axId val="3538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70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(All)'!$BJ$7:$BJ$107</c:f>
              <c:numCache>
                <c:formatCode>0.0000</c:formatCode>
                <c:ptCount val="82"/>
                <c:pt idx="52">
                  <c:v>31.706341511779424</c:v>
                </c:pt>
                <c:pt idx="53">
                  <c:v>62.461918627256068</c:v>
                </c:pt>
                <c:pt idx="54">
                  <c:v>52.797346129496411</c:v>
                </c:pt>
                <c:pt idx="55">
                  <c:v>52.035053554040928</c:v>
                </c:pt>
                <c:pt idx="56">
                  <c:v>48.211844685692348</c:v>
                </c:pt>
                <c:pt idx="57">
                  <c:v>48.508768197428893</c:v>
                </c:pt>
                <c:pt idx="58">
                  <c:v>39.5081897570089</c:v>
                </c:pt>
                <c:pt idx="59">
                  <c:v>44.962979329537916</c:v>
                </c:pt>
                <c:pt idx="60">
                  <c:v>44.600791294351716</c:v>
                </c:pt>
                <c:pt idx="61">
                  <c:v>33.487416613988962</c:v>
                </c:pt>
                <c:pt idx="62">
                  <c:v>53.804861045093091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(All)'!$BJ$7:$BJ$107</c:f>
              <c:numCache>
                <c:formatCode>0.0000</c:formatCode>
                <c:ptCount val="82"/>
                <c:pt idx="52">
                  <c:v>31.706341511779424</c:v>
                </c:pt>
                <c:pt idx="53">
                  <c:v>62.461918627256068</c:v>
                </c:pt>
                <c:pt idx="54">
                  <c:v>52.797346129496411</c:v>
                </c:pt>
                <c:pt idx="55">
                  <c:v>52.035053554040928</c:v>
                </c:pt>
                <c:pt idx="56">
                  <c:v>48.211844685692348</c:v>
                </c:pt>
                <c:pt idx="57">
                  <c:v>48.508768197428893</c:v>
                </c:pt>
                <c:pt idx="58">
                  <c:v>39.5081897570089</c:v>
                </c:pt>
                <c:pt idx="59">
                  <c:v>44.962979329537916</c:v>
                </c:pt>
                <c:pt idx="60">
                  <c:v>44.600791294351716</c:v>
                </c:pt>
                <c:pt idx="61">
                  <c:v>33.487416613988962</c:v>
                </c:pt>
                <c:pt idx="62">
                  <c:v>53.804861045093091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43888"/>
        <c:axId val="293143328"/>
      </c:scatterChart>
      <c:valAx>
        <c:axId val="293143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3328"/>
        <c:crosses val="autoZero"/>
        <c:crossBetween val="midCat"/>
        <c:majorUnit val="5"/>
      </c:valAx>
      <c:valAx>
        <c:axId val="2931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143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(All)'!$BK$7:$BK$107</c:f>
              <c:numCache>
                <c:formatCode>0.0000</c:formatCode>
                <c:ptCount val="82"/>
                <c:pt idx="52">
                  <c:v>30.517673333695967</c:v>
                </c:pt>
                <c:pt idx="53">
                  <c:v>42.596128972897922</c:v>
                </c:pt>
                <c:pt idx="54">
                  <c:v>39.231314264857346</c:v>
                </c:pt>
                <c:pt idx="55">
                  <c:v>49.271436338631808</c:v>
                </c:pt>
                <c:pt idx="56">
                  <c:v>51.496072851061435</c:v>
                </c:pt>
                <c:pt idx="57">
                  <c:v>58.367382684869888</c:v>
                </c:pt>
                <c:pt idx="58">
                  <c:v>45.875889159167649</c:v>
                </c:pt>
                <c:pt idx="59">
                  <c:v>40.913794455136291</c:v>
                </c:pt>
                <c:pt idx="60">
                  <c:v>47.153481054084381</c:v>
                </c:pt>
                <c:pt idx="61">
                  <c:v>56.270599046557955</c:v>
                </c:pt>
                <c:pt idx="62">
                  <c:v>63.665387441822432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(All)'!$BK$7:$BK$107</c:f>
              <c:numCache>
                <c:formatCode>0.0000</c:formatCode>
                <c:ptCount val="82"/>
                <c:pt idx="52">
                  <c:v>30.517673333695967</c:v>
                </c:pt>
                <c:pt idx="53">
                  <c:v>42.596128972897922</c:v>
                </c:pt>
                <c:pt idx="54">
                  <c:v>39.231314264857346</c:v>
                </c:pt>
                <c:pt idx="55">
                  <c:v>49.271436338631808</c:v>
                </c:pt>
                <c:pt idx="56">
                  <c:v>51.496072851061435</c:v>
                </c:pt>
                <c:pt idx="57">
                  <c:v>58.367382684869888</c:v>
                </c:pt>
                <c:pt idx="58">
                  <c:v>45.875889159167649</c:v>
                </c:pt>
                <c:pt idx="59">
                  <c:v>40.913794455136291</c:v>
                </c:pt>
                <c:pt idx="60">
                  <c:v>47.153481054084381</c:v>
                </c:pt>
                <c:pt idx="61">
                  <c:v>56.270599046557955</c:v>
                </c:pt>
                <c:pt idx="62">
                  <c:v>63.665387441822432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508912"/>
        <c:axId val="294508352"/>
      </c:scatterChart>
      <c:valAx>
        <c:axId val="294508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508352"/>
        <c:crosses val="autoZero"/>
        <c:crossBetween val="midCat"/>
        <c:majorUnit val="5"/>
      </c:valAx>
      <c:valAx>
        <c:axId val="29450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508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(All)'!$BL$7:$BL$107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(All)'!$BL$7:$BL$107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507792"/>
        <c:axId val="294500512"/>
      </c:scatterChart>
      <c:valAx>
        <c:axId val="294507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500512"/>
        <c:crosses val="autoZero"/>
        <c:crossBetween val="midCat"/>
        <c:majorUnit val="5"/>
      </c:valAx>
      <c:valAx>
        <c:axId val="29450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507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(All)'!$BM$7:$BM$107</c:f>
              <c:numCache>
                <c:formatCode>0.0000</c:formatCode>
                <c:ptCount val="82"/>
                <c:pt idx="50">
                  <c:v>38.909808140577404</c:v>
                </c:pt>
                <c:pt idx="51">
                  <c:v>44.693815987933604</c:v>
                </c:pt>
                <c:pt idx="54">
                  <c:v>67.342766665330402</c:v>
                </c:pt>
                <c:pt idx="55">
                  <c:v>43.291361639824402</c:v>
                </c:pt>
                <c:pt idx="57">
                  <c:v>58.75</c:v>
                </c:pt>
                <c:pt idx="58">
                  <c:v>64.5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(All)'!$BM$7:$BM$107</c:f>
              <c:numCache>
                <c:formatCode>0.0000</c:formatCode>
                <c:ptCount val="82"/>
                <c:pt idx="50">
                  <c:v>38.909808140577404</c:v>
                </c:pt>
                <c:pt idx="51">
                  <c:v>44.693815987933604</c:v>
                </c:pt>
                <c:pt idx="54">
                  <c:v>67.342766665330402</c:v>
                </c:pt>
                <c:pt idx="55">
                  <c:v>43.291361639824402</c:v>
                </c:pt>
                <c:pt idx="57">
                  <c:v>58.75</c:v>
                </c:pt>
                <c:pt idx="58">
                  <c:v>64.5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497712"/>
        <c:axId val="294497152"/>
      </c:scatterChart>
      <c:valAx>
        <c:axId val="2944977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497152"/>
        <c:crosses val="autoZero"/>
        <c:crossBetween val="midCat"/>
        <c:majorUnit val="5"/>
      </c:valAx>
      <c:valAx>
        <c:axId val="29449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4977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(All)'!$BN$7:$BN$107</c:f>
              <c:numCache>
                <c:formatCode>0.0000</c:formatCode>
                <c:ptCount val="82"/>
                <c:pt idx="50">
                  <c:v>26.965327303845399</c:v>
                </c:pt>
                <c:pt idx="51">
                  <c:v>23.960086530171999</c:v>
                </c:pt>
                <c:pt idx="52">
                  <c:v>21.364779328882403</c:v>
                </c:pt>
                <c:pt idx="53">
                  <c:v>30.675045380991598</c:v>
                </c:pt>
                <c:pt idx="54">
                  <c:v>39.641547047340403</c:v>
                </c:pt>
                <c:pt idx="55">
                  <c:v>37.4080190582984</c:v>
                </c:pt>
                <c:pt idx="57">
                  <c:v>47.751760275094199</c:v>
                </c:pt>
                <c:pt idx="58">
                  <c:v>40.283960092095199</c:v>
                </c:pt>
                <c:pt idx="59">
                  <c:v>39.936766034327</c:v>
                </c:pt>
                <c:pt idx="60">
                  <c:v>37.954086781029204</c:v>
                </c:pt>
                <c:pt idx="61">
                  <c:v>46.011423131841994</c:v>
                </c:pt>
                <c:pt idx="62">
                  <c:v>39.219304471256194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(All)'!$BN$7:$BN$107</c:f>
              <c:numCache>
                <c:formatCode>0.0000</c:formatCode>
                <c:ptCount val="82"/>
                <c:pt idx="50">
                  <c:v>26.965327303845399</c:v>
                </c:pt>
                <c:pt idx="51">
                  <c:v>23.960086530171999</c:v>
                </c:pt>
                <c:pt idx="52">
                  <c:v>21.364779328882403</c:v>
                </c:pt>
                <c:pt idx="53">
                  <c:v>30.675045380991598</c:v>
                </c:pt>
                <c:pt idx="54">
                  <c:v>39.641547047340403</c:v>
                </c:pt>
                <c:pt idx="55">
                  <c:v>37.4080190582984</c:v>
                </c:pt>
                <c:pt idx="57">
                  <c:v>47.751760275094199</c:v>
                </c:pt>
                <c:pt idx="58">
                  <c:v>40.283960092095199</c:v>
                </c:pt>
                <c:pt idx="59">
                  <c:v>39.936766034327</c:v>
                </c:pt>
                <c:pt idx="60">
                  <c:v>37.954086781029204</c:v>
                </c:pt>
                <c:pt idx="61">
                  <c:v>46.011423131841994</c:v>
                </c:pt>
                <c:pt idx="62">
                  <c:v>39.219304471256194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494352"/>
        <c:axId val="294493792"/>
      </c:scatterChart>
      <c:valAx>
        <c:axId val="294494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493792"/>
        <c:crosses val="autoZero"/>
        <c:crossBetween val="midCat"/>
        <c:majorUnit val="5"/>
      </c:valAx>
      <c:valAx>
        <c:axId val="2944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4494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(All)'!$BO$7:$BO$107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(All)'!$BO$7:$BO$107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78432"/>
        <c:axId val="228176752"/>
      </c:scatterChart>
      <c:valAx>
        <c:axId val="228178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8176752"/>
        <c:crosses val="autoZero"/>
        <c:crossBetween val="midCat"/>
        <c:majorUnit val="5"/>
      </c:valAx>
      <c:valAx>
        <c:axId val="2281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8178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(All)'!$BP$7:$BP$107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(All)'!$BP$7:$BP$107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76192"/>
        <c:axId val="228181232"/>
      </c:scatterChart>
      <c:valAx>
        <c:axId val="228176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8181232"/>
        <c:crosses val="autoZero"/>
        <c:crossBetween val="midCat"/>
        <c:majorUnit val="5"/>
      </c:valAx>
      <c:valAx>
        <c:axId val="22818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8176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(All)'!$BQ$7:$BQ$107</c:f>
              <c:numCache>
                <c:formatCode>0.0000</c:formatCode>
                <c:ptCount val="82"/>
                <c:pt idx="44">
                  <c:v>56.123076923077022</c:v>
                </c:pt>
                <c:pt idx="57">
                  <c:v>42.666666666666565</c:v>
                </c:pt>
                <c:pt idx="58">
                  <c:v>32.000000000000028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(All)'!$BQ$7:$BQ$107</c:f>
              <c:numCache>
                <c:formatCode>0.0000</c:formatCode>
                <c:ptCount val="82"/>
                <c:pt idx="44">
                  <c:v>56.123076923077022</c:v>
                </c:pt>
                <c:pt idx="57">
                  <c:v>42.666666666666565</c:v>
                </c:pt>
                <c:pt idx="58">
                  <c:v>32.000000000000028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34112"/>
        <c:axId val="352834672"/>
      </c:scatterChart>
      <c:valAx>
        <c:axId val="352834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34672"/>
        <c:crosses val="autoZero"/>
        <c:crossBetween val="midCat"/>
        <c:majorUnit val="5"/>
      </c:valAx>
      <c:valAx>
        <c:axId val="35283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34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(All)'!$BR$7:$BR$107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(All)'!$BR$7:$BR$107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37472"/>
        <c:axId val="352838032"/>
      </c:scatterChart>
      <c:valAx>
        <c:axId val="352837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38032"/>
        <c:crosses val="autoZero"/>
        <c:crossBetween val="midCat"/>
        <c:majorUnit val="5"/>
      </c:valAx>
      <c:valAx>
        <c:axId val="35283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37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(All)'!$BS$7:$BS$107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(All)'!$BS$7:$BS$107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40832"/>
        <c:axId val="352841392"/>
      </c:scatterChart>
      <c:valAx>
        <c:axId val="352840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1392"/>
        <c:crosses val="autoZero"/>
        <c:crossBetween val="midCat"/>
        <c:majorUnit val="5"/>
      </c:valAx>
      <c:valAx>
        <c:axId val="3528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0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(All)'!$S$7:$S$107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(All)'!$S$7:$S$107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58160"/>
        <c:axId val="353856480"/>
      </c:scatterChart>
      <c:valAx>
        <c:axId val="353858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6480"/>
        <c:crosses val="autoZero"/>
        <c:crossBetween val="midCat"/>
        <c:majorUnit val="5"/>
      </c:valAx>
      <c:valAx>
        <c:axId val="3538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8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(All)'!$BT$7:$BT$107</c:f>
              <c:numCache>
                <c:formatCode>0.0000</c:formatCode>
                <c:ptCount val="82"/>
                <c:pt idx="60">
                  <c:v>26.886721680420003</c:v>
                </c:pt>
                <c:pt idx="61">
                  <c:v>50.412603150787582</c:v>
                </c:pt>
                <c:pt idx="62">
                  <c:v>61.455363840960317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(All)'!$BT$7:$BT$107</c:f>
              <c:numCache>
                <c:formatCode>0.0000</c:formatCode>
                <c:ptCount val="82"/>
                <c:pt idx="60">
                  <c:v>26.886721680420003</c:v>
                </c:pt>
                <c:pt idx="61">
                  <c:v>50.412603150787582</c:v>
                </c:pt>
                <c:pt idx="62">
                  <c:v>61.455363840960317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44192"/>
        <c:axId val="352844752"/>
      </c:scatterChart>
      <c:valAx>
        <c:axId val="352844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4752"/>
        <c:crosses val="autoZero"/>
        <c:crossBetween val="midCat"/>
        <c:majorUnit val="5"/>
      </c:valAx>
      <c:valAx>
        <c:axId val="3528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4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(All)'!$BU$7:$BU$107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(All)'!$BU$7:$BU$107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47552"/>
        <c:axId val="352848112"/>
      </c:scatterChart>
      <c:valAx>
        <c:axId val="352847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8112"/>
        <c:crosses val="autoZero"/>
        <c:crossBetween val="midCat"/>
        <c:majorUnit val="5"/>
      </c:valAx>
      <c:valAx>
        <c:axId val="35284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2847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(All)'!$BV$7:$BV$107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(All)'!$BV$7:$BV$107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20416"/>
        <c:axId val="716320976"/>
      </c:scatterChart>
      <c:valAx>
        <c:axId val="716320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0976"/>
        <c:crosses val="autoZero"/>
        <c:crossBetween val="midCat"/>
        <c:majorUnit val="5"/>
      </c:valAx>
      <c:valAx>
        <c:axId val="71632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0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(All)'!$BW$7:$BW$107</c:f>
              <c:numCache>
                <c:formatCode>0.0000</c:formatCode>
                <c:ptCount val="82"/>
                <c:pt idx="24">
                  <c:v>35.137254901960738</c:v>
                </c:pt>
                <c:pt idx="25">
                  <c:v>79.999999999999972</c:v>
                </c:pt>
                <c:pt idx="43">
                  <c:v>32.274315858885629</c:v>
                </c:pt>
                <c:pt idx="52">
                  <c:v>17.286024619840703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(All)'!$BW$7:$BW$107</c:f>
              <c:numCache>
                <c:formatCode>0.0000</c:formatCode>
                <c:ptCount val="82"/>
                <c:pt idx="24">
                  <c:v>35.137254901960738</c:v>
                </c:pt>
                <c:pt idx="25">
                  <c:v>79.999999999999972</c:v>
                </c:pt>
                <c:pt idx="43">
                  <c:v>32.274315858885629</c:v>
                </c:pt>
                <c:pt idx="52">
                  <c:v>17.286024619840703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23776"/>
        <c:axId val="716324336"/>
      </c:scatterChart>
      <c:valAx>
        <c:axId val="716323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4336"/>
        <c:crosses val="autoZero"/>
        <c:crossBetween val="midCat"/>
        <c:majorUnit val="5"/>
      </c:valAx>
      <c:valAx>
        <c:axId val="7163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3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(All)'!$BX$7:$BX$107</c:f>
              <c:numCache>
                <c:formatCode>0.0000</c:formatCode>
                <c:ptCount val="82"/>
                <c:pt idx="24">
                  <c:v>35.137254901960738</c:v>
                </c:pt>
                <c:pt idx="41">
                  <c:v>19.764705882352949</c:v>
                </c:pt>
                <c:pt idx="42">
                  <c:v>20.86274509803922</c:v>
                </c:pt>
                <c:pt idx="43">
                  <c:v>21.96078431372549</c:v>
                </c:pt>
                <c:pt idx="47">
                  <c:v>31.94295900178253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(All)'!$BX$7:$BX$107</c:f>
              <c:numCache>
                <c:formatCode>0.0000</c:formatCode>
                <c:ptCount val="82"/>
                <c:pt idx="24">
                  <c:v>35.137254901960738</c:v>
                </c:pt>
                <c:pt idx="41">
                  <c:v>19.764705882352949</c:v>
                </c:pt>
                <c:pt idx="42">
                  <c:v>20.86274509803922</c:v>
                </c:pt>
                <c:pt idx="43">
                  <c:v>21.96078431372549</c:v>
                </c:pt>
                <c:pt idx="47">
                  <c:v>31.94295900178253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27136"/>
        <c:axId val="716327696"/>
      </c:scatterChart>
      <c:valAx>
        <c:axId val="716327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7696"/>
        <c:crosses val="autoZero"/>
        <c:crossBetween val="midCat"/>
        <c:majorUnit val="5"/>
      </c:valAx>
      <c:valAx>
        <c:axId val="71632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27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(All)'!$BY$7:$BY$107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(All)'!$BY$7:$BY$107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30496"/>
        <c:axId val="716331056"/>
      </c:scatterChart>
      <c:valAx>
        <c:axId val="716330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1056"/>
        <c:crosses val="autoZero"/>
        <c:crossBetween val="midCat"/>
        <c:majorUnit val="5"/>
      </c:valAx>
      <c:valAx>
        <c:axId val="71633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0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(All)'!$BZ$7:$BZ$107</c:f>
              <c:numCache>
                <c:formatCode>0.0000</c:formatCode>
                <c:ptCount val="82"/>
                <c:pt idx="56">
                  <c:v>33.58194106144304</c:v>
                </c:pt>
                <c:pt idx="57">
                  <c:v>35.735994470691871</c:v>
                </c:pt>
                <c:pt idx="58">
                  <c:v>30.778612447372382</c:v>
                </c:pt>
                <c:pt idx="59">
                  <c:v>50.480141243343397</c:v>
                </c:pt>
                <c:pt idx="60">
                  <c:v>43.783374641950722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(All)'!$BZ$7:$BZ$107</c:f>
              <c:numCache>
                <c:formatCode>0.0000</c:formatCode>
                <c:ptCount val="82"/>
                <c:pt idx="56">
                  <c:v>33.58194106144304</c:v>
                </c:pt>
                <c:pt idx="57">
                  <c:v>35.735994470691871</c:v>
                </c:pt>
                <c:pt idx="58">
                  <c:v>30.778612447372382</c:v>
                </c:pt>
                <c:pt idx="59">
                  <c:v>50.480141243343397</c:v>
                </c:pt>
                <c:pt idx="60">
                  <c:v>43.783374641950722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33856"/>
        <c:axId val="716334416"/>
      </c:scatterChart>
      <c:valAx>
        <c:axId val="716333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4416"/>
        <c:crosses val="autoZero"/>
        <c:crossBetween val="midCat"/>
        <c:majorUnit val="5"/>
      </c:valAx>
      <c:valAx>
        <c:axId val="71633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3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(All)'!$CA$7:$CA$107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(All)'!$CA$7:$CA$107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37216"/>
        <c:axId val="716337776"/>
      </c:scatterChart>
      <c:valAx>
        <c:axId val="716337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7776"/>
        <c:crosses val="autoZero"/>
        <c:crossBetween val="midCat"/>
        <c:majorUnit val="5"/>
      </c:valAx>
      <c:valAx>
        <c:axId val="7163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37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(All)'!$CB$7:$CB$107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(All)'!$CB$7:$CB$107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40576"/>
        <c:axId val="716341136"/>
      </c:scatterChart>
      <c:valAx>
        <c:axId val="7163405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1136"/>
        <c:crosses val="autoZero"/>
        <c:crossBetween val="midCat"/>
        <c:majorUnit val="5"/>
      </c:valAx>
      <c:valAx>
        <c:axId val="71634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05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(All)'!$CC$7:$CC$107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(All)'!$CC$7:$CC$107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43936"/>
        <c:axId val="716344496"/>
      </c:scatterChart>
      <c:valAx>
        <c:axId val="7163439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4496"/>
        <c:crosses val="autoZero"/>
        <c:crossBetween val="midCat"/>
        <c:majorUnit val="5"/>
      </c:valAx>
      <c:valAx>
        <c:axId val="71634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39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(All)'!$T$7:$T$107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(All)'!$T$7:$T$107</c:f>
              <c:numCache>
                <c:formatCode>0.0000</c:formatCode>
                <c:ptCount val="82"/>
                <c:pt idx="13">
                  <c:v>61.09753166238422</c:v>
                </c:pt>
                <c:pt idx="23">
                  <c:v>43.915885395223292</c:v>
                </c:pt>
                <c:pt idx="24">
                  <c:v>43.229699685923073</c:v>
                </c:pt>
                <c:pt idx="25">
                  <c:v>49.405371069626206</c:v>
                </c:pt>
                <c:pt idx="26">
                  <c:v>42.486065870727806</c:v>
                </c:pt>
                <c:pt idx="27">
                  <c:v>38.925443873038908</c:v>
                </c:pt>
                <c:pt idx="29">
                  <c:v>32.204982623163836</c:v>
                </c:pt>
                <c:pt idx="30">
                  <c:v>38.060434009193564</c:v>
                </c:pt>
                <c:pt idx="31">
                  <c:v>36.976091159928707</c:v>
                </c:pt>
                <c:pt idx="32">
                  <c:v>38.621561868560605</c:v>
                </c:pt>
                <c:pt idx="33">
                  <c:v>35.28421646123136</c:v>
                </c:pt>
                <c:pt idx="34">
                  <c:v>36.327478727666332</c:v>
                </c:pt>
                <c:pt idx="35">
                  <c:v>32.581818181818079</c:v>
                </c:pt>
                <c:pt idx="36">
                  <c:v>39.655502392344609</c:v>
                </c:pt>
                <c:pt idx="37">
                  <c:v>32.581818181818079</c:v>
                </c:pt>
                <c:pt idx="38">
                  <c:v>28</c:v>
                </c:pt>
                <c:pt idx="39">
                  <c:v>28</c:v>
                </c:pt>
                <c:pt idx="40">
                  <c:v>46.062683201803743</c:v>
                </c:pt>
                <c:pt idx="41">
                  <c:v>22.803030303030209</c:v>
                </c:pt>
                <c:pt idx="42">
                  <c:v>32.715789473684126</c:v>
                </c:pt>
                <c:pt idx="43">
                  <c:v>22.474916387959841</c:v>
                </c:pt>
                <c:pt idx="44">
                  <c:v>27.151515151515106</c:v>
                </c:pt>
                <c:pt idx="45">
                  <c:v>25.156622502803458</c:v>
                </c:pt>
                <c:pt idx="46">
                  <c:v>36.712261244608769</c:v>
                </c:pt>
                <c:pt idx="47">
                  <c:v>32.581818181818079</c:v>
                </c:pt>
                <c:pt idx="48">
                  <c:v>28.509090909090848</c:v>
                </c:pt>
                <c:pt idx="49">
                  <c:v>57.018181818181922</c:v>
                </c:pt>
                <c:pt idx="50">
                  <c:v>36.703614457831328</c:v>
                </c:pt>
                <c:pt idx="51">
                  <c:v>25.617021276595839</c:v>
                </c:pt>
                <c:pt idx="52">
                  <c:v>22.744615384615489</c:v>
                </c:pt>
                <c:pt idx="53">
                  <c:v>31.450858034321378</c:v>
                </c:pt>
                <c:pt idx="54">
                  <c:v>50.897421203438434</c:v>
                </c:pt>
                <c:pt idx="55">
                  <c:v>36.879782411604609</c:v>
                </c:pt>
                <c:pt idx="56">
                  <c:v>44.62442702649075</c:v>
                </c:pt>
                <c:pt idx="57">
                  <c:v>51.156513943283173</c:v>
                </c:pt>
                <c:pt idx="58">
                  <c:v>46.474226804123781</c:v>
                </c:pt>
                <c:pt idx="59">
                  <c:v>84.179235643722251</c:v>
                </c:pt>
                <c:pt idx="60">
                  <c:v>31.505815028776034</c:v>
                </c:pt>
                <c:pt idx="61">
                  <c:v>42.500000000000036</c:v>
                </c:pt>
                <c:pt idx="62">
                  <c:v>14.999999999999996</c:v>
                </c:pt>
                <c:pt idx="63">
                  <c:v>9.9999999999999893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48080"/>
        <c:axId val="353851440"/>
      </c:scatterChart>
      <c:valAx>
        <c:axId val="353848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1440"/>
        <c:crosses val="autoZero"/>
        <c:crossBetween val="midCat"/>
        <c:majorUnit val="5"/>
      </c:valAx>
      <c:valAx>
        <c:axId val="3538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48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(All)'!$CD$7:$CD$107</c:f>
              <c:numCache>
                <c:formatCode>0.0000</c:formatCode>
                <c:ptCount val="82"/>
                <c:pt idx="25">
                  <c:v>110.00000000000009</c:v>
                </c:pt>
                <c:pt idx="26">
                  <c:v>40.000000000000099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(All)'!$CD$7:$CD$107</c:f>
              <c:numCache>
                <c:formatCode>0.0000</c:formatCode>
                <c:ptCount val="82"/>
                <c:pt idx="25">
                  <c:v>110.00000000000009</c:v>
                </c:pt>
                <c:pt idx="26">
                  <c:v>40.000000000000099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47296"/>
        <c:axId val="716347856"/>
      </c:scatterChart>
      <c:valAx>
        <c:axId val="716347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7856"/>
        <c:crosses val="autoZero"/>
        <c:crossBetween val="midCat"/>
        <c:majorUnit val="5"/>
      </c:valAx>
      <c:valAx>
        <c:axId val="71634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47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(All)'!$CE$7:$CE$107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(All)'!$CE$7:$CE$107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50656"/>
        <c:axId val="716351216"/>
      </c:scatterChart>
      <c:valAx>
        <c:axId val="716350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51216"/>
        <c:crosses val="autoZero"/>
        <c:crossBetween val="midCat"/>
        <c:majorUnit val="5"/>
      </c:valAx>
      <c:valAx>
        <c:axId val="7163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6350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(All)'!$CF$7:$CF$107</c:f>
              <c:numCache>
                <c:formatCode>0.0000</c:formatCode>
                <c:ptCount val="82"/>
                <c:pt idx="28">
                  <c:v>17.946666666666662</c:v>
                </c:pt>
                <c:pt idx="41">
                  <c:v>214.21609195402303</c:v>
                </c:pt>
                <c:pt idx="42">
                  <c:v>243.86206896551806</c:v>
                </c:pt>
                <c:pt idx="56">
                  <c:v>45.342508939303741</c:v>
                </c:pt>
                <c:pt idx="57">
                  <c:v>39.819814141813211</c:v>
                </c:pt>
                <c:pt idx="58">
                  <c:v>29.552580582752192</c:v>
                </c:pt>
                <c:pt idx="59">
                  <c:v>40.233912170437442</c:v>
                </c:pt>
                <c:pt idx="60">
                  <c:v>48.492469130218396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(All)'!$CF$7:$CF$107</c:f>
              <c:numCache>
                <c:formatCode>0.0000</c:formatCode>
                <c:ptCount val="82"/>
                <c:pt idx="28">
                  <c:v>17.946666666666662</c:v>
                </c:pt>
                <c:pt idx="41">
                  <c:v>214.21609195402303</c:v>
                </c:pt>
                <c:pt idx="42">
                  <c:v>243.86206896551806</c:v>
                </c:pt>
                <c:pt idx="56">
                  <c:v>45.342508939303741</c:v>
                </c:pt>
                <c:pt idx="57">
                  <c:v>39.819814141813211</c:v>
                </c:pt>
                <c:pt idx="58">
                  <c:v>29.552580582752192</c:v>
                </c:pt>
                <c:pt idx="59">
                  <c:v>40.233912170437442</c:v>
                </c:pt>
                <c:pt idx="60">
                  <c:v>48.492469130218396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25456"/>
        <c:axId val="602426016"/>
      </c:scatterChart>
      <c:valAx>
        <c:axId val="602425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26016"/>
        <c:crosses val="autoZero"/>
        <c:crossBetween val="midCat"/>
        <c:majorUnit val="5"/>
      </c:valAx>
      <c:valAx>
        <c:axId val="60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25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(All)'!$CG$7:$CG$107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(All)'!$CG$7:$CG$107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28816"/>
        <c:axId val="602429376"/>
      </c:scatterChart>
      <c:valAx>
        <c:axId val="602428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29376"/>
        <c:crosses val="autoZero"/>
        <c:crossBetween val="midCat"/>
        <c:majorUnit val="5"/>
      </c:valAx>
      <c:valAx>
        <c:axId val="6024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28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(All)'!$CH$7:$CH$107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(All)'!$CH$7:$CH$107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32176"/>
        <c:axId val="602432736"/>
      </c:scatterChart>
      <c:valAx>
        <c:axId val="602432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2736"/>
        <c:crosses val="autoZero"/>
        <c:crossBetween val="midCat"/>
        <c:majorUnit val="5"/>
      </c:valAx>
      <c:valAx>
        <c:axId val="60243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2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(All)'!$CI$7:$CI$107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(All)'!$CI$7:$CI$107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35536"/>
        <c:axId val="602436096"/>
      </c:scatterChart>
      <c:valAx>
        <c:axId val="602435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6096"/>
        <c:crosses val="autoZero"/>
        <c:crossBetween val="midCat"/>
        <c:majorUnit val="5"/>
      </c:valAx>
      <c:valAx>
        <c:axId val="60243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5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(All)'!$CJ$7:$CJ$107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(All)'!$CJ$7:$CJ$107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38896"/>
        <c:axId val="602439456"/>
      </c:scatterChart>
      <c:valAx>
        <c:axId val="6024388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9456"/>
        <c:crosses val="autoZero"/>
        <c:crossBetween val="midCat"/>
        <c:majorUnit val="5"/>
      </c:valAx>
      <c:valAx>
        <c:axId val="60243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38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(All)'!$CK$7:$CK$107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(All)'!$CK$7:$CK$107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42256"/>
        <c:axId val="602442816"/>
      </c:scatterChart>
      <c:valAx>
        <c:axId val="602442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2816"/>
        <c:crosses val="autoZero"/>
        <c:crossBetween val="midCat"/>
        <c:majorUnit val="5"/>
      </c:valAx>
      <c:valAx>
        <c:axId val="60244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2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(All)'!$CL$7:$CL$107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(All)'!$CL$7:$CL$107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45616"/>
        <c:axId val="602446176"/>
      </c:scatterChart>
      <c:valAx>
        <c:axId val="6024456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6176"/>
        <c:crosses val="autoZero"/>
        <c:crossBetween val="midCat"/>
        <c:majorUnit val="5"/>
      </c:valAx>
      <c:valAx>
        <c:axId val="6024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56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(All)'!$CM$7:$CM$107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(All)'!$CM$7:$CM$107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48976"/>
        <c:axId val="602449536"/>
      </c:scatterChart>
      <c:valAx>
        <c:axId val="602448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9536"/>
        <c:crosses val="autoZero"/>
        <c:crossBetween val="midCat"/>
        <c:majorUnit val="5"/>
      </c:valAx>
      <c:valAx>
        <c:axId val="6024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48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(All)'!$U$7:$U$107</c:f>
              <c:numCache>
                <c:formatCode>0.0000</c:formatCode>
                <c:ptCount val="82"/>
                <c:pt idx="8">
                  <c:v>39.059389423624644</c:v>
                </c:pt>
                <c:pt idx="12">
                  <c:v>62.580136688193377</c:v>
                </c:pt>
                <c:pt idx="13">
                  <c:v>61.09753166238422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(All)'!$U$7:$U$107</c:f>
              <c:numCache>
                <c:formatCode>0.0000</c:formatCode>
                <c:ptCount val="82"/>
                <c:pt idx="8">
                  <c:v>39.059389423624644</c:v>
                </c:pt>
                <c:pt idx="12">
                  <c:v>62.580136688193377</c:v>
                </c:pt>
                <c:pt idx="13">
                  <c:v>61.09753166238422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59280"/>
        <c:axId val="353846960"/>
      </c:scatterChart>
      <c:valAx>
        <c:axId val="353859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46960"/>
        <c:crosses val="autoZero"/>
        <c:crossBetween val="midCat"/>
        <c:majorUnit val="5"/>
      </c:valAx>
      <c:valAx>
        <c:axId val="35384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859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(All)'!$CN$7:$CN$107</c:f>
              <c:numCache>
                <c:formatCode>0.0000</c:formatCode>
                <c:ptCount val="82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(All)'!$CN$7:$CN$107</c:f>
              <c:numCache>
                <c:formatCode>0.0000</c:formatCode>
                <c:ptCount val="82"/>
                <c:pt idx="38">
                  <c:v>188.42490842490844</c:v>
                </c:pt>
                <c:pt idx="39">
                  <c:v>70.971786833855802</c:v>
                </c:pt>
                <c:pt idx="41">
                  <c:v>50</c:v>
                </c:pt>
                <c:pt idx="42">
                  <c:v>45.371428571428574</c:v>
                </c:pt>
                <c:pt idx="43">
                  <c:v>43.806451612903231</c:v>
                </c:pt>
                <c:pt idx="44">
                  <c:v>40.071428571428569</c:v>
                </c:pt>
                <c:pt idx="46">
                  <c:v>42.333333333333336</c:v>
                </c:pt>
                <c:pt idx="47">
                  <c:v>41.033591731266142</c:v>
                </c:pt>
                <c:pt idx="48">
                  <c:v>42.5</c:v>
                </c:pt>
                <c:pt idx="49">
                  <c:v>39.330543933054393</c:v>
                </c:pt>
                <c:pt idx="50">
                  <c:v>39.643652561247215</c:v>
                </c:pt>
                <c:pt idx="51">
                  <c:v>39.714285714285715</c:v>
                </c:pt>
                <c:pt idx="52">
                  <c:v>39.583333333333336</c:v>
                </c:pt>
                <c:pt idx="53">
                  <c:v>46.666666666666671</c:v>
                </c:pt>
                <c:pt idx="54">
                  <c:v>26.666666666666664</c:v>
                </c:pt>
                <c:pt idx="55">
                  <c:v>28.402366863905325</c:v>
                </c:pt>
                <c:pt idx="56">
                  <c:v>62.666666666666671</c:v>
                </c:pt>
                <c:pt idx="57">
                  <c:v>74.421199442119942</c:v>
                </c:pt>
                <c:pt idx="58">
                  <c:v>80</c:v>
                </c:pt>
                <c:pt idx="59">
                  <c:v>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52336"/>
        <c:axId val="602452896"/>
      </c:scatterChart>
      <c:valAx>
        <c:axId val="602452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52896"/>
        <c:crosses val="autoZero"/>
        <c:crossBetween val="midCat"/>
        <c:majorUnit val="5"/>
      </c:valAx>
      <c:valAx>
        <c:axId val="60245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52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(All)'!$CO$7:$CO$107</c:f>
              <c:numCache>
                <c:formatCode>0.0000</c:formatCode>
                <c:ptCount val="82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(All)'!$CO$7:$CO$107</c:f>
              <c:numCache>
                <c:formatCode>0.0000</c:formatCode>
                <c:ptCount val="82"/>
                <c:pt idx="38">
                  <c:v>91.625</c:v>
                </c:pt>
                <c:pt idx="39">
                  <c:v>75.164835164835168</c:v>
                </c:pt>
                <c:pt idx="47">
                  <c:v>46.222222222222214</c:v>
                </c:pt>
                <c:pt idx="48">
                  <c:v>43.692307692307686</c:v>
                </c:pt>
                <c:pt idx="49">
                  <c:v>42.705314009661841</c:v>
                </c:pt>
                <c:pt idx="50">
                  <c:v>42.666666666666664</c:v>
                </c:pt>
                <c:pt idx="51">
                  <c:v>42.627118644067792</c:v>
                </c:pt>
                <c:pt idx="52">
                  <c:v>37.338403041825096</c:v>
                </c:pt>
                <c:pt idx="53">
                  <c:v>40</c:v>
                </c:pt>
                <c:pt idx="54">
                  <c:v>41.299638989169679</c:v>
                </c:pt>
                <c:pt idx="55">
                  <c:v>38.400900900900908</c:v>
                </c:pt>
                <c:pt idx="56">
                  <c:v>56.000000000000007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55696"/>
        <c:axId val="237007488"/>
      </c:scatterChart>
      <c:valAx>
        <c:axId val="6024556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07488"/>
        <c:crosses val="autoZero"/>
        <c:crossBetween val="midCat"/>
        <c:majorUnit val="5"/>
      </c:valAx>
      <c:valAx>
        <c:axId val="23700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455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(All)'!$CP$7:$CP$107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(All)'!$CP$7:$CP$107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10288"/>
        <c:axId val="237010848"/>
      </c:scatterChart>
      <c:valAx>
        <c:axId val="237010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0848"/>
        <c:crosses val="autoZero"/>
        <c:crossBetween val="midCat"/>
        <c:majorUnit val="5"/>
      </c:valAx>
      <c:valAx>
        <c:axId val="23701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0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(All)'!$CQ$7:$CQ$107</c:f>
              <c:numCache>
                <c:formatCode>0.0000</c:formatCode>
                <c:ptCount val="82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(All)'!$CQ$7:$CQ$107</c:f>
              <c:numCache>
                <c:formatCode>0.0000</c:formatCode>
                <c:ptCount val="82"/>
                <c:pt idx="31">
                  <c:v>9.779117373455481</c:v>
                </c:pt>
                <c:pt idx="32">
                  <c:v>9.7672925640559001</c:v>
                </c:pt>
                <c:pt idx="33">
                  <c:v>10.19384949384702</c:v>
                </c:pt>
                <c:pt idx="34">
                  <c:v>10.061314851829319</c:v>
                </c:pt>
                <c:pt idx="35">
                  <c:v>8.7740085744908995</c:v>
                </c:pt>
                <c:pt idx="36">
                  <c:v>10.24763549723356</c:v>
                </c:pt>
                <c:pt idx="37">
                  <c:v>10.09236829273002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13648"/>
        <c:axId val="237014208"/>
      </c:scatterChart>
      <c:valAx>
        <c:axId val="237013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4208"/>
        <c:crosses val="autoZero"/>
        <c:crossBetween val="midCat"/>
        <c:majorUnit val="5"/>
      </c:valAx>
      <c:valAx>
        <c:axId val="2370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3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(All)'!$CR$7:$CR$107</c:f>
              <c:numCache>
                <c:formatCode>0.0000</c:formatCode>
                <c:ptCount val="82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(All)'!$CR$7:$CR$107</c:f>
              <c:numCache>
                <c:formatCode>0.0000</c:formatCode>
                <c:ptCount val="82"/>
                <c:pt idx="33">
                  <c:v>10.214419452233441</c:v>
                </c:pt>
                <c:pt idx="34">
                  <c:v>11.433312331624219</c:v>
                </c:pt>
                <c:pt idx="35">
                  <c:v>10.528810289389058</c:v>
                </c:pt>
                <c:pt idx="36">
                  <c:v>11.38626166359286</c:v>
                </c:pt>
                <c:pt idx="37">
                  <c:v>12.61546036591254</c:v>
                </c:pt>
                <c:pt idx="38">
                  <c:v>11.619632977028481</c:v>
                </c:pt>
                <c:pt idx="39">
                  <c:v>10.283394004937421</c:v>
                </c:pt>
                <c:pt idx="40">
                  <c:v>13.480016390989061</c:v>
                </c:pt>
                <c:pt idx="41">
                  <c:v>10.1770594951865</c:v>
                </c:pt>
                <c:pt idx="42">
                  <c:v>9.5757519577455206</c:v>
                </c:pt>
                <c:pt idx="43">
                  <c:v>7.7834602705599396</c:v>
                </c:pt>
                <c:pt idx="44">
                  <c:v>5.9907263070948797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17008"/>
        <c:axId val="237017568"/>
      </c:scatterChart>
      <c:valAx>
        <c:axId val="237017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7568"/>
        <c:crosses val="autoZero"/>
        <c:crossBetween val="midCat"/>
        <c:majorUnit val="5"/>
      </c:valAx>
      <c:valAx>
        <c:axId val="23701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17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(All)'!$CS$7:$CS$107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(All)'!$CS$7:$CS$107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20368"/>
        <c:axId val="237020928"/>
      </c:scatterChart>
      <c:valAx>
        <c:axId val="23702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0928"/>
        <c:crosses val="autoZero"/>
        <c:crossBetween val="midCat"/>
        <c:majorUnit val="5"/>
      </c:valAx>
      <c:valAx>
        <c:axId val="23702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(All)'!$CT$7:$CT$107</c:f>
              <c:numCache>
                <c:formatCode>0.0000</c:formatCode>
                <c:ptCount val="82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(All)'!$CT$7:$CT$107</c:f>
              <c:numCache>
                <c:formatCode>0.0000</c:formatCode>
                <c:ptCount val="82"/>
                <c:pt idx="57">
                  <c:v>26.619718309859199</c:v>
                </c:pt>
                <c:pt idx="58">
                  <c:v>32.301587301587404</c:v>
                </c:pt>
                <c:pt idx="59">
                  <c:v>26.818181818181799</c:v>
                </c:pt>
                <c:pt idx="60">
                  <c:v>30.75</c:v>
                </c:pt>
                <c:pt idx="61">
                  <c:v>38.25</c:v>
                </c:pt>
                <c:pt idx="62">
                  <c:v>24.25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23728"/>
        <c:axId val="237024288"/>
      </c:scatterChart>
      <c:valAx>
        <c:axId val="237023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4288"/>
        <c:crosses val="autoZero"/>
        <c:crossBetween val="midCat"/>
        <c:majorUnit val="5"/>
      </c:valAx>
      <c:valAx>
        <c:axId val="23702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3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(All)'!$CU$7:$CU$107</c:f>
              <c:numCache>
                <c:formatCode>0.0000</c:formatCode>
                <c:ptCount val="82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(All)'!$CU$7:$CU$107</c:f>
              <c:numCache>
                <c:formatCode>0.0000</c:formatCode>
                <c:ptCount val="82"/>
                <c:pt idx="40">
                  <c:v>16.834401709401732</c:v>
                </c:pt>
                <c:pt idx="41">
                  <c:v>34.470188446092067</c:v>
                </c:pt>
                <c:pt idx="42">
                  <c:v>38.669859005054533</c:v>
                </c:pt>
                <c:pt idx="43">
                  <c:v>32.566897918731392</c:v>
                </c:pt>
                <c:pt idx="44">
                  <c:v>26.666666666666664</c:v>
                </c:pt>
                <c:pt idx="45">
                  <c:v>21.323792486583201</c:v>
                </c:pt>
                <c:pt idx="46">
                  <c:v>39.215540707745603</c:v>
                </c:pt>
                <c:pt idx="47">
                  <c:v>40.00823723229</c:v>
                </c:pt>
                <c:pt idx="48">
                  <c:v>40</c:v>
                </c:pt>
                <c:pt idx="49">
                  <c:v>40.577249575551804</c:v>
                </c:pt>
                <c:pt idx="50">
                  <c:v>40.339270568278202</c:v>
                </c:pt>
                <c:pt idx="51">
                  <c:v>40</c:v>
                </c:pt>
                <c:pt idx="52">
                  <c:v>26.537602382725201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27088"/>
        <c:axId val="237027648"/>
      </c:scatterChart>
      <c:valAx>
        <c:axId val="23702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7648"/>
        <c:crosses val="autoZero"/>
        <c:crossBetween val="midCat"/>
        <c:majorUnit val="5"/>
      </c:valAx>
      <c:valAx>
        <c:axId val="2370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2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(All)'!$CV$7:$CV$107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(All)'!$CV$7:$CV$107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30448"/>
        <c:axId val="237031008"/>
      </c:scatterChart>
      <c:valAx>
        <c:axId val="23703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1008"/>
        <c:crosses val="autoZero"/>
        <c:crossBetween val="midCat"/>
        <c:majorUnit val="5"/>
      </c:valAx>
      <c:valAx>
        <c:axId val="23703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(All)'!$CW$7:$CW$107</c:f>
              <c:numCache>
                <c:formatCode>0.0000</c:formatCode>
                <c:ptCount val="82"/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(All)'!$CW$7:$CW$107</c:f>
              <c:numCache>
                <c:formatCode>0.0000</c:formatCode>
                <c:ptCount val="82"/>
                <c:pt idx="57">
                  <c:v>18.06451612903226</c:v>
                </c:pt>
                <c:pt idx="58">
                  <c:v>33.846153846153804</c:v>
                </c:pt>
                <c:pt idx="60">
                  <c:v>40</c:v>
                </c:pt>
                <c:pt idx="61">
                  <c:v>20.2150537634408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33808"/>
        <c:axId val="237034368"/>
      </c:scatterChart>
      <c:valAx>
        <c:axId val="23703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4368"/>
        <c:crosses val="autoZero"/>
        <c:crossBetween val="midCat"/>
        <c:majorUnit val="5"/>
      </c:valAx>
      <c:valAx>
        <c:axId val="2370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(All)'!$F$7:$F$107</c:f>
              <c:numCache>
                <c:formatCode>0.0000</c:formatCode>
                <c:ptCount val="82"/>
                <c:pt idx="14">
                  <c:v>54.999458292249408</c:v>
                </c:pt>
                <c:pt idx="15">
                  <c:v>26.795419684763967</c:v>
                </c:pt>
                <c:pt idx="16">
                  <c:v>57.512123899509433</c:v>
                </c:pt>
                <c:pt idx="17">
                  <c:v>43.256832213441953</c:v>
                </c:pt>
                <c:pt idx="19">
                  <c:v>215.67046462316031</c:v>
                </c:pt>
                <c:pt idx="24">
                  <c:v>27.348254842429697</c:v>
                </c:pt>
                <c:pt idx="28">
                  <c:v>33.909171861086371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(All)'!$F$7:$F$107</c:f>
              <c:numCache>
                <c:formatCode>0.0000</c:formatCode>
                <c:ptCount val="82"/>
                <c:pt idx="14">
                  <c:v>54.999458292249408</c:v>
                </c:pt>
                <c:pt idx="15">
                  <c:v>26.795419684763967</c:v>
                </c:pt>
                <c:pt idx="16">
                  <c:v>57.512123899509433</c:v>
                </c:pt>
                <c:pt idx="17">
                  <c:v>43.256832213441953</c:v>
                </c:pt>
                <c:pt idx="19">
                  <c:v>215.67046462316031</c:v>
                </c:pt>
                <c:pt idx="24">
                  <c:v>27.348254842429697</c:v>
                </c:pt>
                <c:pt idx="28">
                  <c:v>33.909171861086371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904080"/>
        <c:axId val="353907440"/>
      </c:scatterChart>
      <c:valAx>
        <c:axId val="353904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907440"/>
        <c:crosses val="autoZero"/>
        <c:crossBetween val="midCat"/>
        <c:majorUnit val="5"/>
      </c:valAx>
      <c:valAx>
        <c:axId val="3539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904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(All)'!$CX$7:$CX$107</c:f>
              <c:numCache>
                <c:formatCode>0.0000</c:formatCode>
                <c:ptCount val="82"/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(All)'!$CX$7:$CX$107</c:f>
              <c:numCache>
                <c:formatCode>0.0000</c:formatCode>
                <c:ptCount val="82"/>
                <c:pt idx="57">
                  <c:v>200.86956521739199</c:v>
                </c:pt>
                <c:pt idx="60">
                  <c:v>8.2352941176470598</c:v>
                </c:pt>
                <c:pt idx="61">
                  <c:v>19.6078431372549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37168"/>
        <c:axId val="237037728"/>
      </c:scatterChart>
      <c:valAx>
        <c:axId val="237037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7728"/>
        <c:crosses val="autoZero"/>
        <c:crossBetween val="midCat"/>
        <c:majorUnit val="5"/>
      </c:valAx>
      <c:valAx>
        <c:axId val="23703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037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(All)'!$CY$7:$CY$107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(All)'!$CY$7:$CY$107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61600"/>
        <c:axId val="237962160"/>
      </c:scatterChart>
      <c:valAx>
        <c:axId val="2379616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2160"/>
        <c:crosses val="autoZero"/>
        <c:crossBetween val="midCat"/>
        <c:majorUnit val="5"/>
      </c:valAx>
      <c:valAx>
        <c:axId val="2379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16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(All)'!$CZ$7:$CZ$107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(All)'!$CZ$7:$CZ$107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64960"/>
        <c:axId val="237965520"/>
      </c:scatterChart>
      <c:valAx>
        <c:axId val="2379649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5520"/>
        <c:crosses val="autoZero"/>
        <c:crossBetween val="midCat"/>
        <c:majorUnit val="5"/>
      </c:valAx>
      <c:valAx>
        <c:axId val="2379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49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(All)'!$DA$7:$DA$107</c:f>
              <c:numCache>
                <c:formatCode>0.0000</c:formatCode>
                <c:ptCount val="82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(All)'!$DA$7:$DA$107</c:f>
              <c:numCache>
                <c:formatCode>0.0000</c:formatCode>
                <c:ptCount val="82"/>
                <c:pt idx="37">
                  <c:v>23.597130254152397</c:v>
                </c:pt>
                <c:pt idx="38">
                  <c:v>23.493935806976797</c:v>
                </c:pt>
                <c:pt idx="39">
                  <c:v>30.660114660114601</c:v>
                </c:pt>
                <c:pt idx="40">
                  <c:v>28.946058357823002</c:v>
                </c:pt>
                <c:pt idx="41">
                  <c:v>8.5650524439575211</c:v>
                </c:pt>
                <c:pt idx="43">
                  <c:v>14.44816610786904</c:v>
                </c:pt>
                <c:pt idx="45">
                  <c:v>25.92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68320"/>
        <c:axId val="237968880"/>
      </c:scatterChart>
      <c:valAx>
        <c:axId val="237968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8880"/>
        <c:crosses val="autoZero"/>
        <c:crossBetween val="midCat"/>
        <c:majorUnit val="5"/>
      </c:valAx>
      <c:valAx>
        <c:axId val="23796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68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(All)'!$DB$7:$DB$107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(All)'!$DB$7:$DB$107</c:f>
              <c:numCache>
                <c:formatCode>0.0000</c:formatCode>
                <c:ptCount val="82"/>
                <c:pt idx="18">
                  <c:v>56.509243872676763</c:v>
                </c:pt>
                <c:pt idx="19">
                  <c:v>62.828143928232329</c:v>
                </c:pt>
                <c:pt idx="20">
                  <c:v>72.413784436104578</c:v>
                </c:pt>
                <c:pt idx="21">
                  <c:v>60.313075624195321</c:v>
                </c:pt>
                <c:pt idx="22">
                  <c:v>62.753334466931889</c:v>
                </c:pt>
                <c:pt idx="23">
                  <c:v>68.089445430028775</c:v>
                </c:pt>
                <c:pt idx="24">
                  <c:v>68.833277551996176</c:v>
                </c:pt>
                <c:pt idx="25">
                  <c:v>62.102235788035394</c:v>
                </c:pt>
                <c:pt idx="26">
                  <c:v>58.268316498855469</c:v>
                </c:pt>
                <c:pt idx="27">
                  <c:v>55.553583546484312</c:v>
                </c:pt>
                <c:pt idx="28">
                  <c:v>56.135564828524856</c:v>
                </c:pt>
                <c:pt idx="29">
                  <c:v>51.655827373650872</c:v>
                </c:pt>
                <c:pt idx="30">
                  <c:v>54.837269305309292</c:v>
                </c:pt>
                <c:pt idx="31">
                  <c:v>58.384135203278333</c:v>
                </c:pt>
                <c:pt idx="32">
                  <c:v>56.511721938933341</c:v>
                </c:pt>
                <c:pt idx="33">
                  <c:v>55.51642296990174</c:v>
                </c:pt>
                <c:pt idx="34">
                  <c:v>57.740494241656521</c:v>
                </c:pt>
                <c:pt idx="35">
                  <c:v>53.437492402816837</c:v>
                </c:pt>
                <c:pt idx="36">
                  <c:v>56.250668007312377</c:v>
                </c:pt>
                <c:pt idx="37">
                  <c:v>57.0544083073707</c:v>
                </c:pt>
                <c:pt idx="38">
                  <c:v>60.211016421181064</c:v>
                </c:pt>
                <c:pt idx="39">
                  <c:v>62.160957055645518</c:v>
                </c:pt>
                <c:pt idx="40">
                  <c:v>60.053562788056837</c:v>
                </c:pt>
                <c:pt idx="41">
                  <c:v>61.125380178463786</c:v>
                </c:pt>
                <c:pt idx="42">
                  <c:v>60.932154380719645</c:v>
                </c:pt>
                <c:pt idx="43">
                  <c:v>61.43020708091251</c:v>
                </c:pt>
                <c:pt idx="44">
                  <c:v>65.229530652714658</c:v>
                </c:pt>
                <c:pt idx="45">
                  <c:v>60.123108855340611</c:v>
                </c:pt>
                <c:pt idx="46">
                  <c:v>64.852490644346858</c:v>
                </c:pt>
                <c:pt idx="47">
                  <c:v>66.465813171208268</c:v>
                </c:pt>
                <c:pt idx="48">
                  <c:v>63.032498978567332</c:v>
                </c:pt>
                <c:pt idx="49">
                  <c:v>41.607634812821928</c:v>
                </c:pt>
                <c:pt idx="50">
                  <c:v>37.923599186671495</c:v>
                </c:pt>
                <c:pt idx="51">
                  <c:v>43.656034038711823</c:v>
                </c:pt>
                <c:pt idx="53">
                  <c:v>43.26112063150768</c:v>
                </c:pt>
                <c:pt idx="54">
                  <c:v>47.560027117180624</c:v>
                </c:pt>
                <c:pt idx="55">
                  <c:v>47.995753952101637</c:v>
                </c:pt>
                <c:pt idx="56">
                  <c:v>47.161073149294076</c:v>
                </c:pt>
                <c:pt idx="57">
                  <c:v>52.666437394670531</c:v>
                </c:pt>
                <c:pt idx="58">
                  <c:v>57.61245526701336</c:v>
                </c:pt>
                <c:pt idx="59">
                  <c:v>46.397074490023705</c:v>
                </c:pt>
                <c:pt idx="60">
                  <c:v>62.513037244023423</c:v>
                </c:pt>
                <c:pt idx="61">
                  <c:v>76.609400251891984</c:v>
                </c:pt>
                <c:pt idx="62">
                  <c:v>74.169329318845655</c:v>
                </c:pt>
                <c:pt idx="63">
                  <c:v>80.938289886006132</c:v>
                </c:pt>
                <c:pt idx="64">
                  <c:v>79.392905693469444</c:v>
                </c:pt>
                <c:pt idx="65">
                  <c:v>74.007921002233502</c:v>
                </c:pt>
                <c:pt idx="66">
                  <c:v>73.722990693186929</c:v>
                </c:pt>
                <c:pt idx="67">
                  <c:v>91.767428485623512</c:v>
                </c:pt>
                <c:pt idx="68">
                  <c:v>71.998313134578439</c:v>
                </c:pt>
                <c:pt idx="69">
                  <c:v>57.143573540845757</c:v>
                </c:pt>
                <c:pt idx="70">
                  <c:v>127.18472358392346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71680"/>
        <c:axId val="237972240"/>
      </c:scatterChart>
      <c:valAx>
        <c:axId val="237971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2240"/>
        <c:crosses val="autoZero"/>
        <c:crossBetween val="midCat"/>
        <c:majorUnit val="5"/>
      </c:valAx>
      <c:valAx>
        <c:axId val="237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1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(All)'!$O$7:$O$107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(All)'!$O$7:$O$107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75040"/>
        <c:axId val="237975600"/>
      </c:scatterChart>
      <c:valAx>
        <c:axId val="237975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5600"/>
        <c:crosses val="autoZero"/>
        <c:crossBetween val="midCat"/>
        <c:majorUnit val="5"/>
      </c:valAx>
      <c:valAx>
        <c:axId val="23797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5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(All)'!$Q$7:$Q$107</c:f>
              <c:numCache>
                <c:formatCode>0.0000</c:formatCode>
                <c:ptCount val="8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(All)'!$Q$7:$Q$107</c:f>
              <c:numCache>
                <c:formatCode>0.0000</c:formatCode>
                <c:ptCount val="8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78400"/>
        <c:axId val="237978960"/>
      </c:scatterChart>
      <c:valAx>
        <c:axId val="237978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8960"/>
        <c:crosses val="autoZero"/>
        <c:crossBetween val="midCat"/>
        <c:majorUnit val="5"/>
      </c:valAx>
      <c:valAx>
        <c:axId val="23797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78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(All)'!$P$7:$P$107</c:f>
              <c:numCache>
                <c:formatCode>0.0000</c:formatCode>
                <c:ptCount val="82"/>
                <c:pt idx="35">
                  <c:v>44.348246297739671</c:v>
                </c:pt>
                <c:pt idx="36">
                  <c:v>36.785134393856282</c:v>
                </c:pt>
                <c:pt idx="37">
                  <c:v>43.317492163009405</c:v>
                </c:pt>
                <c:pt idx="38">
                  <c:v>42.549386281588447</c:v>
                </c:pt>
                <c:pt idx="39">
                  <c:v>47.380569948186526</c:v>
                </c:pt>
                <c:pt idx="40">
                  <c:v>46.263445017182129</c:v>
                </c:pt>
                <c:pt idx="41">
                  <c:v>45.213597033374533</c:v>
                </c:pt>
                <c:pt idx="42">
                  <c:v>45.33556430446194</c:v>
                </c:pt>
                <c:pt idx="43">
                  <c:v>46.271726755218211</c:v>
                </c:pt>
                <c:pt idx="44">
                  <c:v>41.863004291845492</c:v>
                </c:pt>
                <c:pt idx="45">
                  <c:v>41.874533437013994</c:v>
                </c:pt>
                <c:pt idx="46">
                  <c:v>40.9278452685422</c:v>
                </c:pt>
                <c:pt idx="47">
                  <c:v>41.044064303380047</c:v>
                </c:pt>
                <c:pt idx="48">
                  <c:v>40.79032846715328</c:v>
                </c:pt>
                <c:pt idx="49">
                  <c:v>43.762453183520599</c:v>
                </c:pt>
                <c:pt idx="50">
                  <c:v>40.220640904806785</c:v>
                </c:pt>
                <c:pt idx="51">
                  <c:v>39.796328029375758</c:v>
                </c:pt>
                <c:pt idx="52">
                  <c:v>40.851494845360826</c:v>
                </c:pt>
                <c:pt idx="53">
                  <c:v>58.725825688073392</c:v>
                </c:pt>
                <c:pt idx="54">
                  <c:v>68.590912462908008</c:v>
                </c:pt>
                <c:pt idx="55">
                  <c:v>75.850954861111106</c:v>
                </c:pt>
                <c:pt idx="56">
                  <c:v>56.868470149253731</c:v>
                </c:pt>
                <c:pt idx="57">
                  <c:v>56.903177167474418</c:v>
                </c:pt>
                <c:pt idx="58">
                  <c:v>45.990528080469403</c:v>
                </c:pt>
                <c:pt idx="59">
                  <c:v>37.069817578772799</c:v>
                </c:pt>
                <c:pt idx="60">
                  <c:v>54.394595959595954</c:v>
                </c:pt>
                <c:pt idx="61">
                  <c:v>54.297157475838539</c:v>
                </c:pt>
                <c:pt idx="62">
                  <c:v>60.585581622678397</c:v>
                </c:pt>
                <c:pt idx="63">
                  <c:v>61.619676848162896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(All)'!$P$7:$P$107</c:f>
              <c:numCache>
                <c:formatCode>0.0000</c:formatCode>
                <c:ptCount val="82"/>
                <c:pt idx="35">
                  <c:v>44.348246297739671</c:v>
                </c:pt>
                <c:pt idx="36">
                  <c:v>36.785134393856282</c:v>
                </c:pt>
                <c:pt idx="37">
                  <c:v>43.317492163009405</c:v>
                </c:pt>
                <c:pt idx="38">
                  <c:v>42.549386281588447</c:v>
                </c:pt>
                <c:pt idx="39">
                  <c:v>47.380569948186526</c:v>
                </c:pt>
                <c:pt idx="40">
                  <c:v>46.263445017182129</c:v>
                </c:pt>
                <c:pt idx="41">
                  <c:v>45.213597033374533</c:v>
                </c:pt>
                <c:pt idx="42">
                  <c:v>45.33556430446194</c:v>
                </c:pt>
                <c:pt idx="43">
                  <c:v>46.271726755218211</c:v>
                </c:pt>
                <c:pt idx="44">
                  <c:v>41.863004291845492</c:v>
                </c:pt>
                <c:pt idx="45">
                  <c:v>41.874533437013994</c:v>
                </c:pt>
                <c:pt idx="46">
                  <c:v>40.9278452685422</c:v>
                </c:pt>
                <c:pt idx="47">
                  <c:v>41.044064303380047</c:v>
                </c:pt>
                <c:pt idx="48">
                  <c:v>40.79032846715328</c:v>
                </c:pt>
                <c:pt idx="49">
                  <c:v>43.762453183520599</c:v>
                </c:pt>
                <c:pt idx="50">
                  <c:v>40.220640904806785</c:v>
                </c:pt>
                <c:pt idx="51">
                  <c:v>39.796328029375758</c:v>
                </c:pt>
                <c:pt idx="52">
                  <c:v>40.851494845360826</c:v>
                </c:pt>
                <c:pt idx="53">
                  <c:v>58.725825688073392</c:v>
                </c:pt>
                <c:pt idx="54">
                  <c:v>68.590912462908008</c:v>
                </c:pt>
                <c:pt idx="55">
                  <c:v>75.850954861111106</c:v>
                </c:pt>
                <c:pt idx="56">
                  <c:v>56.868470149253731</c:v>
                </c:pt>
                <c:pt idx="57">
                  <c:v>56.903177167474418</c:v>
                </c:pt>
                <c:pt idx="58">
                  <c:v>45.990528080469403</c:v>
                </c:pt>
                <c:pt idx="59">
                  <c:v>37.069817578772799</c:v>
                </c:pt>
                <c:pt idx="60">
                  <c:v>54.394595959595954</c:v>
                </c:pt>
                <c:pt idx="61">
                  <c:v>54.297157475838539</c:v>
                </c:pt>
                <c:pt idx="62">
                  <c:v>60.585581622678397</c:v>
                </c:pt>
                <c:pt idx="63">
                  <c:v>61.619676848162896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81760"/>
        <c:axId val="237982320"/>
      </c:scatterChart>
      <c:valAx>
        <c:axId val="237981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2320"/>
        <c:crosses val="autoZero"/>
        <c:crossBetween val="midCat"/>
        <c:majorUnit val="5"/>
      </c:valAx>
      <c:valAx>
        <c:axId val="23798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1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Bombay,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(All)'!$DC$7:$DC$107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(All)'!$DC$7:$DC$107</c:f>
              <c:numCache>
                <c:formatCode>0.0000</c:formatCode>
                <c:ptCount val="82"/>
                <c:pt idx="11">
                  <c:v>49.736090592199908</c:v>
                </c:pt>
                <c:pt idx="12">
                  <c:v>54.815184959879488</c:v>
                </c:pt>
                <c:pt idx="13">
                  <c:v>73.012562401629907</c:v>
                </c:pt>
                <c:pt idx="14">
                  <c:v>51.108793681140938</c:v>
                </c:pt>
                <c:pt idx="15">
                  <c:v>59.02065650859862</c:v>
                </c:pt>
                <c:pt idx="16">
                  <c:v>66.625264331855959</c:v>
                </c:pt>
                <c:pt idx="17">
                  <c:v>57.636800787926184</c:v>
                </c:pt>
                <c:pt idx="18">
                  <c:v>49.4805094483551</c:v>
                </c:pt>
                <c:pt idx="19">
                  <c:v>46.733244498517806</c:v>
                </c:pt>
                <c:pt idx="20">
                  <c:v>45.028750615567333</c:v>
                </c:pt>
                <c:pt idx="21">
                  <c:v>54.428560393190608</c:v>
                </c:pt>
                <c:pt idx="22">
                  <c:v>56.412334762415142</c:v>
                </c:pt>
                <c:pt idx="23">
                  <c:v>72.095472095472019</c:v>
                </c:pt>
                <c:pt idx="24">
                  <c:v>48.394758394758398</c:v>
                </c:pt>
                <c:pt idx="25">
                  <c:v>48.355173355173356</c:v>
                </c:pt>
                <c:pt idx="26">
                  <c:v>34.561834561834559</c:v>
                </c:pt>
                <c:pt idx="27">
                  <c:v>53.869778869778877</c:v>
                </c:pt>
                <c:pt idx="28">
                  <c:v>42.228754728754723</c:v>
                </c:pt>
                <c:pt idx="29">
                  <c:v>35.977535977535979</c:v>
                </c:pt>
                <c:pt idx="30">
                  <c:v>73.359073359073378</c:v>
                </c:pt>
                <c:pt idx="31">
                  <c:v>66.52187902187903</c:v>
                </c:pt>
                <c:pt idx="32">
                  <c:v>60.401310401310397</c:v>
                </c:pt>
                <c:pt idx="33">
                  <c:v>59.158184158184156</c:v>
                </c:pt>
                <c:pt idx="34">
                  <c:v>59.231309231309233</c:v>
                </c:pt>
                <c:pt idx="35">
                  <c:v>56.81818181818182</c:v>
                </c:pt>
                <c:pt idx="36">
                  <c:v>53.08880308880309</c:v>
                </c:pt>
                <c:pt idx="37">
                  <c:v>44.616044616044618</c:v>
                </c:pt>
                <c:pt idx="38">
                  <c:v>35.449085449085452</c:v>
                </c:pt>
                <c:pt idx="39">
                  <c:v>35.294060294060294</c:v>
                </c:pt>
                <c:pt idx="40">
                  <c:v>39.479739479739479</c:v>
                </c:pt>
                <c:pt idx="41">
                  <c:v>37.257712257712257</c:v>
                </c:pt>
                <c:pt idx="42">
                  <c:v>32.865332865332867</c:v>
                </c:pt>
                <c:pt idx="43">
                  <c:v>31.597127081635094</c:v>
                </c:pt>
                <c:pt idx="44">
                  <c:v>25.265379664874356</c:v>
                </c:pt>
                <c:pt idx="45">
                  <c:v>25.419280887981241</c:v>
                </c:pt>
                <c:pt idx="46">
                  <c:v>28.880308880246638</c:v>
                </c:pt>
                <c:pt idx="47">
                  <c:v>30.894399554989615</c:v>
                </c:pt>
                <c:pt idx="48">
                  <c:v>30.508365508365504</c:v>
                </c:pt>
                <c:pt idx="49">
                  <c:v>28.397582324358229</c:v>
                </c:pt>
                <c:pt idx="50">
                  <c:v>27.984555985255604</c:v>
                </c:pt>
                <c:pt idx="51">
                  <c:v>31.64344468691435</c:v>
                </c:pt>
                <c:pt idx="52">
                  <c:v>30.083655083655074</c:v>
                </c:pt>
                <c:pt idx="53">
                  <c:v>25.482625482618552</c:v>
                </c:pt>
                <c:pt idx="54">
                  <c:v>26.609436183975038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85120"/>
        <c:axId val="237985680"/>
      </c:scatterChart>
      <c:valAx>
        <c:axId val="237985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5680"/>
        <c:crosses val="autoZero"/>
        <c:crossBetween val="midCat"/>
        <c:majorUnit val="5"/>
      </c:valAx>
      <c:valAx>
        <c:axId val="23798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5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Karachi,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(All)'!$DD$7:$DD$107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'Wool (All)'!$A$7:$A$107</c:f>
              <c:numCache>
                <c:formatCode>General</c:formatCode>
                <c:ptCount val="82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</c:numCache>
            </c:numRef>
          </c:xVal>
          <c:yVal>
            <c:numRef>
              <c:f>'Wool (All)'!$DD$7:$DD$107</c:f>
              <c:numCache>
                <c:formatCode>0.0000</c:formatCode>
                <c:ptCount val="82"/>
                <c:pt idx="20">
                  <c:v>50.370698005667805</c:v>
                </c:pt>
                <c:pt idx="21">
                  <c:v>58.705168504713626</c:v>
                </c:pt>
                <c:pt idx="22">
                  <c:v>110.61533771242813</c:v>
                </c:pt>
                <c:pt idx="23">
                  <c:v>94.116378018816945</c:v>
                </c:pt>
                <c:pt idx="24">
                  <c:v>61.316593755618143</c:v>
                </c:pt>
                <c:pt idx="25">
                  <c:v>59.805037853818348</c:v>
                </c:pt>
                <c:pt idx="26">
                  <c:v>60.778250534348089</c:v>
                </c:pt>
                <c:pt idx="27">
                  <c:v>58.86258764307545</c:v>
                </c:pt>
                <c:pt idx="28">
                  <c:v>48.802560875731601</c:v>
                </c:pt>
                <c:pt idx="29">
                  <c:v>50.737100737100739</c:v>
                </c:pt>
                <c:pt idx="30">
                  <c:v>78.613491540320823</c:v>
                </c:pt>
                <c:pt idx="31">
                  <c:v>63.023211681748286</c:v>
                </c:pt>
                <c:pt idx="32">
                  <c:v>62.369509198777486</c:v>
                </c:pt>
                <c:pt idx="33">
                  <c:v>61.651485188070552</c:v>
                </c:pt>
                <c:pt idx="34">
                  <c:v>51.534128363396661</c:v>
                </c:pt>
                <c:pt idx="35">
                  <c:v>46.446784922394684</c:v>
                </c:pt>
                <c:pt idx="36">
                  <c:v>45.428477257745556</c:v>
                </c:pt>
                <c:pt idx="37">
                  <c:v>60.361733684904422</c:v>
                </c:pt>
                <c:pt idx="38">
                  <c:v>55.635324903617594</c:v>
                </c:pt>
                <c:pt idx="39">
                  <c:v>55.86953916222209</c:v>
                </c:pt>
                <c:pt idx="40">
                  <c:v>56.686492479175392</c:v>
                </c:pt>
                <c:pt idx="41">
                  <c:v>45.619693973352511</c:v>
                </c:pt>
                <c:pt idx="42">
                  <c:v>41.575477916941331</c:v>
                </c:pt>
                <c:pt idx="43">
                  <c:v>47.452399686243886</c:v>
                </c:pt>
                <c:pt idx="44">
                  <c:v>33.841423862210448</c:v>
                </c:pt>
                <c:pt idx="45">
                  <c:v>38.518457481796887</c:v>
                </c:pt>
                <c:pt idx="46">
                  <c:v>43.536585365759827</c:v>
                </c:pt>
                <c:pt idx="47">
                  <c:v>45.314069413804063</c:v>
                </c:pt>
                <c:pt idx="48">
                  <c:v>38.947209404526475</c:v>
                </c:pt>
                <c:pt idx="49">
                  <c:v>36.059734872241471</c:v>
                </c:pt>
                <c:pt idx="50">
                  <c:v>33.863019117524232</c:v>
                </c:pt>
                <c:pt idx="51">
                  <c:v>33.381459402129018</c:v>
                </c:pt>
                <c:pt idx="52">
                  <c:v>29.608877169852772</c:v>
                </c:pt>
                <c:pt idx="53">
                  <c:v>32.573443008216756</c:v>
                </c:pt>
                <c:pt idx="54">
                  <c:v>40.650640261542357</c:v>
                </c:pt>
                <c:pt idx="55">
                  <c:v>48.51456822688462</c:v>
                </c:pt>
                <c:pt idx="56">
                  <c:v>44.346617127004151</c:v>
                </c:pt>
                <c:pt idx="57">
                  <c:v>43.683322347829062</c:v>
                </c:pt>
                <c:pt idx="58">
                  <c:v>33.523938004838847</c:v>
                </c:pt>
                <c:pt idx="59">
                  <c:v>35.023071852340145</c:v>
                </c:pt>
                <c:pt idx="60">
                  <c:v>34.921367271306622</c:v>
                </c:pt>
                <c:pt idx="61">
                  <c:v>38.633080407962602</c:v>
                </c:pt>
                <c:pt idx="62">
                  <c:v>39.718459608218602</c:v>
                </c:pt>
                <c:pt idx="63">
                  <c:v>41.481415749698456</c:v>
                </c:pt>
                <c:pt idx="64">
                  <c:v>29.195121951219512</c:v>
                </c:pt>
                <c:pt idx="65">
                  <c:v>30.219512195121954</c:v>
                </c:pt>
                <c:pt idx="66">
                  <c:v>39.951219512195124</c:v>
                </c:pt>
                <c:pt idx="67">
                  <c:v>37.902439024390247</c:v>
                </c:pt>
                <c:pt idx="68">
                  <c:v>38.41463414634147</c:v>
                </c:pt>
                <c:pt idx="69">
                  <c:v>38.926829268292686</c:v>
                </c:pt>
                <c:pt idx="70">
                  <c:v>32.780487804878049</c:v>
                </c:pt>
                <c:pt idx="71">
                  <c:v>22.024390243902438</c:v>
                </c:pt>
                <c:pt idx="72">
                  <c:v>23.304878048780488</c:v>
                </c:pt>
                <c:pt idx="73">
                  <c:v>30.987804878048784</c:v>
                </c:pt>
                <c:pt idx="74">
                  <c:v>39.439024390243901</c:v>
                </c:pt>
                <c:pt idx="75">
                  <c:v>47.121951219512198</c:v>
                </c:pt>
                <c:pt idx="76">
                  <c:v>36.878048780487809</c:v>
                </c:pt>
                <c:pt idx="77">
                  <c:v>35.469512195121951</c:v>
                </c:pt>
                <c:pt idx="78">
                  <c:v>35.59756097560976</c:v>
                </c:pt>
                <c:pt idx="79">
                  <c:v>37.134146341463421</c:v>
                </c:pt>
                <c:pt idx="80">
                  <c:v>26.031563845050211</c:v>
                </c:pt>
                <c:pt idx="81">
                  <c:v>14.944045911047343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88480"/>
        <c:axId val="237989040"/>
      </c:scatterChart>
      <c:valAx>
        <c:axId val="237988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9040"/>
        <c:crosses val="autoZero"/>
        <c:crossBetween val="midCat"/>
        <c:majorUnit val="5"/>
      </c:valAx>
      <c:valAx>
        <c:axId val="2379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988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114300</xdr:colOff>
      <xdr:row>958</xdr:row>
      <xdr:rowOff>82550</xdr:rowOff>
    </xdr:from>
    <xdr:to>
      <xdr:col>11</xdr:col>
      <xdr:colOff>38100</xdr:colOff>
      <xdr:row>984</xdr:row>
      <xdr:rowOff>165100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11</xdr:col>
      <xdr:colOff>514350</xdr:colOff>
      <xdr:row>958</xdr:row>
      <xdr:rowOff>76200</xdr:rowOff>
    </xdr:from>
    <xdr:to>
      <xdr:col>22</xdr:col>
      <xdr:colOff>438150</xdr:colOff>
      <xdr:row>984</xdr:row>
      <xdr:rowOff>152400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23</xdr:col>
      <xdr:colOff>400050</xdr:colOff>
      <xdr:row>958</xdr:row>
      <xdr:rowOff>76200</xdr:rowOff>
    </xdr:from>
    <xdr:to>
      <xdr:col>34</xdr:col>
      <xdr:colOff>323850</xdr:colOff>
      <xdr:row>984</xdr:row>
      <xdr:rowOff>152400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35</xdr:col>
      <xdr:colOff>76200</xdr:colOff>
      <xdr:row>958</xdr:row>
      <xdr:rowOff>95250</xdr:rowOff>
    </xdr:from>
    <xdr:to>
      <xdr:col>46</xdr:col>
      <xdr:colOff>0</xdr:colOff>
      <xdr:row>985</xdr:row>
      <xdr:rowOff>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171450</xdr:colOff>
      <xdr:row>1</xdr:row>
      <xdr:rowOff>133350</xdr:rowOff>
    </xdr:from>
    <xdr:to>
      <xdr:col>11</xdr:col>
      <xdr:colOff>95250</xdr:colOff>
      <xdr:row>28</xdr:row>
      <xdr:rowOff>63500</xdr:rowOff>
    </xdr:to>
    <xdr:graphicFrame macro="">
      <xdr:nvGraphicFramePr>
        <xdr:cNvPr id="112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35</xdr:col>
      <xdr:colOff>266700</xdr:colOff>
      <xdr:row>30</xdr:row>
      <xdr:rowOff>57150</xdr:rowOff>
    </xdr:from>
    <xdr:to>
      <xdr:col>46</xdr:col>
      <xdr:colOff>190500</xdr:colOff>
      <xdr:row>56</xdr:row>
      <xdr:rowOff>158750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35</xdr:col>
      <xdr:colOff>552450</xdr:colOff>
      <xdr:row>119</xdr:row>
      <xdr:rowOff>76200</xdr:rowOff>
    </xdr:from>
    <xdr:to>
      <xdr:col>46</xdr:col>
      <xdr:colOff>476250</xdr:colOff>
      <xdr:row>146</xdr:row>
      <xdr:rowOff>6350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35</xdr:col>
      <xdr:colOff>552450</xdr:colOff>
      <xdr:row>294</xdr:row>
      <xdr:rowOff>133350</xdr:rowOff>
    </xdr:from>
    <xdr:to>
      <xdr:col>46</xdr:col>
      <xdr:colOff>476250</xdr:colOff>
      <xdr:row>321</xdr:row>
      <xdr:rowOff>63500</xdr:rowOff>
    </xdr:to>
    <xdr:graphicFrame macro="">
      <xdr:nvGraphicFramePr>
        <xdr:cNvPr id="115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47</xdr:col>
      <xdr:colOff>0</xdr:colOff>
      <xdr:row>958</xdr:row>
      <xdr:rowOff>95250</xdr:rowOff>
    </xdr:from>
    <xdr:to>
      <xdr:col>57</xdr:col>
      <xdr:colOff>533400</xdr:colOff>
      <xdr:row>985</xdr:row>
      <xdr:rowOff>0</xdr:rowOff>
    </xdr:to>
    <xdr:graphicFrame macro="">
      <xdr:nvGraphicFramePr>
        <xdr:cNvPr id="116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68580</xdr:rowOff>
    </xdr:from>
    <xdr:to>
      <xdr:col>19</xdr:col>
      <xdr:colOff>411480</xdr:colOff>
      <xdr:row>30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53340</xdr:rowOff>
    </xdr:from>
    <xdr:to>
      <xdr:col>19</xdr:col>
      <xdr:colOff>480060</xdr:colOff>
      <xdr:row>30</xdr:row>
      <xdr:rowOff>68580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19</xdr:col>
      <xdr:colOff>495300</xdr:colOff>
      <xdr:row>30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30480</xdr:rowOff>
    </xdr:from>
    <xdr:to>
      <xdr:col>19</xdr:col>
      <xdr:colOff>464820</xdr:colOff>
      <xdr:row>30</xdr:row>
      <xdr:rowOff>68580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19</xdr:col>
      <xdr:colOff>373380</xdr:colOff>
      <xdr:row>30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N17" sqref="N17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38</v>
      </c>
    </row>
    <row r="2" spans="1:1" x14ac:dyDescent="0.25">
      <c r="A2" s="11" t="s">
        <v>40</v>
      </c>
    </row>
    <row r="4" spans="1:1" x14ac:dyDescent="0.25">
      <c r="A4" s="11" t="s">
        <v>62</v>
      </c>
    </row>
    <row r="5" spans="1:1" x14ac:dyDescent="0.25">
      <c r="A5" s="11" t="s">
        <v>44</v>
      </c>
    </row>
    <row r="7" spans="1:1" x14ac:dyDescent="0.25">
      <c r="A7" s="11" t="s">
        <v>57</v>
      </c>
    </row>
    <row r="9" spans="1:1" x14ac:dyDescent="0.25">
      <c r="A9" s="11" t="s">
        <v>39</v>
      </c>
    </row>
  </sheetData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T3" sqref="T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3:B3"/>
  <sheetViews>
    <sheetView workbookViewId="0">
      <selection activeCell="E17" sqref="E17"/>
    </sheetView>
  </sheetViews>
  <sheetFormatPr defaultRowHeight="13.2" x14ac:dyDescent="0.25"/>
  <sheetData>
    <row r="3" spans="1:2" ht="14.4" x14ac:dyDescent="0.3">
      <c r="A3" s="7"/>
      <c r="B3" s="4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F233"/>
  <sheetViews>
    <sheetView zoomScale="60" zoomScaleNormal="60" workbookViewId="0">
      <pane xSplit="2" ySplit="5" topLeftCell="CG99" activePane="bottomRight" state="frozen"/>
      <selection activeCell="CE20" sqref="CE20"/>
      <selection pane="topRight" activeCell="CE20" sqref="CE20"/>
      <selection pane="bottomLeft" activeCell="CE20" sqref="CE20"/>
      <selection pane="bottomRight" activeCell="A99" sqref="A99:XFD145"/>
    </sheetView>
  </sheetViews>
  <sheetFormatPr defaultRowHeight="13.2" x14ac:dyDescent="0.25"/>
  <cols>
    <col min="2" max="2" width="12.33203125" bestFit="1" customWidth="1"/>
    <col min="3" max="3" width="12" customWidth="1"/>
    <col min="4" max="5" width="14.77734375" customWidth="1"/>
    <col min="6" max="20" width="12" customWidth="1"/>
    <col min="21" max="21" width="11.33203125" customWidth="1"/>
    <col min="22" max="36" width="12" customWidth="1"/>
    <col min="37" max="37" width="14.44140625" customWidth="1"/>
    <col min="38" max="40" width="12" customWidth="1"/>
    <col min="41" max="43" width="13.77734375" customWidth="1"/>
    <col min="44" max="44" width="13.44140625" customWidth="1"/>
    <col min="45" max="96" width="12" customWidth="1"/>
    <col min="97" max="97" width="14.77734375" customWidth="1"/>
    <col min="98" max="98" width="12.88671875" customWidth="1"/>
    <col min="99" max="99" width="13.33203125" customWidth="1"/>
    <col min="100" max="100" width="14" customWidth="1"/>
    <col min="101" max="103" width="12" customWidth="1"/>
    <col min="104" max="106" width="13.5546875" customWidth="1"/>
    <col min="108" max="108" width="9.6640625" customWidth="1"/>
    <col min="109" max="109" width="10.21875" customWidth="1"/>
    <col min="110" max="110" width="9.77734375" customWidth="1"/>
  </cols>
  <sheetData>
    <row r="1" spans="1:110" s="13" customFormat="1" x14ac:dyDescent="0.25"/>
    <row r="2" spans="1:110" s="2" customFormat="1" ht="39" customHeight="1" x14ac:dyDescent="0.25">
      <c r="B2" s="6" t="s">
        <v>29</v>
      </c>
      <c r="C2" s="8" t="s">
        <v>1</v>
      </c>
      <c r="D2" s="8" t="s">
        <v>45</v>
      </c>
      <c r="E2" s="8" t="s">
        <v>47</v>
      </c>
      <c r="F2" s="8" t="s">
        <v>0</v>
      </c>
      <c r="G2" s="8" t="s">
        <v>0</v>
      </c>
      <c r="H2" s="8" t="s">
        <v>0</v>
      </c>
      <c r="I2" s="8" t="s">
        <v>24</v>
      </c>
      <c r="J2" s="8" t="s">
        <v>24</v>
      </c>
      <c r="K2" s="8" t="s">
        <v>24</v>
      </c>
      <c r="L2" s="8" t="s">
        <v>25</v>
      </c>
      <c r="M2" s="8" t="s">
        <v>25</v>
      </c>
      <c r="N2" s="8" t="s">
        <v>25</v>
      </c>
      <c r="O2" s="8" t="s">
        <v>41</v>
      </c>
      <c r="P2" s="8" t="s">
        <v>41</v>
      </c>
      <c r="Q2" s="8" t="s">
        <v>41</v>
      </c>
      <c r="R2" s="8" t="s">
        <v>46</v>
      </c>
      <c r="S2" s="8" t="s">
        <v>26</v>
      </c>
      <c r="T2" s="8" t="s">
        <v>26</v>
      </c>
      <c r="U2" s="8" t="s">
        <v>26</v>
      </c>
      <c r="V2" s="8" t="s">
        <v>2</v>
      </c>
      <c r="W2" s="8" t="s">
        <v>2</v>
      </c>
      <c r="X2" s="8" t="s">
        <v>2</v>
      </c>
      <c r="Y2" s="8" t="s">
        <v>4</v>
      </c>
      <c r="Z2" s="8" t="s">
        <v>4</v>
      </c>
      <c r="AA2" s="8" t="s">
        <v>4</v>
      </c>
      <c r="AB2" s="8" t="s">
        <v>48</v>
      </c>
      <c r="AC2" s="8" t="s">
        <v>49</v>
      </c>
      <c r="AD2" s="8" t="s">
        <v>49</v>
      </c>
      <c r="AE2" s="8" t="s">
        <v>49</v>
      </c>
      <c r="AF2" s="8" t="s">
        <v>50</v>
      </c>
      <c r="AG2" s="8" t="s">
        <v>50</v>
      </c>
      <c r="AH2" s="8" t="s">
        <v>50</v>
      </c>
      <c r="AI2" s="8" t="s">
        <v>43</v>
      </c>
      <c r="AJ2" s="8" t="s">
        <v>43</v>
      </c>
      <c r="AK2" s="8" t="s">
        <v>43</v>
      </c>
      <c r="AL2" s="8" t="s">
        <v>11</v>
      </c>
      <c r="AM2" s="8" t="s">
        <v>11</v>
      </c>
      <c r="AN2" s="8" t="s">
        <v>11</v>
      </c>
      <c r="AO2" s="8" t="s">
        <v>12</v>
      </c>
      <c r="AP2" s="8" t="s">
        <v>12</v>
      </c>
      <c r="AQ2" s="8" t="s">
        <v>12</v>
      </c>
      <c r="AR2" s="8" t="s">
        <v>28</v>
      </c>
      <c r="AS2" s="8" t="s">
        <v>28</v>
      </c>
      <c r="AT2" s="8" t="s">
        <v>28</v>
      </c>
      <c r="AU2" s="8" t="s">
        <v>37</v>
      </c>
      <c r="AV2" s="8" t="s">
        <v>37</v>
      </c>
      <c r="AW2" s="8" t="s">
        <v>37</v>
      </c>
      <c r="AX2" s="8" t="s">
        <v>3</v>
      </c>
      <c r="AY2" s="8" t="s">
        <v>3</v>
      </c>
      <c r="AZ2" s="8" t="s">
        <v>3</v>
      </c>
      <c r="BA2" s="8" t="s">
        <v>9</v>
      </c>
      <c r="BB2" s="8" t="s">
        <v>9</v>
      </c>
      <c r="BC2" s="8" t="s">
        <v>9</v>
      </c>
      <c r="BD2" s="8" t="s">
        <v>20</v>
      </c>
      <c r="BE2" s="8" t="s">
        <v>20</v>
      </c>
      <c r="BF2" s="8" t="s">
        <v>20</v>
      </c>
      <c r="BG2" s="8" t="s">
        <v>34</v>
      </c>
      <c r="BH2" s="8" t="s">
        <v>34</v>
      </c>
      <c r="BI2" s="8" t="s">
        <v>34</v>
      </c>
      <c r="BJ2" s="8" t="s">
        <v>15</v>
      </c>
      <c r="BK2" s="8" t="s">
        <v>15</v>
      </c>
      <c r="BL2" s="8" t="s">
        <v>15</v>
      </c>
      <c r="BM2" s="8" t="s">
        <v>16</v>
      </c>
      <c r="BN2" s="8" t="s">
        <v>16</v>
      </c>
      <c r="BO2" s="8" t="s">
        <v>16</v>
      </c>
      <c r="BP2" s="8" t="s">
        <v>17</v>
      </c>
      <c r="BQ2" s="8" t="s">
        <v>17</v>
      </c>
      <c r="BR2" s="8" t="s">
        <v>17</v>
      </c>
      <c r="BS2" s="8" t="s">
        <v>6</v>
      </c>
      <c r="BT2" s="8" t="s">
        <v>6</v>
      </c>
      <c r="BU2" s="8" t="s">
        <v>6</v>
      </c>
      <c r="BV2" s="8" t="s">
        <v>19</v>
      </c>
      <c r="BW2" s="8" t="s">
        <v>19</v>
      </c>
      <c r="BX2" s="8" t="s">
        <v>19</v>
      </c>
      <c r="BY2" s="8" t="s">
        <v>35</v>
      </c>
      <c r="BZ2" s="8" t="s">
        <v>35</v>
      </c>
      <c r="CA2" s="8" t="s">
        <v>35</v>
      </c>
      <c r="CB2" s="8" t="s">
        <v>21</v>
      </c>
      <c r="CC2" s="8" t="s">
        <v>21</v>
      </c>
      <c r="CD2" s="8" t="s">
        <v>21</v>
      </c>
      <c r="CE2" s="8" t="s">
        <v>22</v>
      </c>
      <c r="CF2" s="8" t="s">
        <v>22</v>
      </c>
      <c r="CG2" s="8" t="s">
        <v>22</v>
      </c>
      <c r="CH2" s="8" t="s">
        <v>23</v>
      </c>
      <c r="CI2" s="8" t="s">
        <v>23</v>
      </c>
      <c r="CJ2" s="8" t="s">
        <v>23</v>
      </c>
      <c r="CK2" s="8" t="s">
        <v>18</v>
      </c>
      <c r="CL2" s="8" t="s">
        <v>18</v>
      </c>
      <c r="CM2" s="8" t="s">
        <v>18</v>
      </c>
      <c r="CN2" s="8" t="s">
        <v>5</v>
      </c>
      <c r="CO2" s="8" t="s">
        <v>5</v>
      </c>
      <c r="CP2" s="8" t="s">
        <v>5</v>
      </c>
      <c r="CQ2" s="8" t="s">
        <v>27</v>
      </c>
      <c r="CR2" s="8" t="s">
        <v>27</v>
      </c>
      <c r="CS2" s="8" t="s">
        <v>27</v>
      </c>
      <c r="CT2" s="8" t="s">
        <v>13</v>
      </c>
      <c r="CU2" s="8" t="s">
        <v>13</v>
      </c>
      <c r="CV2" s="8" t="s">
        <v>13</v>
      </c>
      <c r="CW2" s="8" t="s">
        <v>14</v>
      </c>
      <c r="CX2" s="8" t="s">
        <v>14</v>
      </c>
      <c r="CY2" s="8" t="s">
        <v>14</v>
      </c>
      <c r="CZ2" s="8" t="s">
        <v>36</v>
      </c>
      <c r="DA2" s="8" t="s">
        <v>36</v>
      </c>
      <c r="DB2" s="8" t="s">
        <v>58</v>
      </c>
      <c r="DC2" s="8" t="s">
        <v>59</v>
      </c>
      <c r="DD2" s="8" t="s">
        <v>60</v>
      </c>
      <c r="DE2" s="8" t="s">
        <v>58</v>
      </c>
      <c r="DF2" s="8" t="s">
        <v>61</v>
      </c>
    </row>
    <row r="3" spans="1:110" x14ac:dyDescent="0.25">
      <c r="B3" s="6" t="s">
        <v>31</v>
      </c>
      <c r="C3" s="8" t="s">
        <v>54</v>
      </c>
      <c r="D3" s="8" t="s">
        <v>54</v>
      </c>
      <c r="E3" s="8" t="s">
        <v>54</v>
      </c>
      <c r="F3" s="8" t="s">
        <v>54</v>
      </c>
      <c r="G3" s="8" t="s">
        <v>54</v>
      </c>
      <c r="H3" s="8" t="s">
        <v>54</v>
      </c>
      <c r="I3" s="8" t="s">
        <v>54</v>
      </c>
      <c r="J3" s="8" t="s">
        <v>54</v>
      </c>
      <c r="K3" s="8" t="s">
        <v>54</v>
      </c>
      <c r="L3" s="8" t="s">
        <v>54</v>
      </c>
      <c r="M3" s="8" t="s">
        <v>54</v>
      </c>
      <c r="N3" s="8" t="s">
        <v>54</v>
      </c>
      <c r="O3" s="8" t="s">
        <v>54</v>
      </c>
      <c r="P3" s="8" t="s">
        <v>54</v>
      </c>
      <c r="Q3" s="8" t="s">
        <v>54</v>
      </c>
      <c r="R3" s="8" t="s">
        <v>54</v>
      </c>
      <c r="S3" s="8" t="s">
        <v>54</v>
      </c>
      <c r="T3" s="8" t="s">
        <v>54</v>
      </c>
      <c r="U3" s="8" t="s">
        <v>54</v>
      </c>
      <c r="V3" s="8" t="s">
        <v>54</v>
      </c>
      <c r="W3" s="8" t="s">
        <v>54</v>
      </c>
      <c r="X3" s="8" t="s">
        <v>54</v>
      </c>
      <c r="Y3" s="8" t="s">
        <v>54</v>
      </c>
      <c r="Z3" s="8" t="s">
        <v>54</v>
      </c>
      <c r="AA3" s="8" t="s">
        <v>54</v>
      </c>
      <c r="AB3" s="8" t="s">
        <v>54</v>
      </c>
      <c r="AC3" s="8" t="s">
        <v>54</v>
      </c>
      <c r="AD3" s="8" t="s">
        <v>54</v>
      </c>
      <c r="AE3" s="8" t="s">
        <v>54</v>
      </c>
      <c r="AF3" s="8" t="s">
        <v>54</v>
      </c>
      <c r="AG3" s="8" t="s">
        <v>54</v>
      </c>
      <c r="AH3" s="8" t="s">
        <v>54</v>
      </c>
      <c r="AI3" s="8" t="s">
        <v>54</v>
      </c>
      <c r="AJ3" s="8" t="s">
        <v>54</v>
      </c>
      <c r="AK3" s="8" t="s">
        <v>54</v>
      </c>
      <c r="AL3" s="8" t="s">
        <v>54</v>
      </c>
      <c r="AM3" s="8" t="s">
        <v>54</v>
      </c>
      <c r="AN3" s="8" t="s">
        <v>54</v>
      </c>
      <c r="AO3" s="8" t="s">
        <v>54</v>
      </c>
      <c r="AP3" s="8" t="s">
        <v>54</v>
      </c>
      <c r="AQ3" s="8" t="s">
        <v>54</v>
      </c>
      <c r="AR3" s="8" t="s">
        <v>54</v>
      </c>
      <c r="AS3" s="8" t="s">
        <v>54</v>
      </c>
      <c r="AT3" s="8" t="s">
        <v>54</v>
      </c>
      <c r="AU3" s="8" t="s">
        <v>54</v>
      </c>
      <c r="AV3" s="8" t="s">
        <v>54</v>
      </c>
      <c r="AW3" s="8" t="s">
        <v>54</v>
      </c>
      <c r="AX3" s="8" t="s">
        <v>54</v>
      </c>
      <c r="AY3" s="8" t="s">
        <v>54</v>
      </c>
      <c r="AZ3" s="8" t="s">
        <v>54</v>
      </c>
      <c r="BA3" s="8" t="s">
        <v>54</v>
      </c>
      <c r="BB3" s="8" t="s">
        <v>54</v>
      </c>
      <c r="BC3" s="8" t="s">
        <v>54</v>
      </c>
      <c r="BD3" s="8" t="s">
        <v>54</v>
      </c>
      <c r="BE3" s="8" t="s">
        <v>54</v>
      </c>
      <c r="BF3" s="8" t="s">
        <v>54</v>
      </c>
      <c r="BG3" s="8" t="s">
        <v>54</v>
      </c>
      <c r="BH3" s="8" t="s">
        <v>54</v>
      </c>
      <c r="BI3" s="8" t="s">
        <v>54</v>
      </c>
      <c r="BJ3" s="8" t="s">
        <v>54</v>
      </c>
      <c r="BK3" s="8" t="s">
        <v>54</v>
      </c>
      <c r="BL3" s="8" t="s">
        <v>54</v>
      </c>
      <c r="BM3" s="8" t="s">
        <v>54</v>
      </c>
      <c r="BN3" s="8" t="s">
        <v>54</v>
      </c>
      <c r="BO3" s="8" t="s">
        <v>54</v>
      </c>
      <c r="BP3" s="8" t="s">
        <v>54</v>
      </c>
      <c r="BQ3" s="8" t="s">
        <v>54</v>
      </c>
      <c r="BR3" s="8" t="s">
        <v>54</v>
      </c>
      <c r="BS3" s="8" t="s">
        <v>54</v>
      </c>
      <c r="BT3" s="8" t="s">
        <v>54</v>
      </c>
      <c r="BU3" s="8" t="s">
        <v>54</v>
      </c>
      <c r="BV3" s="8" t="s">
        <v>54</v>
      </c>
      <c r="BW3" s="8" t="s">
        <v>54</v>
      </c>
      <c r="BX3" s="8" t="s">
        <v>54</v>
      </c>
      <c r="BY3" s="8" t="s">
        <v>54</v>
      </c>
      <c r="BZ3" s="8" t="s">
        <v>54</v>
      </c>
      <c r="CA3" s="8" t="s">
        <v>54</v>
      </c>
      <c r="CB3" s="8" t="s">
        <v>54</v>
      </c>
      <c r="CC3" s="8" t="s">
        <v>54</v>
      </c>
      <c r="CD3" s="8" t="s">
        <v>54</v>
      </c>
      <c r="CE3" s="8" t="s">
        <v>54</v>
      </c>
      <c r="CF3" s="8" t="s">
        <v>54</v>
      </c>
      <c r="CG3" s="8" t="s">
        <v>54</v>
      </c>
      <c r="CH3" s="8" t="s">
        <v>54</v>
      </c>
      <c r="CI3" s="8" t="s">
        <v>54</v>
      </c>
      <c r="CJ3" s="8" t="s">
        <v>54</v>
      </c>
      <c r="CK3" s="8" t="s">
        <v>54</v>
      </c>
      <c r="CL3" s="8" t="s">
        <v>54</v>
      </c>
      <c r="CM3" s="8" t="s">
        <v>54</v>
      </c>
      <c r="CN3" s="8" t="s">
        <v>54</v>
      </c>
      <c r="CO3" s="8" t="s">
        <v>54</v>
      </c>
      <c r="CP3" s="8" t="s">
        <v>54</v>
      </c>
      <c r="CQ3" s="8" t="s">
        <v>54</v>
      </c>
      <c r="CR3" s="8" t="s">
        <v>54</v>
      </c>
      <c r="CS3" s="8" t="s">
        <v>54</v>
      </c>
      <c r="CT3" s="8" t="s">
        <v>54</v>
      </c>
      <c r="CU3" s="8" t="s">
        <v>54</v>
      </c>
      <c r="CV3" s="8" t="s">
        <v>54</v>
      </c>
      <c r="CW3" s="8" t="s">
        <v>54</v>
      </c>
      <c r="CX3" s="8" t="s">
        <v>54</v>
      </c>
      <c r="CY3" s="8" t="s">
        <v>54</v>
      </c>
      <c r="CZ3" s="8" t="s">
        <v>54</v>
      </c>
      <c r="DA3" s="8" t="s">
        <v>54</v>
      </c>
      <c r="DB3" s="8" t="s">
        <v>54</v>
      </c>
      <c r="DC3" s="8" t="s">
        <v>54</v>
      </c>
      <c r="DD3" s="8" t="s">
        <v>54</v>
      </c>
      <c r="DE3" s="8" t="s">
        <v>54</v>
      </c>
      <c r="DF3" s="8" t="s">
        <v>54</v>
      </c>
    </row>
    <row r="4" spans="1:110" s="2" customFormat="1" ht="27" customHeight="1" x14ac:dyDescent="0.25">
      <c r="B4" s="6" t="s">
        <v>30</v>
      </c>
      <c r="C4" s="6" t="s">
        <v>8</v>
      </c>
      <c r="D4" s="6"/>
      <c r="E4" s="6"/>
      <c r="F4" s="6" t="s">
        <v>8</v>
      </c>
      <c r="G4" s="8" t="s">
        <v>7</v>
      </c>
      <c r="H4" s="6" t="s">
        <v>10</v>
      </c>
      <c r="I4" s="6" t="s">
        <v>8</v>
      </c>
      <c r="J4" s="6" t="s">
        <v>7</v>
      </c>
      <c r="K4" s="6" t="s">
        <v>10</v>
      </c>
      <c r="L4" s="6" t="s">
        <v>8</v>
      </c>
      <c r="M4" s="6" t="s">
        <v>7</v>
      </c>
      <c r="N4" s="6" t="s">
        <v>10</v>
      </c>
      <c r="O4" s="6" t="s">
        <v>8</v>
      </c>
      <c r="P4" s="6" t="s">
        <v>7</v>
      </c>
      <c r="Q4" s="6" t="s">
        <v>10</v>
      </c>
      <c r="R4" s="6"/>
      <c r="S4" s="6" t="s">
        <v>8</v>
      </c>
      <c r="T4" s="6" t="s">
        <v>7</v>
      </c>
      <c r="U4" s="6" t="s">
        <v>10</v>
      </c>
      <c r="V4" s="6" t="s">
        <v>8</v>
      </c>
      <c r="W4" s="6" t="s">
        <v>7</v>
      </c>
      <c r="X4" s="6" t="s">
        <v>10</v>
      </c>
      <c r="Y4" s="6" t="s">
        <v>8</v>
      </c>
      <c r="Z4" s="6" t="s">
        <v>7</v>
      </c>
      <c r="AA4" s="6" t="s">
        <v>10</v>
      </c>
      <c r="AB4" s="6" t="s">
        <v>7</v>
      </c>
      <c r="AC4" s="6"/>
      <c r="AD4" s="6" t="s">
        <v>7</v>
      </c>
      <c r="AE4" s="6" t="s">
        <v>10</v>
      </c>
      <c r="AF4" s="6"/>
      <c r="AG4" s="6" t="s">
        <v>7</v>
      </c>
      <c r="AH4" s="6" t="s">
        <v>10</v>
      </c>
      <c r="AI4" s="6" t="s">
        <v>8</v>
      </c>
      <c r="AJ4" s="6" t="s">
        <v>7</v>
      </c>
      <c r="AK4" s="6" t="s">
        <v>10</v>
      </c>
      <c r="AL4" s="6" t="s">
        <v>8</v>
      </c>
      <c r="AM4" s="6" t="s">
        <v>7</v>
      </c>
      <c r="AN4" s="6" t="s">
        <v>10</v>
      </c>
      <c r="AO4" s="6" t="s">
        <v>8</v>
      </c>
      <c r="AP4" s="6" t="s">
        <v>7</v>
      </c>
      <c r="AQ4" s="6" t="s">
        <v>10</v>
      </c>
      <c r="AR4" s="6" t="s">
        <v>8</v>
      </c>
      <c r="AS4" s="6" t="s">
        <v>7</v>
      </c>
      <c r="AT4" s="6" t="s">
        <v>10</v>
      </c>
      <c r="AU4" s="6" t="s">
        <v>8</v>
      </c>
      <c r="AV4" s="6" t="s">
        <v>7</v>
      </c>
      <c r="AW4" s="6" t="s">
        <v>10</v>
      </c>
      <c r="AX4" s="6" t="s">
        <v>8</v>
      </c>
      <c r="AY4" s="6" t="s">
        <v>7</v>
      </c>
      <c r="AZ4" s="6" t="s">
        <v>10</v>
      </c>
      <c r="BA4" s="6" t="s">
        <v>8</v>
      </c>
      <c r="BB4" s="6" t="s">
        <v>7</v>
      </c>
      <c r="BC4" s="6" t="s">
        <v>10</v>
      </c>
      <c r="BD4" s="6" t="s">
        <v>8</v>
      </c>
      <c r="BE4" s="6" t="s">
        <v>7</v>
      </c>
      <c r="BF4" s="6" t="s">
        <v>10</v>
      </c>
      <c r="BG4" s="6" t="s">
        <v>8</v>
      </c>
      <c r="BH4" s="6" t="s">
        <v>7</v>
      </c>
      <c r="BI4" s="6" t="s">
        <v>10</v>
      </c>
      <c r="BJ4" s="6" t="s">
        <v>8</v>
      </c>
      <c r="BK4" s="6" t="s">
        <v>7</v>
      </c>
      <c r="BL4" s="6" t="s">
        <v>10</v>
      </c>
      <c r="BM4" s="6" t="s">
        <v>8</v>
      </c>
      <c r="BN4" s="6" t="s">
        <v>7</v>
      </c>
      <c r="BO4" s="6" t="s">
        <v>10</v>
      </c>
      <c r="BP4" s="6" t="s">
        <v>8</v>
      </c>
      <c r="BQ4" s="6" t="s">
        <v>7</v>
      </c>
      <c r="BR4" s="6" t="s">
        <v>10</v>
      </c>
      <c r="BS4" s="6" t="s">
        <v>8</v>
      </c>
      <c r="BT4" s="6" t="s">
        <v>7</v>
      </c>
      <c r="BU4" s="6" t="s">
        <v>10</v>
      </c>
      <c r="BV4" s="6" t="s">
        <v>8</v>
      </c>
      <c r="BW4" s="6" t="s">
        <v>7</v>
      </c>
      <c r="BX4" s="6" t="s">
        <v>10</v>
      </c>
      <c r="BY4" s="6" t="s">
        <v>8</v>
      </c>
      <c r="BZ4" s="6" t="s">
        <v>7</v>
      </c>
      <c r="CA4" s="6" t="s">
        <v>10</v>
      </c>
      <c r="CB4" s="6" t="s">
        <v>8</v>
      </c>
      <c r="CC4" s="6" t="s">
        <v>7</v>
      </c>
      <c r="CD4" s="6" t="s">
        <v>10</v>
      </c>
      <c r="CE4" s="6" t="s">
        <v>8</v>
      </c>
      <c r="CF4" s="6" t="s">
        <v>7</v>
      </c>
      <c r="CG4" s="6" t="s">
        <v>10</v>
      </c>
      <c r="CH4" s="6" t="s">
        <v>8</v>
      </c>
      <c r="CI4" s="6" t="s">
        <v>7</v>
      </c>
      <c r="CJ4" s="6" t="s">
        <v>10</v>
      </c>
      <c r="CK4" s="6" t="s">
        <v>8</v>
      </c>
      <c r="CL4" s="6" t="s">
        <v>7</v>
      </c>
      <c r="CM4" s="6" t="s">
        <v>10</v>
      </c>
      <c r="CN4" s="6" t="s">
        <v>8</v>
      </c>
      <c r="CO4" s="6" t="s">
        <v>7</v>
      </c>
      <c r="CP4" s="6" t="s">
        <v>10</v>
      </c>
      <c r="CQ4" s="6" t="s">
        <v>8</v>
      </c>
      <c r="CR4" s="6" t="s">
        <v>7</v>
      </c>
      <c r="CS4" s="6" t="s">
        <v>10</v>
      </c>
      <c r="CT4" s="6" t="s">
        <v>8</v>
      </c>
      <c r="CU4" s="6" t="s">
        <v>7</v>
      </c>
      <c r="CV4" s="6" t="s">
        <v>10</v>
      </c>
      <c r="CW4" s="6" t="s">
        <v>8</v>
      </c>
      <c r="CX4" s="6" t="s">
        <v>7</v>
      </c>
      <c r="CY4" s="6" t="s">
        <v>10</v>
      </c>
      <c r="CZ4" s="6" t="s">
        <v>8</v>
      </c>
      <c r="DA4" s="6" t="s">
        <v>7</v>
      </c>
      <c r="DB4" s="6" t="s">
        <v>8</v>
      </c>
      <c r="DC4" s="6" t="s">
        <v>7</v>
      </c>
      <c r="DD4" s="6" t="s">
        <v>7</v>
      </c>
      <c r="DE4" s="6" t="s">
        <v>7</v>
      </c>
      <c r="DF4" s="6" t="s">
        <v>7</v>
      </c>
    </row>
    <row r="5" spans="1:110" s="10" customFormat="1" x14ac:dyDescent="0.25">
      <c r="A5" s="5" t="s">
        <v>33</v>
      </c>
      <c r="B5" s="5" t="s">
        <v>32</v>
      </c>
      <c r="C5" s="7" t="s">
        <v>52</v>
      </c>
      <c r="D5" s="7" t="s">
        <v>52</v>
      </c>
      <c r="E5" s="7" t="s">
        <v>52</v>
      </c>
      <c r="F5" s="7" t="s">
        <v>52</v>
      </c>
      <c r="G5" s="7" t="s">
        <v>52</v>
      </c>
      <c r="H5" s="7" t="s">
        <v>52</v>
      </c>
      <c r="I5" s="7" t="s">
        <v>52</v>
      </c>
      <c r="J5" s="7" t="s">
        <v>52</v>
      </c>
      <c r="K5" s="7" t="s">
        <v>52</v>
      </c>
      <c r="L5" s="7" t="s">
        <v>52</v>
      </c>
      <c r="M5" s="7" t="s">
        <v>52</v>
      </c>
      <c r="N5" s="7" t="s">
        <v>52</v>
      </c>
      <c r="O5" s="7" t="s">
        <v>52</v>
      </c>
      <c r="P5" s="7" t="s">
        <v>52</v>
      </c>
      <c r="Q5" s="7" t="s">
        <v>52</v>
      </c>
      <c r="R5" s="7" t="s">
        <v>52</v>
      </c>
      <c r="S5" s="7" t="s">
        <v>52</v>
      </c>
      <c r="T5" s="7" t="s">
        <v>52</v>
      </c>
      <c r="U5" s="7" t="s">
        <v>52</v>
      </c>
      <c r="V5" s="7" t="s">
        <v>52</v>
      </c>
      <c r="W5" s="7" t="s">
        <v>52</v>
      </c>
      <c r="X5" s="7" t="s">
        <v>52</v>
      </c>
      <c r="Y5" s="7" t="s">
        <v>52</v>
      </c>
      <c r="Z5" s="7" t="s">
        <v>52</v>
      </c>
      <c r="AA5" s="7" t="s">
        <v>52</v>
      </c>
      <c r="AB5" s="7" t="s">
        <v>52</v>
      </c>
      <c r="AC5" s="7" t="s">
        <v>52</v>
      </c>
      <c r="AD5" s="7" t="s">
        <v>52</v>
      </c>
      <c r="AE5" s="7" t="s">
        <v>52</v>
      </c>
      <c r="AF5" s="7" t="s">
        <v>52</v>
      </c>
      <c r="AG5" s="7" t="s">
        <v>52</v>
      </c>
      <c r="AH5" s="7" t="s">
        <v>52</v>
      </c>
      <c r="AI5" s="7" t="s">
        <v>52</v>
      </c>
      <c r="AJ5" s="7" t="s">
        <v>52</v>
      </c>
      <c r="AK5" s="7" t="s">
        <v>52</v>
      </c>
      <c r="AL5" s="7" t="s">
        <v>52</v>
      </c>
      <c r="AM5" s="7" t="s">
        <v>52</v>
      </c>
      <c r="AN5" s="7" t="s">
        <v>52</v>
      </c>
      <c r="AO5" s="7" t="s">
        <v>52</v>
      </c>
      <c r="AP5" s="7" t="s">
        <v>52</v>
      </c>
      <c r="AQ5" s="7" t="s">
        <v>52</v>
      </c>
      <c r="AR5" s="7" t="s">
        <v>52</v>
      </c>
      <c r="AS5" s="7" t="s">
        <v>52</v>
      </c>
      <c r="AT5" s="7" t="s">
        <v>52</v>
      </c>
      <c r="AU5" s="7" t="s">
        <v>52</v>
      </c>
      <c r="AV5" s="7" t="s">
        <v>52</v>
      </c>
      <c r="AW5" s="7" t="s">
        <v>52</v>
      </c>
      <c r="AX5" s="7" t="s">
        <v>52</v>
      </c>
      <c r="AY5" s="7" t="s">
        <v>52</v>
      </c>
      <c r="AZ5" s="7" t="s">
        <v>52</v>
      </c>
      <c r="BA5" s="7" t="s">
        <v>52</v>
      </c>
      <c r="BB5" s="7" t="s">
        <v>52</v>
      </c>
      <c r="BC5" s="7" t="s">
        <v>52</v>
      </c>
      <c r="BD5" s="7" t="s">
        <v>52</v>
      </c>
      <c r="BE5" s="7" t="s">
        <v>52</v>
      </c>
      <c r="BF5" s="7" t="s">
        <v>52</v>
      </c>
      <c r="BG5" s="7" t="s">
        <v>52</v>
      </c>
      <c r="BH5" s="7" t="s">
        <v>52</v>
      </c>
      <c r="BI5" s="7" t="s">
        <v>52</v>
      </c>
      <c r="BJ5" s="7" t="s">
        <v>52</v>
      </c>
      <c r="BK5" s="7" t="s">
        <v>52</v>
      </c>
      <c r="BL5" s="7" t="s">
        <v>52</v>
      </c>
      <c r="BM5" s="7" t="s">
        <v>52</v>
      </c>
      <c r="BN5" s="7" t="s">
        <v>52</v>
      </c>
      <c r="BO5" s="7" t="s">
        <v>52</v>
      </c>
      <c r="BP5" s="7" t="s">
        <v>52</v>
      </c>
      <c r="BQ5" s="7" t="s">
        <v>52</v>
      </c>
      <c r="BR5" s="7" t="s">
        <v>52</v>
      </c>
      <c r="BS5" s="7" t="s">
        <v>52</v>
      </c>
      <c r="BT5" s="7" t="s">
        <v>52</v>
      </c>
      <c r="BU5" s="7" t="s">
        <v>52</v>
      </c>
      <c r="BV5" s="7" t="s">
        <v>52</v>
      </c>
      <c r="BW5" s="7" t="s">
        <v>52</v>
      </c>
      <c r="BX5" s="7" t="s">
        <v>52</v>
      </c>
      <c r="BY5" s="7" t="s">
        <v>52</v>
      </c>
      <c r="BZ5" s="7" t="s">
        <v>52</v>
      </c>
      <c r="CA5" s="7" t="s">
        <v>52</v>
      </c>
      <c r="CB5" s="7" t="s">
        <v>52</v>
      </c>
      <c r="CC5" s="7" t="s">
        <v>52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52</v>
      </c>
      <c r="CL5" s="7" t="s">
        <v>52</v>
      </c>
      <c r="CM5" s="7" t="s">
        <v>52</v>
      </c>
      <c r="CN5" s="7" t="s">
        <v>52</v>
      </c>
      <c r="CO5" s="7" t="s">
        <v>52</v>
      </c>
      <c r="CP5" s="7" t="s">
        <v>52</v>
      </c>
      <c r="CQ5" s="7" t="s">
        <v>52</v>
      </c>
      <c r="CR5" s="7" t="s">
        <v>52</v>
      </c>
      <c r="CS5" s="7" t="s">
        <v>52</v>
      </c>
      <c r="CT5" s="7" t="s">
        <v>52</v>
      </c>
      <c r="CU5" s="7" t="s">
        <v>52</v>
      </c>
      <c r="CV5" s="7" t="s">
        <v>52</v>
      </c>
      <c r="CW5" s="7" t="s">
        <v>52</v>
      </c>
      <c r="CX5" s="7" t="s">
        <v>52</v>
      </c>
      <c r="CY5" s="7" t="s">
        <v>52</v>
      </c>
      <c r="CZ5" s="7" t="s">
        <v>52</v>
      </c>
      <c r="DA5" s="7" t="s">
        <v>52</v>
      </c>
      <c r="DB5" s="7" t="s">
        <v>52</v>
      </c>
      <c r="DC5" s="7" t="s">
        <v>52</v>
      </c>
      <c r="DD5" s="7" t="s">
        <v>52</v>
      </c>
      <c r="DE5" s="7" t="s">
        <v>52</v>
      </c>
      <c r="DF5" s="7" t="s">
        <v>52</v>
      </c>
    </row>
    <row r="6" spans="1:110" s="2" customFormat="1" ht="54.6" hidden="1" customHeight="1" x14ac:dyDescent="0.25">
      <c r="A6" s="5" t="s">
        <v>33</v>
      </c>
      <c r="B6" s="6" t="s">
        <v>29</v>
      </c>
      <c r="C6" s="8" t="str">
        <f>CONCATENATE(C2,", ",C4,", ","in ",C5)</f>
        <v>UK, Imports, in pound/ton</v>
      </c>
      <c r="D6" s="8" t="str">
        <f>CONCATENATE(D2,", ",D4,", ","in ",D5)</f>
        <v>UK (London), , in pound/ton</v>
      </c>
      <c r="E6" s="8" t="str">
        <f t="shared" ref="E6:BP6" si="0">CONCATENATE(E2,", ",E4,", ","in ",E5)</f>
        <v>Odessa, , in pound/ton</v>
      </c>
      <c r="F6" s="8" t="str">
        <f t="shared" si="0"/>
        <v>Baghdad, Imports, in pound/ton</v>
      </c>
      <c r="G6" s="8" t="str">
        <f t="shared" si="0"/>
        <v>Baghdad, Exports, in pound/ton</v>
      </c>
      <c r="H6" s="8" t="str">
        <f t="shared" si="0"/>
        <v>Baghdad, Bazaar (Local), in pound/ton</v>
      </c>
      <c r="I6" s="8" t="str">
        <f t="shared" si="0"/>
        <v>Basrah, Imports, in pound/ton</v>
      </c>
      <c r="J6" s="8" t="str">
        <f t="shared" si="0"/>
        <v>Basrah, Exports, in pound/ton</v>
      </c>
      <c r="K6" s="8" t="str">
        <f t="shared" si="0"/>
        <v>Basrah, Bazaar (Local), in pound/ton</v>
      </c>
      <c r="L6" s="8" t="str">
        <f t="shared" si="0"/>
        <v>Mosul, Imports, in pound/ton</v>
      </c>
      <c r="M6" s="8" t="str">
        <f t="shared" si="0"/>
        <v>Mosul, Exports, in pound/ton</v>
      </c>
      <c r="N6" s="8" t="str">
        <f t="shared" si="0"/>
        <v>Mosul, Bazaar (Local), in pound/ton</v>
      </c>
      <c r="O6" s="8" t="str">
        <f t="shared" si="0"/>
        <v>Egypt, Imports, in pound/ton</v>
      </c>
      <c r="P6" s="8" t="str">
        <f t="shared" si="0"/>
        <v>Egypt, Exports, in pound/ton</v>
      </c>
      <c r="Q6" s="8" t="str">
        <f t="shared" si="0"/>
        <v>Egypt, Bazaar (Local), in pound/ton</v>
      </c>
      <c r="R6" s="8" t="str">
        <f t="shared" si="0"/>
        <v>Aleppo, , in pound/ton</v>
      </c>
      <c r="S6" s="8" t="str">
        <f t="shared" si="0"/>
        <v>Palestine, Imports, in pound/ton</v>
      </c>
      <c r="T6" s="8" t="str">
        <f t="shared" si="0"/>
        <v>Palestine, Exports, in pound/ton</v>
      </c>
      <c r="U6" s="8" t="str">
        <f t="shared" si="0"/>
        <v>Palestine, Bazaar (Local), in pound/ton</v>
      </c>
      <c r="V6" s="8" t="str">
        <f t="shared" si="0"/>
        <v>Damascus, Imports, in pound/ton</v>
      </c>
      <c r="W6" s="8" t="str">
        <f t="shared" si="0"/>
        <v>Damascus, Exports, in pound/ton</v>
      </c>
      <c r="X6" s="8" t="str">
        <f t="shared" si="0"/>
        <v>Damascus, Bazaar (Local), in pound/ton</v>
      </c>
      <c r="Y6" s="8" t="str">
        <f t="shared" si="0"/>
        <v>Beirut, Imports, in pound/ton</v>
      </c>
      <c r="Z6" s="8" t="str">
        <f t="shared" si="0"/>
        <v>Beirut, Exports, in pound/ton</v>
      </c>
      <c r="AA6" s="8" t="str">
        <f t="shared" si="0"/>
        <v>Beirut, Bazaar (Local), in pound/ton</v>
      </c>
      <c r="AB6" s="8" t="str">
        <f t="shared" si="0"/>
        <v>Alexandria, Exports, in pound/ton</v>
      </c>
      <c r="AC6" s="8" t="str">
        <f t="shared" si="0"/>
        <v>Istanbul (Rumeli), , in pound/ton</v>
      </c>
      <c r="AD6" s="8" t="str">
        <f t="shared" si="0"/>
        <v>Istanbul (Rumeli), Exports, in pound/ton</v>
      </c>
      <c r="AE6" s="8" t="str">
        <f t="shared" si="0"/>
        <v>Istanbul (Rumeli), Bazaar (Local), in pound/ton</v>
      </c>
      <c r="AF6" s="8" t="str">
        <f t="shared" si="0"/>
        <v>Istanbul (Anatolia), , in pound/ton</v>
      </c>
      <c r="AG6" s="8" t="str">
        <f t="shared" si="0"/>
        <v>Istanbul (Anatolia), Exports, in pound/ton</v>
      </c>
      <c r="AH6" s="8" t="str">
        <f t="shared" si="0"/>
        <v>Istanbul (Anatolia), Bazaar (Local), in pound/ton</v>
      </c>
      <c r="AI6" s="8" t="str">
        <f t="shared" si="0"/>
        <v>Istanbul (Nallrihan), Imports, in pound/ton</v>
      </c>
      <c r="AJ6" s="8" t="str">
        <f t="shared" si="0"/>
        <v>Istanbul (Nallrihan), Exports, in pound/ton</v>
      </c>
      <c r="AK6" s="8" t="str">
        <f t="shared" si="0"/>
        <v>Istanbul (Nallrihan), Bazaar (Local), in pound/ton</v>
      </c>
      <c r="AL6" s="8" t="str">
        <f t="shared" si="0"/>
        <v>Turkey, Imports, in pound/ton</v>
      </c>
      <c r="AM6" s="8" t="str">
        <f t="shared" si="0"/>
        <v>Turkey, Exports, in pound/ton</v>
      </c>
      <c r="AN6" s="8" t="str">
        <f t="shared" si="0"/>
        <v>Turkey, Bazaar (Local), in pound/ton</v>
      </c>
      <c r="AO6" s="8" t="str">
        <f t="shared" si="0"/>
        <v>Constantinople, Imports, in pound/ton</v>
      </c>
      <c r="AP6" s="8" t="str">
        <f t="shared" si="0"/>
        <v>Constantinople, Exports, in pound/ton</v>
      </c>
      <c r="AQ6" s="8" t="str">
        <f t="shared" si="0"/>
        <v>Constantinople, Bazaar (Local), in pound/ton</v>
      </c>
      <c r="AR6" s="8" t="str">
        <f t="shared" si="0"/>
        <v>Trebizond (Anatolia), Imports, in pound/ton</v>
      </c>
      <c r="AS6" s="8" t="str">
        <f t="shared" si="0"/>
        <v>Trebizond (Anatolia), Exports, in pound/ton</v>
      </c>
      <c r="AT6" s="8" t="str">
        <f t="shared" si="0"/>
        <v>Trebizond (Anatolia), Bazaar (Local), in pound/ton</v>
      </c>
      <c r="AU6" s="8" t="str">
        <f t="shared" si="0"/>
        <v>Trebizond (Persia), Imports, in pound/ton</v>
      </c>
      <c r="AV6" s="8" t="str">
        <f t="shared" si="0"/>
        <v>Trebizond (Persia), Exports, in pound/ton</v>
      </c>
      <c r="AW6" s="8" t="str">
        <f t="shared" si="0"/>
        <v>Trebizond (Persia), Bazaar (Local), in pound/ton</v>
      </c>
      <c r="AX6" s="8" t="str">
        <f t="shared" si="0"/>
        <v>Izmir, Imports, in pound/ton</v>
      </c>
      <c r="AY6" s="8" t="str">
        <f t="shared" si="0"/>
        <v>Izmir, Exports, in pound/ton</v>
      </c>
      <c r="AZ6" s="8" t="str">
        <f t="shared" si="0"/>
        <v>Izmir, Bazaar (Local), in pound/ton</v>
      </c>
      <c r="BA6" s="8" t="str">
        <f t="shared" si="0"/>
        <v>Alexandretta, Imports, in pound/ton</v>
      </c>
      <c r="BB6" s="8" t="str">
        <f t="shared" si="0"/>
        <v>Alexandretta, Exports, in pound/ton</v>
      </c>
      <c r="BC6" s="8" t="str">
        <f t="shared" si="0"/>
        <v>Alexandretta, Bazaar (Local), in pound/ton</v>
      </c>
      <c r="BD6" s="8" t="str">
        <f t="shared" si="0"/>
        <v>Ispahan, Imports, in pound/ton</v>
      </c>
      <c r="BE6" s="8" t="str">
        <f t="shared" si="0"/>
        <v>Ispahan, Exports, in pound/ton</v>
      </c>
      <c r="BF6" s="8" t="str">
        <f t="shared" si="0"/>
        <v>Ispahan, Bazaar (Local), in pound/ton</v>
      </c>
      <c r="BG6" s="8" t="str">
        <f t="shared" si="0"/>
        <v>Yezd, Imports, in pound/ton</v>
      </c>
      <c r="BH6" s="8" t="str">
        <f t="shared" si="0"/>
        <v>Yezd, Exports, in pound/ton</v>
      </c>
      <c r="BI6" s="8" t="str">
        <f t="shared" si="0"/>
        <v>Yezd, Bazaar (Local), in pound/ton</v>
      </c>
      <c r="BJ6" s="8" t="str">
        <f t="shared" si="0"/>
        <v>Khorasan, Imports, in pound/ton</v>
      </c>
      <c r="BK6" s="8" t="str">
        <f t="shared" si="0"/>
        <v>Khorasan, Exports, in pound/ton</v>
      </c>
      <c r="BL6" s="8" t="str">
        <f t="shared" si="0"/>
        <v>Khorasan, Bazaar (Local), in pound/ton</v>
      </c>
      <c r="BM6" s="8" t="str">
        <f t="shared" si="0"/>
        <v>Kermanshah, Imports, in pound/ton</v>
      </c>
      <c r="BN6" s="8" t="str">
        <f t="shared" si="0"/>
        <v>Kermanshah, Exports, in pound/ton</v>
      </c>
      <c r="BO6" s="8" t="str">
        <f t="shared" si="0"/>
        <v>Kermanshah, Bazaar (Local), in pound/ton</v>
      </c>
      <c r="BP6" s="8" t="str">
        <f t="shared" si="0"/>
        <v>Kerman, Imports, in pound/ton</v>
      </c>
      <c r="BQ6" s="8" t="str">
        <f t="shared" ref="BQ6:DE6" si="1">CONCATENATE(BQ2,", ",BQ4,", ","in ",BQ5)</f>
        <v>Kerman, Exports, in pound/ton</v>
      </c>
      <c r="BR6" s="8" t="str">
        <f t="shared" si="1"/>
        <v>Kerman, Bazaar (Local), in pound/ton</v>
      </c>
      <c r="BS6" s="8" t="str">
        <f t="shared" si="1"/>
        <v>Bam, Imports, in pound/ton</v>
      </c>
      <c r="BT6" s="8" t="str">
        <f t="shared" si="1"/>
        <v>Bam, Exports, in pound/ton</v>
      </c>
      <c r="BU6" s="8" t="str">
        <f t="shared" si="1"/>
        <v>Bam, Bazaar (Local), in pound/ton</v>
      </c>
      <c r="BV6" s="8" t="str">
        <f t="shared" si="1"/>
        <v>Resht, Imports, in pound/ton</v>
      </c>
      <c r="BW6" s="8" t="str">
        <f t="shared" si="1"/>
        <v>Resht, Exports, in pound/ton</v>
      </c>
      <c r="BX6" s="8" t="str">
        <f t="shared" si="1"/>
        <v>Resht, Bazaar (Local), in pound/ton</v>
      </c>
      <c r="BY6" s="8" t="str">
        <f t="shared" si="1"/>
        <v>Mazandaran, Imports, in pound/ton</v>
      </c>
      <c r="BZ6" s="8" t="str">
        <f t="shared" si="1"/>
        <v>Mazandaran, Exports, in pound/ton</v>
      </c>
      <c r="CA6" s="8" t="str">
        <f t="shared" si="1"/>
        <v>Mazandaran, Bazaar (Local), in pound/ton</v>
      </c>
      <c r="CB6" s="8" t="str">
        <f t="shared" si="1"/>
        <v>Ghilan &amp; Tunekabun, Imports, in pound/ton</v>
      </c>
      <c r="CC6" s="8" t="str">
        <f t="shared" si="1"/>
        <v>Ghilan &amp; Tunekabun, Exports, in pound/ton</v>
      </c>
      <c r="CD6" s="8" t="str">
        <f t="shared" si="1"/>
        <v>Ghilan &amp; Tunekabun, Bazaar (Local), in pound/ton</v>
      </c>
      <c r="CE6" s="8" t="str">
        <f t="shared" si="1"/>
        <v>Bender Gez &amp; Astarabad, Imports, in pound/ton</v>
      </c>
      <c r="CF6" s="8" t="str">
        <f t="shared" si="1"/>
        <v>Bender Gez &amp; Astarabad, Exports, in pound/ton</v>
      </c>
      <c r="CG6" s="8" t="str">
        <f t="shared" si="1"/>
        <v>Bender Gez &amp; Astarabad, Bazaar (Local), in pound/ton</v>
      </c>
      <c r="CH6" s="8" t="str">
        <f t="shared" si="1"/>
        <v>Astara, Imports, in pound/ton</v>
      </c>
      <c r="CI6" s="8" t="str">
        <f t="shared" si="1"/>
        <v>Astara, Exports, in pound/ton</v>
      </c>
      <c r="CJ6" s="8" t="str">
        <f t="shared" si="1"/>
        <v>Astara, Bazaar (Local), in pound/ton</v>
      </c>
      <c r="CK6" s="8" t="str">
        <f t="shared" si="1"/>
        <v>Sultanabad, Imports, in pound/ton</v>
      </c>
      <c r="CL6" s="8" t="str">
        <f t="shared" si="1"/>
        <v>Sultanabad, Exports, in pound/ton</v>
      </c>
      <c r="CM6" s="8" t="str">
        <f t="shared" si="1"/>
        <v>Sultanabad, Bazaar (Local), in pound/ton</v>
      </c>
      <c r="CN6" s="8" t="str">
        <f t="shared" si="1"/>
        <v>Bahrain, Imports, in pound/ton</v>
      </c>
      <c r="CO6" s="8" t="str">
        <f t="shared" si="1"/>
        <v>Bahrain, Exports, in pound/ton</v>
      </c>
      <c r="CP6" s="8" t="str">
        <f t="shared" si="1"/>
        <v>Bahrain, Bazaar (Local), in pound/ton</v>
      </c>
      <c r="CQ6" s="8" t="str">
        <f t="shared" si="1"/>
        <v>Muscat, Imports, in pound/ton</v>
      </c>
      <c r="CR6" s="8" t="str">
        <f t="shared" si="1"/>
        <v>Muscat, Exports, in pound/ton</v>
      </c>
      <c r="CS6" s="8" t="str">
        <f t="shared" si="1"/>
        <v>Muscat, Bazaar (Local), in pound/ton</v>
      </c>
      <c r="CT6" s="8" t="str">
        <f t="shared" si="1"/>
        <v>Mohammerah, Imports, in pound/ton</v>
      </c>
      <c r="CU6" s="8" t="str">
        <f t="shared" si="1"/>
        <v>Mohammerah, Exports, in pound/ton</v>
      </c>
      <c r="CV6" s="8" t="str">
        <f t="shared" si="1"/>
        <v>Mohammerah, Bazaar (Local), in pound/ton</v>
      </c>
      <c r="CW6" s="8" t="str">
        <f t="shared" si="1"/>
        <v>Lingah, Imports, in pound/ton</v>
      </c>
      <c r="CX6" s="8" t="str">
        <f t="shared" si="1"/>
        <v>Lingah, Exports, in pound/ton</v>
      </c>
      <c r="CY6" s="8" t="str">
        <f t="shared" si="1"/>
        <v>Lingah, Bazaar (Local), in pound/ton</v>
      </c>
      <c r="CZ6" s="8" t="str">
        <f t="shared" si="1"/>
        <v>Shiraz, Imports, in pound/ton</v>
      </c>
      <c r="DA6" s="8" t="str">
        <f t="shared" si="1"/>
        <v>Shiraz, Exports, in pound/ton</v>
      </c>
      <c r="DB6" s="8" t="str">
        <f t="shared" si="1"/>
        <v>India, Imports, in pound/ton</v>
      </c>
      <c r="DC6" s="8" t="str">
        <f t="shared" si="1"/>
        <v>Bombay, Exports, in pound/ton</v>
      </c>
      <c r="DD6" s="8" t="str">
        <f t="shared" si="1"/>
        <v>Karachi, Exports, in pound/ton</v>
      </c>
      <c r="DE6" s="8" t="str">
        <f t="shared" si="1"/>
        <v>India, Exports, in pound/ton</v>
      </c>
      <c r="DF6" s="8" t="str">
        <f t="shared" ref="DF6" si="2">CONCATENATE(DF2,", ",DF4,", ","in ",DF5)</f>
        <v>India (Average), Exports, in pound/ton</v>
      </c>
    </row>
    <row r="7" spans="1:110" hidden="1" x14ac:dyDescent="0.25">
      <c r="A7" s="9">
        <v>1840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</row>
    <row r="8" spans="1:110" hidden="1" x14ac:dyDescent="0.25">
      <c r="A8" s="9">
        <f t="shared" ref="A8:A39" si="3">A7+1</f>
        <v>1841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</row>
    <row r="9" spans="1:110" hidden="1" x14ac:dyDescent="0.25">
      <c r="A9" s="9">
        <f t="shared" si="3"/>
        <v>1842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10" hidden="1" x14ac:dyDescent="0.25">
      <c r="A10" s="9">
        <f t="shared" si="3"/>
        <v>1843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10" hidden="1" x14ac:dyDescent="0.25">
      <c r="A11" s="9">
        <f t="shared" si="3"/>
        <v>1844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10" hidden="1" x14ac:dyDescent="0.25">
      <c r="A12" s="9">
        <f t="shared" si="3"/>
        <v>1845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10" hidden="1" x14ac:dyDescent="0.25">
      <c r="A13" s="9">
        <f t="shared" si="3"/>
        <v>1846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</row>
    <row r="14" spans="1:110" hidden="1" x14ac:dyDescent="0.25">
      <c r="A14" s="9">
        <f t="shared" si="3"/>
        <v>1847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</row>
    <row r="15" spans="1:110" hidden="1" x14ac:dyDescent="0.25">
      <c r="A15" s="9">
        <f t="shared" si="3"/>
        <v>1848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</row>
    <row r="16" spans="1:110" hidden="1" x14ac:dyDescent="0.25">
      <c r="A16" s="9">
        <f t="shared" si="3"/>
        <v>1849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</row>
    <row r="17" spans="1:110" x14ac:dyDescent="0.25">
      <c r="A17" s="9">
        <f t="shared" si="3"/>
        <v>1850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</row>
    <row r="18" spans="1:110" x14ac:dyDescent="0.25">
      <c r="A18" s="9">
        <f t="shared" si="3"/>
        <v>1851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</row>
    <row r="19" spans="1:110" x14ac:dyDescent="0.25">
      <c r="A19" s="9">
        <f t="shared" si="3"/>
        <v>1852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</row>
    <row r="20" spans="1:110" x14ac:dyDescent="0.25">
      <c r="A20" s="9">
        <f t="shared" si="3"/>
        <v>1853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</row>
    <row r="21" spans="1:110" x14ac:dyDescent="0.25">
      <c r="A21" s="9">
        <f t="shared" si="3"/>
        <v>1854</v>
      </c>
      <c r="C21" s="3">
        <v>137.17956357680612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</row>
    <row r="22" spans="1:110" x14ac:dyDescent="0.25">
      <c r="A22" s="9">
        <f t="shared" si="3"/>
        <v>1855</v>
      </c>
      <c r="C22" s="3">
        <v>147.24211812704246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</row>
    <row r="23" spans="1:110" x14ac:dyDescent="0.25">
      <c r="A23" s="9">
        <f t="shared" si="3"/>
        <v>1856</v>
      </c>
      <c r="C23" s="3">
        <v>167.00859068962879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</row>
    <row r="24" spans="1:110" x14ac:dyDescent="0.25">
      <c r="A24" s="9">
        <f t="shared" si="3"/>
        <v>1857</v>
      </c>
      <c r="C24" s="3">
        <v>167.14195675128778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</row>
    <row r="25" spans="1:110" x14ac:dyDescent="0.25">
      <c r="A25" s="9">
        <f t="shared" si="3"/>
        <v>1858</v>
      </c>
      <c r="C25" s="3">
        <v>158.5763833205105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f>2240*0.017437227421261</f>
        <v>39.059389423624644</v>
      </c>
      <c r="V25" s="3" t="s">
        <v>51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</row>
    <row r="26" spans="1:110" x14ac:dyDescent="0.25">
      <c r="A26" s="9">
        <f t="shared" si="3"/>
        <v>1859</v>
      </c>
      <c r="C26" s="3">
        <v>165.15193851978466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</row>
    <row r="27" spans="1:110" x14ac:dyDescent="0.25">
      <c r="A27" s="9">
        <f t="shared" si="3"/>
        <v>1860</v>
      </c>
      <c r="C27" s="3">
        <v>166.51673144724896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</row>
    <row r="28" spans="1:110" x14ac:dyDescent="0.25">
      <c r="A28" s="9">
        <f t="shared" si="3"/>
        <v>1861</v>
      </c>
      <c r="C28" s="3">
        <v>147.90481512822058</v>
      </c>
      <c r="D28" s="3"/>
      <c r="E28" s="3"/>
      <c r="F28" s="3"/>
      <c r="G28" s="3"/>
      <c r="H28" s="3"/>
      <c r="I28" s="3"/>
      <c r="J28" s="3"/>
      <c r="K28" s="3">
        <f>2240*0.0541666666666667</f>
        <v>121.33333333333341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>
        <v>49.736090592199908</v>
      </c>
      <c r="DD28" s="3"/>
      <c r="DE28" s="3"/>
      <c r="DF28" s="16">
        <v>49.736090592199908</v>
      </c>
    </row>
    <row r="29" spans="1:110" x14ac:dyDescent="0.25">
      <c r="A29" s="9">
        <f t="shared" si="3"/>
        <v>1862</v>
      </c>
      <c r="C29" s="3">
        <v>153.3854819449034</v>
      </c>
      <c r="D29" s="3"/>
      <c r="E29" s="3"/>
      <c r="F29" s="3"/>
      <c r="G29" s="3"/>
      <c r="H29" s="3"/>
      <c r="I29" s="3"/>
      <c r="J29" s="3"/>
      <c r="K29" s="3">
        <f>2240*0.05625</f>
        <v>126</v>
      </c>
      <c r="L29" s="3"/>
      <c r="M29" s="3"/>
      <c r="N29" s="3"/>
      <c r="O29" s="3"/>
      <c r="P29" s="3"/>
      <c r="Q29" s="3"/>
      <c r="R29" s="3"/>
      <c r="S29" s="3"/>
      <c r="T29" s="3"/>
      <c r="U29" s="3">
        <f>2240*0.0279375610215149</f>
        <v>62.580136688193377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>
        <f>2240*AVERAGE(0.0290137828363487,0.0322375364848319)</f>
        <v>68.601477639722276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>
        <v>54.815184959879488</v>
      </c>
      <c r="DD29" s="3"/>
      <c r="DE29" s="3"/>
      <c r="DF29" s="16">
        <v>54.815184959879488</v>
      </c>
    </row>
    <row r="30" spans="1:110" x14ac:dyDescent="0.25">
      <c r="A30" s="9">
        <f t="shared" si="3"/>
        <v>1863</v>
      </c>
      <c r="C30" s="3">
        <v>150.08339088285661</v>
      </c>
      <c r="D30" s="3"/>
      <c r="E30" s="3"/>
      <c r="F30" s="3"/>
      <c r="G30" s="3"/>
      <c r="H30" s="3"/>
      <c r="I30" s="3"/>
      <c r="J30" s="3"/>
      <c r="K30" s="3">
        <f>2240*0.05625</f>
        <v>126</v>
      </c>
      <c r="L30" s="3"/>
      <c r="M30" s="3"/>
      <c r="N30" s="3"/>
      <c r="O30" s="3"/>
      <c r="P30" s="3"/>
      <c r="Q30" s="3"/>
      <c r="R30" s="3"/>
      <c r="S30" s="3"/>
      <c r="T30" s="3">
        <f>2240*0.0272756837778501</f>
        <v>61.09753166238422</v>
      </c>
      <c r="U30" s="3">
        <f>2240*0.0272756837778501</f>
        <v>61.09753166238422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>
        <v>73.012562401629907</v>
      </c>
      <c r="DD30" s="3"/>
      <c r="DE30" s="3"/>
      <c r="DF30" s="16">
        <v>73.012562401629907</v>
      </c>
    </row>
    <row r="31" spans="1:110" x14ac:dyDescent="0.25">
      <c r="A31" s="9">
        <f t="shared" si="3"/>
        <v>1864</v>
      </c>
      <c r="C31" s="3">
        <v>168.19532990371698</v>
      </c>
      <c r="D31" s="3"/>
      <c r="E31" s="3"/>
      <c r="F31" s="3">
        <f>2240*0.0245533295947542</f>
        <v>54.999458292249408</v>
      </c>
      <c r="G31" s="3">
        <f>2240*0.0119622437037228</f>
        <v>26.795425896339072</v>
      </c>
      <c r="H31" s="3"/>
      <c r="I31" s="3"/>
      <c r="J31" s="3"/>
      <c r="K31" s="3">
        <f>2240*0.133333333333333</f>
        <v>298.66666666666589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>
        <v>51.108793681140938</v>
      </c>
      <c r="DD31" s="3"/>
      <c r="DE31" s="3"/>
      <c r="DF31" s="16">
        <v>51.108793681140938</v>
      </c>
    </row>
    <row r="32" spans="1:110" x14ac:dyDescent="0.25">
      <c r="A32" s="9">
        <f t="shared" si="3"/>
        <v>1865</v>
      </c>
      <c r="C32" s="3">
        <v>157.64000000000001</v>
      </c>
      <c r="D32" s="3"/>
      <c r="E32" s="3"/>
      <c r="F32" s="3">
        <f>2240*0.0119622409306982</f>
        <v>26.795419684763967</v>
      </c>
      <c r="G32" s="13"/>
      <c r="H32" s="3"/>
      <c r="I32" s="3"/>
      <c r="J32" s="3"/>
      <c r="K32" s="3">
        <f>2240*0.075</f>
        <v>168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>
        <v>59.02065650859862</v>
      </c>
      <c r="DD32" s="3"/>
      <c r="DE32" s="3"/>
      <c r="DF32" s="16">
        <v>59.02065650859862</v>
      </c>
    </row>
    <row r="33" spans="1:110" x14ac:dyDescent="0.25">
      <c r="A33" s="9">
        <f t="shared" si="3"/>
        <v>1866</v>
      </c>
      <c r="C33" s="3">
        <v>164.17333333333335</v>
      </c>
      <c r="D33" s="3"/>
      <c r="E33" s="3"/>
      <c r="F33" s="3">
        <f>2240*0.025675055312281</f>
        <v>57.512123899509433</v>
      </c>
      <c r="G33" s="3">
        <f>2240*0.0119621798094418</f>
        <v>26.795282773149633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>
        <v>66.625264331855959</v>
      </c>
      <c r="DD33" s="3"/>
      <c r="DE33" s="3"/>
      <c r="DF33" s="16">
        <v>66.625264331855959</v>
      </c>
    </row>
    <row r="34" spans="1:110" x14ac:dyDescent="0.25">
      <c r="A34" s="9">
        <f t="shared" si="3"/>
        <v>1867</v>
      </c>
      <c r="C34" s="3">
        <v>155.02666666666667</v>
      </c>
      <c r="D34" s="3"/>
      <c r="E34" s="3"/>
      <c r="F34" s="3">
        <f>2240*0.0193110858095723</f>
        <v>43.256832213441953</v>
      </c>
      <c r="G34" s="3">
        <f>2240*0.0119517027196154</f>
        <v>26.771814091938495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>
        <v>57.636800787926184</v>
      </c>
      <c r="DD34" s="3"/>
      <c r="DE34" s="3"/>
      <c r="DF34" s="16">
        <v>57.636800787926184</v>
      </c>
    </row>
    <row r="35" spans="1:110" x14ac:dyDescent="0.25">
      <c r="A35" s="9">
        <f t="shared" si="3"/>
        <v>1868</v>
      </c>
      <c r="C35" s="3">
        <v>134.02666666666664</v>
      </c>
      <c r="D35" s="3"/>
      <c r="E35" s="3"/>
      <c r="F35" s="3"/>
      <c r="G35" s="3">
        <f>2240*0.0239307244179618</f>
        <v>53.604822696234436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>
        <v>56.509243872676763</v>
      </c>
      <c r="DC35" s="3">
        <v>49.4805094483551</v>
      </c>
      <c r="DD35" s="3"/>
      <c r="DE35" s="3">
        <v>82.624492817649568</v>
      </c>
      <c r="DF35" s="16">
        <v>66.052501133002337</v>
      </c>
    </row>
    <row r="36" spans="1:110" x14ac:dyDescent="0.25">
      <c r="A36" s="9">
        <f t="shared" si="3"/>
        <v>1869</v>
      </c>
      <c r="C36" s="3">
        <v>127.4</v>
      </c>
      <c r="D36" s="3"/>
      <c r="E36" s="3"/>
      <c r="F36" s="3">
        <f>2240*0.0962814574210537</f>
        <v>215.67046462316031</v>
      </c>
      <c r="G36" s="3">
        <f>2240*0.0232807471807673</f>
        <v>52.148873684918755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>
        <v>80</v>
      </c>
      <c r="AT36" s="3"/>
      <c r="AU36" s="3"/>
      <c r="AV36" s="3"/>
      <c r="AW36" s="3"/>
      <c r="AX36" s="3"/>
      <c r="AY36" s="3">
        <v>95.141911527284449</v>
      </c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>
        <v>62.828143928232329</v>
      </c>
      <c r="DC36" s="3">
        <v>46.733244498517806</v>
      </c>
      <c r="DD36" s="3"/>
      <c r="DE36" s="3">
        <v>70.49794156066352</v>
      </c>
      <c r="DF36" s="16">
        <v>58.615593029590663</v>
      </c>
    </row>
    <row r="37" spans="1:110" x14ac:dyDescent="0.25">
      <c r="A37" s="9">
        <f t="shared" si="3"/>
        <v>1870</v>
      </c>
      <c r="C37" s="3">
        <v>134.58666666666667</v>
      </c>
      <c r="D37" s="3"/>
      <c r="E37" s="3"/>
      <c r="F37" s="3"/>
      <c r="G37" s="3">
        <f>2240*0.0120351797382763</f>
        <v>26.958802613738911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>
        <v>80</v>
      </c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>
        <v>72.413784436104578</v>
      </c>
      <c r="DC37" s="3">
        <v>45.028750615567333</v>
      </c>
      <c r="DD37" s="3">
        <v>50.370698005667805</v>
      </c>
      <c r="DE37" s="3">
        <v>79.431901773101046</v>
      </c>
      <c r="DF37" s="16">
        <v>58.277116798112068</v>
      </c>
    </row>
    <row r="38" spans="1:110" x14ac:dyDescent="0.25">
      <c r="A38" s="9">
        <f t="shared" si="3"/>
        <v>1871</v>
      </c>
      <c r="C38" s="3">
        <v>124.32000000000001</v>
      </c>
      <c r="D38" s="3"/>
      <c r="E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>
        <v>91.333333333333329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>
        <v>80</v>
      </c>
      <c r="AT38" s="3"/>
      <c r="AU38" s="3"/>
      <c r="AV38" s="3"/>
      <c r="AW38" s="3"/>
      <c r="AX38" s="3"/>
      <c r="AY38" s="3">
        <v>66.722742636407531</v>
      </c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>
        <v>60.313075624195321</v>
      </c>
      <c r="DC38" s="3">
        <v>54.428560393190608</v>
      </c>
      <c r="DD38" s="3">
        <v>58.705168504713626</v>
      </c>
      <c r="DE38" s="3">
        <v>77.30467778303921</v>
      </c>
      <c r="DF38" s="16">
        <v>63.479468893647812</v>
      </c>
    </row>
    <row r="39" spans="1:110" x14ac:dyDescent="0.25">
      <c r="A39" s="9">
        <f t="shared" si="3"/>
        <v>1872</v>
      </c>
      <c r="C39" s="3">
        <v>135.42666666666665</v>
      </c>
      <c r="D39" s="3"/>
      <c r="E39" s="3"/>
      <c r="F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>
        <v>80</v>
      </c>
      <c r="AT39" s="3"/>
      <c r="AU39" s="3"/>
      <c r="AV39" s="3"/>
      <c r="AW39" s="3"/>
      <c r="AX39" s="3"/>
      <c r="AY39" s="3">
        <v>64.530079388415174</v>
      </c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>
        <v>62.753334466931889</v>
      </c>
      <c r="DC39" s="3">
        <v>56.412334762415142</v>
      </c>
      <c r="DD39" s="3">
        <v>110.61533771242813</v>
      </c>
      <c r="DE39" s="3">
        <v>83.749600427266543</v>
      </c>
      <c r="DF39" s="16">
        <v>83.592424300703271</v>
      </c>
    </row>
    <row r="40" spans="1:110" x14ac:dyDescent="0.25">
      <c r="A40" s="9">
        <f t="shared" ref="A40:A71" si="4">A39+1</f>
        <v>1873</v>
      </c>
      <c r="C40" s="3">
        <v>137.66666666666666</v>
      </c>
      <c r="D40" s="3"/>
      <c r="E40" s="3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f>2240*0.0196053059800104</f>
        <v>43.915885395223292</v>
      </c>
      <c r="U40" s="3"/>
      <c r="V40" s="3"/>
      <c r="W40" s="3"/>
      <c r="X40" s="3"/>
      <c r="Y40" s="3"/>
      <c r="Z40" s="3">
        <v>66.145833333333329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v>80</v>
      </c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>
        <v>68.089445430028775</v>
      </c>
      <c r="DC40" s="3">
        <v>72.095472095472019</v>
      </c>
      <c r="DD40" s="3">
        <v>94.116378018816945</v>
      </c>
      <c r="DE40" s="3">
        <v>92.694001417370728</v>
      </c>
      <c r="DF40" s="16">
        <v>86.301950510553226</v>
      </c>
    </row>
    <row r="41" spans="1:110" x14ac:dyDescent="0.25">
      <c r="A41" s="9">
        <f t="shared" si="4"/>
        <v>1874</v>
      </c>
      <c r="C41" s="3">
        <v>137.29333333333332</v>
      </c>
      <c r="D41" s="3"/>
      <c r="E41" s="3"/>
      <c r="F41" s="3">
        <f>2240*0.0122090423403704</f>
        <v>27.348254842429697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>
        <f>2240*0.0192989730740728</f>
        <v>43.229699685923073</v>
      </c>
      <c r="U41" s="3"/>
      <c r="V41" s="3"/>
      <c r="W41" s="3"/>
      <c r="X41" s="3"/>
      <c r="Y41" s="3"/>
      <c r="Z41" s="3">
        <v>50.336507936507935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>
        <v>69.475847893114079</v>
      </c>
      <c r="AT41" s="3"/>
      <c r="AU41" s="3"/>
      <c r="AV41" s="3">
        <v>57.142857142857146</v>
      </c>
      <c r="AW41" s="3"/>
      <c r="AX41" s="3"/>
      <c r="AY41" s="3">
        <v>69.51695762718127</v>
      </c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>
        <f>2240*0.0156862745098039</f>
        <v>35.137254901960738</v>
      </c>
      <c r="BX41" s="3">
        <f>2240*0.0156862745098039</f>
        <v>35.137254901960738</v>
      </c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>
        <v>68.833277551996176</v>
      </c>
      <c r="DC41" s="3">
        <v>48.394758394758398</v>
      </c>
      <c r="DD41" s="3">
        <v>61.316593755618143</v>
      </c>
      <c r="DE41" s="3">
        <v>103.22116401551523</v>
      </c>
      <c r="DF41" s="16">
        <v>70.97750538863059</v>
      </c>
    </row>
    <row r="42" spans="1:110" x14ac:dyDescent="0.25">
      <c r="A42" s="9">
        <f t="shared" si="4"/>
        <v>1875</v>
      </c>
      <c r="C42" s="3">
        <v>143.82666666666668</v>
      </c>
      <c r="D42" s="3"/>
      <c r="E42" s="3"/>
      <c r="F42" s="3"/>
      <c r="G42" s="3">
        <f>2240*0.00451325951331302</f>
        <v>10.109701309821165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>
        <f>2240*0.0220559692275117</f>
        <v>49.405371069626206</v>
      </c>
      <c r="U42" s="3"/>
      <c r="V42" s="3"/>
      <c r="W42" s="3"/>
      <c r="X42" s="3"/>
      <c r="Y42" s="3"/>
      <c r="Z42" s="3">
        <v>45.940594059405939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v>57.142857142857146</v>
      </c>
      <c r="AT42" s="3"/>
      <c r="AU42" s="3"/>
      <c r="AV42" s="3">
        <v>57.142857142857146</v>
      </c>
      <c r="AW42" s="3"/>
      <c r="AX42" s="3"/>
      <c r="AY42" s="3">
        <v>54.268068768466506</v>
      </c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>
        <f>2240*0.0357142857142857</f>
        <v>79.999999999999972</v>
      </c>
      <c r="BX42" s="3"/>
      <c r="BY42" s="3"/>
      <c r="BZ42" s="3"/>
      <c r="CA42" s="3"/>
      <c r="CB42" s="3"/>
      <c r="CC42" s="3"/>
      <c r="CD42" s="3">
        <f>2240*0.0491071428571429</f>
        <v>110.00000000000009</v>
      </c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>
        <v>62.102235788035394</v>
      </c>
      <c r="DC42" s="3">
        <v>48.355173355173356</v>
      </c>
      <c r="DD42" s="3">
        <v>59.805037853818348</v>
      </c>
      <c r="DE42" s="3">
        <v>100.90215633115213</v>
      </c>
      <c r="DF42" s="16">
        <v>69.687455846714613</v>
      </c>
    </row>
    <row r="43" spans="1:110" x14ac:dyDescent="0.25">
      <c r="A43" s="9">
        <f t="shared" si="4"/>
        <v>1876</v>
      </c>
      <c r="C43" s="3">
        <v>135.70666666666665</v>
      </c>
      <c r="D43" s="3"/>
      <c r="E43" s="3"/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f>2240*0.0189669936922892</f>
        <v>42.486065870727806</v>
      </c>
      <c r="U43" s="3"/>
      <c r="V43" s="3"/>
      <c r="W43" s="3"/>
      <c r="X43" s="3"/>
      <c r="Y43" s="3"/>
      <c r="Z43" s="3">
        <v>36.507936507936506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>
        <v>34.223809245470022</v>
      </c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Y43" s="3"/>
      <c r="BZ43" s="3"/>
      <c r="CA43" s="3"/>
      <c r="CB43" s="3"/>
      <c r="CC43" s="3"/>
      <c r="CD43" s="3">
        <f>2240*0.0178571428571429</f>
        <v>40.000000000000099</v>
      </c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>
        <v>58.268316498855469</v>
      </c>
      <c r="DC43" s="3">
        <v>34.561834561834559</v>
      </c>
      <c r="DD43" s="3">
        <v>60.778250534348089</v>
      </c>
      <c r="DE43" s="3">
        <v>102.98086437029831</v>
      </c>
      <c r="DF43" s="16">
        <v>66.106983155493651</v>
      </c>
    </row>
    <row r="44" spans="1:110" x14ac:dyDescent="0.25">
      <c r="A44" s="9">
        <f t="shared" si="4"/>
        <v>1877</v>
      </c>
      <c r="C44" s="3">
        <v>134.21333333333334</v>
      </c>
      <c r="D44" s="3"/>
      <c r="E44" s="3"/>
      <c r="F44" s="3"/>
      <c r="G44" s="3">
        <f>2240*0.00338277387457715</f>
        <v>7.5774134790528151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f>2240*0.0173774303004638</f>
        <v>38.925443873038908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>
        <v>50</v>
      </c>
      <c r="AT44" s="3"/>
      <c r="AU44" s="3"/>
      <c r="AV44" s="3">
        <v>57.142857142857146</v>
      </c>
      <c r="AW44" s="3"/>
      <c r="AX44" s="3"/>
      <c r="AY44" s="3">
        <v>66.279564927195779</v>
      </c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>
        <v>55.553583546484312</v>
      </c>
      <c r="DC44" s="3">
        <v>53.869778869778877</v>
      </c>
      <c r="DD44" s="3">
        <v>58.86258764307545</v>
      </c>
      <c r="DE44" s="3">
        <v>100.47632819265523</v>
      </c>
      <c r="DF44" s="16">
        <v>71.069564901836529</v>
      </c>
    </row>
    <row r="45" spans="1:110" x14ac:dyDescent="0.25">
      <c r="A45" s="9">
        <f t="shared" si="4"/>
        <v>1878</v>
      </c>
      <c r="C45" s="3">
        <v>129.73333333333332</v>
      </c>
      <c r="D45" s="3"/>
      <c r="E45" s="3"/>
      <c r="F45" s="3">
        <f>2240*0.0151380231522707</f>
        <v>33.909171861086371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>
        <v>50</v>
      </c>
      <c r="AT45" s="3"/>
      <c r="AU45" s="3"/>
      <c r="AV45" s="3">
        <v>57.142857142857146</v>
      </c>
      <c r="AW45" s="3"/>
      <c r="AX45" s="3"/>
      <c r="AY45" s="3">
        <v>74.728688003941187</v>
      </c>
      <c r="AZ45" s="3"/>
      <c r="BA45" s="3"/>
      <c r="BB45" s="3">
        <v>80.01363791339918</v>
      </c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Y45" s="3"/>
      <c r="BZ45" s="3"/>
      <c r="CA45" s="3"/>
      <c r="CB45" s="3"/>
      <c r="CC45" s="3"/>
      <c r="CD45" s="3"/>
      <c r="CE45" s="3"/>
      <c r="CF45" s="3">
        <f>2240*0.00801190476190476</f>
        <v>17.946666666666662</v>
      </c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>
        <v>56.135564828524856</v>
      </c>
      <c r="DC45" s="3">
        <v>42.228754728754723</v>
      </c>
      <c r="DD45" s="3">
        <v>48.802560875731601</v>
      </c>
      <c r="DE45" s="3">
        <v>91.717882488629243</v>
      </c>
      <c r="DF45" s="16">
        <v>60.916399364371863</v>
      </c>
    </row>
    <row r="46" spans="1:110" x14ac:dyDescent="0.25">
      <c r="A46" s="9">
        <f t="shared" si="4"/>
        <v>1879</v>
      </c>
      <c r="C46" s="3">
        <v>126.56</v>
      </c>
      <c r="D46" s="3"/>
      <c r="E46" s="3"/>
      <c r="F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f>2240*0.014377224385341</f>
        <v>32.204982623163836</v>
      </c>
      <c r="U46" s="3"/>
      <c r="V46" s="3"/>
      <c r="W46" s="3"/>
      <c r="X46" s="3"/>
      <c r="Y46" s="3"/>
      <c r="Z46" s="3">
        <v>38.733705772811916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>
        <v>57.142857142857146</v>
      </c>
      <c r="AT46" s="3"/>
      <c r="AU46" s="3"/>
      <c r="AV46" s="3">
        <v>57.142857142857146</v>
      </c>
      <c r="AW46" s="3"/>
      <c r="AX46" s="3"/>
      <c r="AY46" s="3">
        <v>76.750734612450856</v>
      </c>
      <c r="AZ46" s="3"/>
      <c r="BA46" s="3"/>
      <c r="BB46" s="3">
        <v>55.510698425514683</v>
      </c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Y46" s="3"/>
      <c r="BZ46" s="3"/>
      <c r="CA46" s="3"/>
      <c r="CB46" s="3"/>
      <c r="CC46" s="3"/>
      <c r="CD46" s="3"/>
      <c r="CE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>
        <v>51.655827373650872</v>
      </c>
      <c r="DC46" s="3">
        <v>35.977535977535979</v>
      </c>
      <c r="DD46" s="3">
        <v>50.737100737100739</v>
      </c>
      <c r="DE46" s="3">
        <v>89.441592672110119</v>
      </c>
      <c r="DF46" s="16">
        <v>58.718743128915612</v>
      </c>
    </row>
    <row r="47" spans="1:110" x14ac:dyDescent="0.25">
      <c r="A47" s="9">
        <f t="shared" si="4"/>
        <v>1880</v>
      </c>
      <c r="C47" s="3">
        <v>127.49333333333333</v>
      </c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>
        <f>2240*0.0169912651826757</f>
        <v>38.060434009193564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>
        <v>57.142857142857146</v>
      </c>
      <c r="AW47" s="3"/>
      <c r="AX47" s="3"/>
      <c r="AY47" s="3">
        <v>76.181125404858292</v>
      </c>
      <c r="AZ47" s="3"/>
      <c r="BA47" s="3"/>
      <c r="BB47" s="3">
        <v>59.999999999999943</v>
      </c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T47" s="3"/>
      <c r="CU47" s="3"/>
      <c r="CV47" s="3"/>
      <c r="CW47" s="3"/>
      <c r="CX47" s="3"/>
      <c r="CY47" s="3"/>
      <c r="CZ47" s="3"/>
      <c r="DA47" s="3"/>
      <c r="DB47" s="3">
        <v>54.837269305309292</v>
      </c>
      <c r="DC47" s="3">
        <v>73.359073359073378</v>
      </c>
      <c r="DD47" s="3">
        <v>78.613491540320823</v>
      </c>
      <c r="DE47" s="3">
        <v>92.813461345528978</v>
      </c>
      <c r="DF47" s="16">
        <v>81.59534208164105</v>
      </c>
    </row>
    <row r="48" spans="1:110" x14ac:dyDescent="0.25">
      <c r="A48" s="9">
        <f t="shared" si="4"/>
        <v>1881</v>
      </c>
      <c r="C48" s="3">
        <v>129.45333333333332</v>
      </c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>
        <f>2240*0.0165071835535396</f>
        <v>36.976091159928707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>
        <v>57.142857142857146</v>
      </c>
      <c r="AW48" s="3"/>
      <c r="AX48" s="3"/>
      <c r="AY48" s="3">
        <v>74.866842105263146</v>
      </c>
      <c r="AZ48" s="3"/>
      <c r="BA48" s="3"/>
      <c r="BB48" s="3">
        <v>59.999999999999957</v>
      </c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>
        <f>(1/112*2240)*0.488955868672774</f>
        <v>9.779117373455481</v>
      </c>
      <c r="CR48" s="3"/>
      <c r="CT48" s="3"/>
      <c r="CU48" s="3"/>
      <c r="CV48" s="3"/>
      <c r="CW48" s="3"/>
      <c r="CX48" s="3"/>
      <c r="CY48" s="3"/>
      <c r="CZ48" s="3"/>
      <c r="DA48" s="3"/>
      <c r="DB48" s="3">
        <v>58.384135203278333</v>
      </c>
      <c r="DC48" s="3">
        <v>66.52187902187903</v>
      </c>
      <c r="DD48" s="3">
        <v>63.023211681748286</v>
      </c>
      <c r="DE48" s="3">
        <v>101.84035409807184</v>
      </c>
      <c r="DF48" s="16">
        <v>77.128481600566388</v>
      </c>
    </row>
    <row r="49" spans="1:110" x14ac:dyDescent="0.25">
      <c r="A49" s="9">
        <f t="shared" si="4"/>
        <v>1882</v>
      </c>
      <c r="C49" s="3">
        <v>114.52</v>
      </c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>
        <f>2240*0.0172417686913217</f>
        <v>38.621561868560605</v>
      </c>
      <c r="U49" s="3"/>
      <c r="V49" s="3"/>
      <c r="W49" s="3">
        <v>58.181818181818187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>
        <v>57.142857142857146</v>
      </c>
      <c r="AW49" s="3"/>
      <c r="AX49" s="3"/>
      <c r="AY49" s="3">
        <v>85.542408645924198</v>
      </c>
      <c r="AZ49" s="3"/>
      <c r="BA49" s="3"/>
      <c r="BB49" s="3">
        <v>59.999999999999943</v>
      </c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>
        <f>(1/112*2240)*0.488364628202795</f>
        <v>9.7672925640559001</v>
      </c>
      <c r="CR49" s="3"/>
      <c r="CT49" s="3"/>
      <c r="CU49" s="3"/>
      <c r="CV49" s="3"/>
      <c r="CW49" s="3"/>
      <c r="CX49" s="3"/>
      <c r="CY49" s="3"/>
      <c r="CZ49" s="3"/>
      <c r="DA49" s="3"/>
      <c r="DB49" s="3">
        <v>56.511721938933341</v>
      </c>
      <c r="DC49" s="3">
        <v>60.401310401310397</v>
      </c>
      <c r="DD49" s="3">
        <v>62.369509198777486</v>
      </c>
      <c r="DE49" s="3">
        <v>87.251946306196515</v>
      </c>
      <c r="DF49" s="16">
        <v>70.007588635428135</v>
      </c>
    </row>
    <row r="50" spans="1:110" x14ac:dyDescent="0.25">
      <c r="A50" s="9">
        <f t="shared" si="4"/>
        <v>1883</v>
      </c>
      <c r="C50" s="3">
        <v>112.74666666666667</v>
      </c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f>2240*0.015751882348764</f>
        <v>35.28421646123136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>
        <v>76.457142857142856</v>
      </c>
      <c r="AT50" s="3"/>
      <c r="AU50" s="3"/>
      <c r="AV50" s="3">
        <v>45</v>
      </c>
      <c r="AW50" s="3"/>
      <c r="AX50" s="3"/>
      <c r="AY50" s="3">
        <v>94.118671054816915</v>
      </c>
      <c r="AZ50" s="3"/>
      <c r="BA50" s="3"/>
      <c r="BB50" s="3">
        <v>59.985311398354817</v>
      </c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>
        <f>(1/112*2240)*0.509692474692351</f>
        <v>10.19384949384702</v>
      </c>
      <c r="CR50" s="3">
        <f>(1/112*2240)*0.510720972611672</f>
        <v>10.214419452233441</v>
      </c>
      <c r="CT50" s="3"/>
      <c r="CU50" s="3"/>
      <c r="CV50" s="3"/>
      <c r="CW50" s="3"/>
      <c r="CX50" s="3"/>
      <c r="CY50" s="3"/>
      <c r="CZ50" s="3"/>
      <c r="DA50" s="3"/>
      <c r="DB50" s="3">
        <v>55.51642296990174</v>
      </c>
      <c r="DC50" s="3">
        <v>59.158184158184156</v>
      </c>
      <c r="DD50" s="3">
        <v>61.651485188070552</v>
      </c>
      <c r="DE50" s="3">
        <v>85.152315208223158</v>
      </c>
      <c r="DF50" s="16">
        <v>68.653994851492612</v>
      </c>
    </row>
    <row r="51" spans="1:110" x14ac:dyDescent="0.25">
      <c r="A51" s="9">
        <f t="shared" si="4"/>
        <v>1884</v>
      </c>
      <c r="C51" s="3">
        <v>112.83999999999999</v>
      </c>
      <c r="D51" s="3"/>
      <c r="E51" s="3"/>
      <c r="F51" s="3"/>
      <c r="G51" s="3">
        <f>2240*0.0267857142857143</f>
        <v>60.000000000000036</v>
      </c>
      <c r="H51" s="3"/>
      <c r="I51" s="3"/>
      <c r="J51" s="3"/>
      <c r="K51" s="3"/>
      <c r="L51" s="3">
        <f>20*1.54545454545455</f>
        <v>30.909090909091002</v>
      </c>
      <c r="M51" s="3">
        <f>20*1.63636363636364</f>
        <v>32.727272727272798</v>
      </c>
      <c r="N51" s="3"/>
      <c r="O51" s="3"/>
      <c r="P51" s="3"/>
      <c r="Q51" s="3"/>
      <c r="R51" s="3"/>
      <c r="S51" s="3"/>
      <c r="T51" s="3">
        <f>2240*0.0162176244319939</f>
        <v>36.327478727666332</v>
      </c>
      <c r="U51" s="3"/>
      <c r="V51" s="3"/>
      <c r="W51" s="3">
        <v>40.249128051818637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>
        <v>40</v>
      </c>
      <c r="AT51" s="3"/>
      <c r="AU51" s="3"/>
      <c r="AV51" s="3">
        <v>45</v>
      </c>
      <c r="AW51" s="3"/>
      <c r="AX51" s="3"/>
      <c r="AY51" s="3">
        <v>85.562105263157889</v>
      </c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>
        <f>(1/112*2240)*0.503065742591466</f>
        <v>10.061314851829319</v>
      </c>
      <c r="CR51" s="3">
        <f>(1/112*2240)*0.571665616581211</f>
        <v>11.433312331624219</v>
      </c>
      <c r="CT51" s="3"/>
      <c r="CU51" s="3"/>
      <c r="CV51" s="3"/>
      <c r="CW51" s="3"/>
      <c r="CX51" s="3"/>
      <c r="CY51" s="3"/>
      <c r="CZ51" s="3"/>
      <c r="DA51" s="3"/>
      <c r="DB51" s="3">
        <v>57.740494241656521</v>
      </c>
      <c r="DC51" s="3">
        <v>59.231309231309233</v>
      </c>
      <c r="DD51" s="3">
        <v>51.534128363396661</v>
      </c>
      <c r="DE51" s="3">
        <v>87.256143209598676</v>
      </c>
      <c r="DF51" s="16">
        <v>66.007193601434849</v>
      </c>
    </row>
    <row r="52" spans="1:110" x14ac:dyDescent="0.25">
      <c r="A52" s="9">
        <f t="shared" si="4"/>
        <v>1885</v>
      </c>
      <c r="C52" s="3">
        <v>93.800000000000011</v>
      </c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>
        <v>44.348246297739671</v>
      </c>
      <c r="Q52" s="3"/>
      <c r="R52" s="3"/>
      <c r="S52" s="3"/>
      <c r="T52" s="3">
        <f>2240*0.0145454545454545</f>
        <v>32.581818181818079</v>
      </c>
      <c r="U52" s="3"/>
      <c r="V52" s="3"/>
      <c r="W52" s="3">
        <v>43.633366303989455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>
        <f>2240*0.0176903481460515</f>
        <v>39.626379847155356</v>
      </c>
      <c r="AQ52" s="3"/>
      <c r="AR52" s="3"/>
      <c r="AS52" s="3">
        <v>40</v>
      </c>
      <c r="AT52" s="3"/>
      <c r="AU52" s="3"/>
      <c r="AV52" s="3">
        <v>40</v>
      </c>
      <c r="AW52" s="3"/>
      <c r="AX52" s="3"/>
      <c r="AY52" s="3">
        <v>85.562105263157889</v>
      </c>
      <c r="AZ52" s="3"/>
      <c r="BA52" s="3"/>
      <c r="BB52" s="3">
        <v>43.899430740037907</v>
      </c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>
        <f>(1/112*2240)*0.438700428724545</f>
        <v>8.7740085744908995</v>
      </c>
      <c r="CR52" s="3">
        <f>(1/112*2240)*0.526440514469453</f>
        <v>10.528810289389058</v>
      </c>
      <c r="CT52" s="3"/>
      <c r="CU52" s="3"/>
      <c r="CV52" s="3"/>
      <c r="CW52" s="3"/>
      <c r="CX52" s="3"/>
      <c r="CY52" s="3"/>
      <c r="CZ52" s="3"/>
      <c r="DA52" s="3"/>
      <c r="DB52" s="3">
        <v>53.437492402816837</v>
      </c>
      <c r="DC52" s="3">
        <v>56.81818181818182</v>
      </c>
      <c r="DD52" s="3">
        <v>46.446784922394684</v>
      </c>
      <c r="DE52" s="3">
        <v>87.201389508798073</v>
      </c>
      <c r="DF52" s="16">
        <v>63.4887854164582</v>
      </c>
    </row>
    <row r="53" spans="1:110" x14ac:dyDescent="0.25">
      <c r="A53" s="9">
        <f t="shared" si="4"/>
        <v>1886</v>
      </c>
      <c r="C53" s="3">
        <v>84.74666666666667</v>
      </c>
      <c r="D53" s="3"/>
      <c r="E53" s="3"/>
      <c r="F53" s="3"/>
      <c r="H53" s="3"/>
      <c r="I53" s="3"/>
      <c r="J53" s="3"/>
      <c r="K53" s="3"/>
      <c r="L53" s="3"/>
      <c r="M53" s="3"/>
      <c r="N53" s="3"/>
      <c r="O53" s="3"/>
      <c r="P53" s="3">
        <v>36.785134393856282</v>
      </c>
      <c r="Q53" s="3"/>
      <c r="R53" s="3"/>
      <c r="S53" s="3"/>
      <c r="T53" s="3">
        <f>2240*0.0177033492822967</f>
        <v>39.655502392344609</v>
      </c>
      <c r="U53" s="3"/>
      <c r="V53" s="3"/>
      <c r="W53" s="3">
        <v>59.054758800521512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>
        <v>40</v>
      </c>
      <c r="AT53" s="3"/>
      <c r="AU53" s="3"/>
      <c r="AV53" s="3">
        <v>40</v>
      </c>
      <c r="AW53" s="3"/>
      <c r="AX53" s="3"/>
      <c r="AY53" s="3">
        <v>74.866842105263146</v>
      </c>
      <c r="AZ53" s="3"/>
      <c r="BA53" s="3"/>
      <c r="BB53" s="3">
        <v>44.341544607190372</v>
      </c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>
        <f>(1/112*2240)*0.512381774861678</f>
        <v>10.24763549723356</v>
      </c>
      <c r="CR53" s="3">
        <f>(1/112*2240)*0.569313083179643</f>
        <v>11.38626166359286</v>
      </c>
      <c r="CT53" s="3"/>
      <c r="CU53" s="3"/>
      <c r="CV53" s="3"/>
      <c r="CW53" s="3"/>
      <c r="CX53" s="3"/>
      <c r="CY53" s="3"/>
      <c r="CZ53" s="3"/>
      <c r="DA53" s="3"/>
      <c r="DB53" s="3">
        <v>56.250668007312377</v>
      </c>
      <c r="DC53" s="3">
        <v>53.08880308880309</v>
      </c>
      <c r="DD53" s="3">
        <v>45.428477257745556</v>
      </c>
      <c r="DE53" s="3">
        <v>86.237972274758064</v>
      </c>
      <c r="DF53" s="16">
        <v>61.585084207102234</v>
      </c>
    </row>
    <row r="54" spans="1:110" x14ac:dyDescent="0.25">
      <c r="A54" s="9">
        <f t="shared" si="4"/>
        <v>1887</v>
      </c>
      <c r="C54" s="3">
        <v>94.733333333333334</v>
      </c>
      <c r="D54" s="3"/>
      <c r="E54" s="3"/>
      <c r="F54" s="3"/>
      <c r="G54" s="3">
        <f>2240*0.0208332275809091</f>
        <v>46.666429781236388</v>
      </c>
      <c r="H54" s="3"/>
      <c r="I54" s="3"/>
      <c r="J54" s="3">
        <f>2240*0.0288650995359711</f>
        <v>64.65782296057526</v>
      </c>
      <c r="L54" s="3"/>
      <c r="M54" s="3"/>
      <c r="N54" s="3"/>
      <c r="O54" s="3"/>
      <c r="P54" s="3">
        <v>43.317492163009405</v>
      </c>
      <c r="Q54" s="3"/>
      <c r="R54" s="3"/>
      <c r="S54" s="3"/>
      <c r="T54" s="3">
        <f>2240*0.0145454545454545</f>
        <v>32.581818181818079</v>
      </c>
      <c r="U54" s="3"/>
      <c r="V54" s="3"/>
      <c r="W54" s="3">
        <v>30.408967315909219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>
        <f>2240*0.0245252553842987</f>
        <v>54.936572060829086</v>
      </c>
      <c r="AQ54" s="3"/>
      <c r="AR54" s="3"/>
      <c r="AS54" s="3">
        <v>40</v>
      </c>
      <c r="AT54" s="3"/>
      <c r="AU54" s="3"/>
      <c r="AV54" s="3">
        <v>40</v>
      </c>
      <c r="AW54" s="3"/>
      <c r="AX54" s="3"/>
      <c r="AY54" s="3"/>
      <c r="AZ54" s="3"/>
      <c r="BA54" s="3"/>
      <c r="BB54" s="3">
        <v>43.939377682403389</v>
      </c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>
        <f>(1/112*2240)*0.504618414636501</f>
        <v>10.09236829273002</v>
      </c>
      <c r="CR54" s="3">
        <f>(1/112*2240)*0.630773018295627</f>
        <v>12.61546036591254</v>
      </c>
      <c r="CT54" s="3"/>
      <c r="CU54" s="3"/>
      <c r="CV54" s="3"/>
      <c r="CW54" s="3"/>
      <c r="CX54" s="3"/>
      <c r="CY54" s="3"/>
      <c r="CZ54" s="3"/>
      <c r="DA54" s="3">
        <f>20*1.17985651270762</f>
        <v>23.597130254152397</v>
      </c>
      <c r="DB54" s="3">
        <v>57.0544083073707</v>
      </c>
      <c r="DC54" s="3">
        <v>44.616044616044618</v>
      </c>
      <c r="DD54" s="3">
        <v>60.361733684904422</v>
      </c>
      <c r="DE54" s="3">
        <v>89.124919134930948</v>
      </c>
      <c r="DF54" s="16">
        <v>64.70089914529332</v>
      </c>
    </row>
    <row r="55" spans="1:110" x14ac:dyDescent="0.25">
      <c r="A55" s="9">
        <f t="shared" si="4"/>
        <v>1888</v>
      </c>
      <c r="C55" s="3">
        <v>91.186666666666667</v>
      </c>
      <c r="D55" s="3"/>
      <c r="E55" s="3"/>
      <c r="F55" s="3"/>
      <c r="G55" s="3">
        <f>2240*0.0262382965871338</f>
        <v>58.773784355179714</v>
      </c>
      <c r="H55" s="3"/>
      <c r="I55" s="3"/>
      <c r="J55" s="3">
        <f>2240*0.0249763712354059</f>
        <v>55.947071567309216</v>
      </c>
      <c r="L55" s="3"/>
      <c r="M55" s="3"/>
      <c r="N55" s="3"/>
      <c r="O55" s="3"/>
      <c r="P55" s="3">
        <v>42.549386281588447</v>
      </c>
      <c r="Q55" s="3"/>
      <c r="R55" s="3"/>
      <c r="S55" s="3"/>
      <c r="T55" s="3">
        <f>2240*0.0125</f>
        <v>28</v>
      </c>
      <c r="U55" s="3"/>
      <c r="V55" s="3"/>
      <c r="W55" s="3">
        <v>33.478369592398096</v>
      </c>
      <c r="X55" s="3"/>
      <c r="Y55" s="3"/>
      <c r="Z55" s="3">
        <v>55.555555555555557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>
        <v>40</v>
      </c>
      <c r="AT55" s="3"/>
      <c r="AU55" s="3"/>
      <c r="AV55" s="3">
        <v>39.970501474926252</v>
      </c>
      <c r="AW55" s="3"/>
      <c r="AX55" s="3"/>
      <c r="AY55" s="3">
        <v>64.171578947368417</v>
      </c>
      <c r="AZ55" s="3"/>
      <c r="BA55" s="3"/>
      <c r="BB55" s="3">
        <v>48.830966304650467</v>
      </c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>
        <v>188.42490842490844</v>
      </c>
      <c r="CO55" s="3">
        <v>91.625</v>
      </c>
      <c r="CP55" s="3"/>
      <c r="CQ55" s="3"/>
      <c r="CR55" s="3">
        <f>(1/112*2240)*0.580981648851424</f>
        <v>11.619632977028481</v>
      </c>
      <c r="CT55" s="3"/>
      <c r="CU55" s="3"/>
      <c r="CV55" s="3"/>
      <c r="CW55" s="3"/>
      <c r="CX55" s="3"/>
      <c r="CY55" s="3"/>
      <c r="CZ55" s="3"/>
      <c r="DA55" s="3">
        <f>20*1.17469679034884</f>
        <v>23.493935806976797</v>
      </c>
      <c r="DB55" s="3">
        <v>60.211016421181064</v>
      </c>
      <c r="DC55" s="3">
        <v>35.449085449085452</v>
      </c>
      <c r="DD55" s="3">
        <v>55.635324903617594</v>
      </c>
      <c r="DE55" s="3">
        <v>95.440121766691007</v>
      </c>
      <c r="DF55" s="16">
        <v>62.174844039798018</v>
      </c>
    </row>
    <row r="56" spans="1:110" x14ac:dyDescent="0.25">
      <c r="A56" s="9">
        <f t="shared" si="4"/>
        <v>1889</v>
      </c>
      <c r="C56" s="3">
        <v>91.279999999999987</v>
      </c>
      <c r="D56" s="3"/>
      <c r="E56" s="3"/>
      <c r="F56" s="3"/>
      <c r="G56" s="3">
        <f>2240*0.0253262362637363</f>
        <v>56.730769230769312</v>
      </c>
      <c r="H56" s="3"/>
      <c r="I56" s="3"/>
      <c r="J56" s="3">
        <f>2240*0.0261848739118095</f>
        <v>58.65411756245328</v>
      </c>
      <c r="L56" s="3"/>
      <c r="M56" s="3"/>
      <c r="N56" s="3"/>
      <c r="O56" s="3"/>
      <c r="P56" s="3">
        <v>47.380569948186526</v>
      </c>
      <c r="Q56" s="3"/>
      <c r="R56" s="3"/>
      <c r="S56" s="3"/>
      <c r="T56" s="3">
        <f>2240*0.0125</f>
        <v>28</v>
      </c>
      <c r="U56" s="3"/>
      <c r="V56" s="3"/>
      <c r="W56" s="3">
        <v>23.586206896551722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>
        <v>40</v>
      </c>
      <c r="AT56" s="3"/>
      <c r="AU56" s="3"/>
      <c r="AV56" s="3">
        <v>40</v>
      </c>
      <c r="AW56" s="3"/>
      <c r="AX56" s="3"/>
      <c r="AY56" s="3">
        <v>57.533763935097959</v>
      </c>
      <c r="AZ56" s="3"/>
      <c r="BA56" s="3"/>
      <c r="BB56" s="3">
        <v>46.092173438778254</v>
      </c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>
        <v>70.971786833855802</v>
      </c>
      <c r="CO56" s="3">
        <v>75.164835164835168</v>
      </c>
      <c r="CP56" s="3"/>
      <c r="CQ56" s="3"/>
      <c r="CR56" s="3">
        <f>(1/112*2240)*0.514169700246871</f>
        <v>10.283394004937421</v>
      </c>
      <c r="CT56" s="3"/>
      <c r="CU56" s="3"/>
      <c r="CV56" s="3"/>
      <c r="CW56" s="3"/>
      <c r="CX56" s="3"/>
      <c r="CY56" s="3"/>
      <c r="CZ56" s="3"/>
      <c r="DA56" s="3">
        <f>20*1.53300573300573</f>
        <v>30.660114660114601</v>
      </c>
      <c r="DB56" s="3">
        <v>62.160957055645518</v>
      </c>
      <c r="DC56" s="3">
        <v>35.294060294060294</v>
      </c>
      <c r="DD56" s="3">
        <v>55.86953916222209</v>
      </c>
      <c r="DE56" s="3">
        <v>101.30889688584278</v>
      </c>
      <c r="DF56" s="16">
        <v>64.157498780708394</v>
      </c>
    </row>
    <row r="57" spans="1:110" x14ac:dyDescent="0.25">
      <c r="A57" s="9">
        <f t="shared" si="4"/>
        <v>1890</v>
      </c>
      <c r="C57" s="3">
        <v>95.853333333333325</v>
      </c>
      <c r="D57" s="3"/>
      <c r="E57" s="3"/>
      <c r="F57" s="3"/>
      <c r="G57" s="3">
        <f>2240*0.0252784178187404</f>
        <v>56.623655913978496</v>
      </c>
      <c r="H57" s="3"/>
      <c r="I57" s="3"/>
      <c r="J57" s="3">
        <f>2240*0.02511118123407</f>
        <v>56.249045964316799</v>
      </c>
      <c r="L57" s="3"/>
      <c r="M57" s="3"/>
      <c r="N57" s="3"/>
      <c r="O57" s="3"/>
      <c r="P57" s="3">
        <v>46.263445017182129</v>
      </c>
      <c r="Q57" s="3"/>
      <c r="R57" s="3"/>
      <c r="S57" s="3"/>
      <c r="T57" s="3">
        <f>2240*0.0205636978579481</f>
        <v>46.062683201803743</v>
      </c>
      <c r="U57" s="3"/>
      <c r="V57" s="3"/>
      <c r="W57" s="3">
        <v>51.862068965517238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>
        <v>40</v>
      </c>
      <c r="AT57" s="3"/>
      <c r="AU57" s="3"/>
      <c r="AV57" s="3"/>
      <c r="AW57" s="3"/>
      <c r="AX57" s="3"/>
      <c r="AY57" s="3">
        <v>48.128684210526316</v>
      </c>
      <c r="AZ57" s="3"/>
      <c r="BA57" s="3"/>
      <c r="BB57" s="3">
        <v>52.428104575163353</v>
      </c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>
        <f>(1/112*2240)*0.674000819549453</f>
        <v>13.480016390989061</v>
      </c>
      <c r="CT57" s="3"/>
      <c r="CU57" s="3">
        <f>(1/3*20)*2.52516025641026</f>
        <v>16.834401709401732</v>
      </c>
      <c r="CW57" s="3"/>
      <c r="CX57" s="3"/>
      <c r="CY57" s="3"/>
      <c r="CZ57" s="3"/>
      <c r="DA57" s="3">
        <f>20*1.44730291789115</f>
        <v>28.946058357823002</v>
      </c>
      <c r="DB57" s="3">
        <v>60.053562788056837</v>
      </c>
      <c r="DC57" s="3">
        <v>39.479739479739479</v>
      </c>
      <c r="DD57" s="3">
        <v>56.686492479175392</v>
      </c>
      <c r="DE57" s="3">
        <v>104.13023566146452</v>
      </c>
      <c r="DF57" s="16">
        <v>66.765489206793134</v>
      </c>
    </row>
    <row r="58" spans="1:110" x14ac:dyDescent="0.25">
      <c r="A58" s="9">
        <f t="shared" si="4"/>
        <v>1891</v>
      </c>
      <c r="C58" s="3">
        <v>87.173333333333332</v>
      </c>
      <c r="D58" s="3"/>
      <c r="E58" s="3"/>
      <c r="F58" s="3"/>
      <c r="G58" s="3">
        <f>2240*0.0252678571428571</f>
        <v>56.599999999999902</v>
      </c>
      <c r="H58" s="3"/>
      <c r="I58" s="3"/>
      <c r="J58" s="3">
        <f>2240*0.0253871221964259</f>
        <v>56.867153719994022</v>
      </c>
      <c r="K58" s="3"/>
      <c r="L58" s="3"/>
      <c r="M58" s="3"/>
      <c r="N58" s="3"/>
      <c r="O58" s="3"/>
      <c r="P58" s="3">
        <v>45.213597033374533</v>
      </c>
      <c r="Q58" s="3"/>
      <c r="R58" s="3"/>
      <c r="S58" s="3"/>
      <c r="T58" s="3">
        <f>2240*0.0101799242424242</f>
        <v>22.803030303030209</v>
      </c>
      <c r="U58" s="3"/>
      <c r="V58" s="3"/>
      <c r="W58" s="3">
        <v>41.29032258064516</v>
      </c>
      <c r="X58" s="3"/>
      <c r="Y58" s="3"/>
      <c r="Z58" s="3">
        <v>48.888888888888893</v>
      </c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>
        <v>22.972972972972975</v>
      </c>
      <c r="AT58" s="3"/>
      <c r="AU58" s="3"/>
      <c r="AV58" s="3"/>
      <c r="AW58" s="3"/>
      <c r="AX58" s="3"/>
      <c r="AY58" s="3">
        <v>42.781052631578945</v>
      </c>
      <c r="AZ58" s="3"/>
      <c r="BA58" s="3"/>
      <c r="BB58" s="3">
        <v>49.501429592566069</v>
      </c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>
        <f>2240*0.00882352941176471</f>
        <v>19.764705882352949</v>
      </c>
      <c r="BY58" s="3"/>
      <c r="BZ58" s="3"/>
      <c r="CA58" s="3"/>
      <c r="CB58" s="3"/>
      <c r="CC58" s="3"/>
      <c r="CD58" s="3"/>
      <c r="CE58" s="3"/>
      <c r="CF58" s="3">
        <f>2240*0.095632183908046</f>
        <v>214.21609195402303</v>
      </c>
      <c r="CG58" s="3"/>
      <c r="CH58" s="3"/>
      <c r="CI58" s="3"/>
      <c r="CJ58" s="3"/>
      <c r="CK58" s="3"/>
      <c r="CL58" s="3"/>
      <c r="CM58" s="3"/>
      <c r="CN58" s="3">
        <v>50</v>
      </c>
      <c r="CO58" s="3"/>
      <c r="CP58" s="3"/>
      <c r="CQ58" s="3"/>
      <c r="CR58" s="3">
        <f>(1/112*2240)*0.508852974759325</f>
        <v>10.1770594951865</v>
      </c>
      <c r="CT58" s="3"/>
      <c r="CU58" s="3">
        <f>(1/3*20)*5.17052826691381</f>
        <v>34.470188446092067</v>
      </c>
      <c r="CW58" s="3"/>
      <c r="CX58" s="3"/>
      <c r="CY58" s="3"/>
      <c r="CZ58" s="3"/>
      <c r="DA58" s="3">
        <f>20*0.428252622197876</f>
        <v>8.5650524439575211</v>
      </c>
      <c r="DB58" s="3">
        <v>61.125380178463786</v>
      </c>
      <c r="DC58" s="3">
        <v>37.257712257712257</v>
      </c>
      <c r="DD58" s="3">
        <v>45.619693973352511</v>
      </c>
      <c r="DE58" s="3">
        <v>104.54166208777245</v>
      </c>
      <c r="DF58" s="16">
        <v>62.47302277294574</v>
      </c>
    </row>
    <row r="59" spans="1:110" x14ac:dyDescent="0.25">
      <c r="A59" s="9">
        <f t="shared" si="4"/>
        <v>1892</v>
      </c>
      <c r="C59" s="3">
        <v>81.48</v>
      </c>
      <c r="D59" s="3"/>
      <c r="E59" s="3"/>
      <c r="F59" s="3"/>
      <c r="G59" s="3">
        <f>2240*0.0238087327954438</f>
        <v>53.331561461794109</v>
      </c>
      <c r="H59" s="3"/>
      <c r="I59" s="3"/>
      <c r="J59" s="3">
        <f>2240*0.0238095238095238</f>
        <v>53.333333333333314</v>
      </c>
      <c r="K59" s="3"/>
      <c r="L59" s="3"/>
      <c r="M59" s="3"/>
      <c r="N59" s="3"/>
      <c r="O59" s="3"/>
      <c r="P59" s="3">
        <v>45.33556430446194</v>
      </c>
      <c r="Q59" s="3"/>
      <c r="R59" s="3"/>
      <c r="S59" s="3"/>
      <c r="T59" s="3">
        <f>2240*0.0146052631578947</f>
        <v>32.715789473684126</v>
      </c>
      <c r="U59" s="3"/>
      <c r="V59" s="3"/>
      <c r="W59" s="3">
        <v>42.209523809523816</v>
      </c>
      <c r="X59" s="3"/>
      <c r="Y59" s="3"/>
      <c r="Z59" s="3">
        <v>48.25396825396826</v>
      </c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>
        <v>22.38095238095238</v>
      </c>
      <c r="AT59" s="3"/>
      <c r="AU59" s="3"/>
      <c r="AV59" s="3"/>
      <c r="AW59" s="3"/>
      <c r="AX59" s="3"/>
      <c r="AY59" s="3">
        <v>42.781052631578945</v>
      </c>
      <c r="AZ59" s="3"/>
      <c r="BA59" s="3"/>
      <c r="BB59" s="3">
        <v>46.16869788325846</v>
      </c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>
        <f>2240*0.00931372549019608</f>
        <v>20.86274509803922</v>
      </c>
      <c r="BY59" s="3"/>
      <c r="BZ59" s="3"/>
      <c r="CA59" s="3"/>
      <c r="CB59" s="3"/>
      <c r="CC59" s="3"/>
      <c r="CD59" s="3"/>
      <c r="CE59" s="3"/>
      <c r="CF59" s="3">
        <f>2240*0.108866995073892</f>
        <v>243.86206896551806</v>
      </c>
      <c r="CG59" s="3"/>
      <c r="CH59" s="3"/>
      <c r="CI59" s="3"/>
      <c r="CJ59" s="3"/>
      <c r="CK59" s="3"/>
      <c r="CL59" s="3"/>
      <c r="CM59" s="3"/>
      <c r="CN59" s="3">
        <v>45.371428571428574</v>
      </c>
      <c r="CO59" s="3"/>
      <c r="CP59" s="3"/>
      <c r="CQ59" s="3"/>
      <c r="CR59" s="3">
        <f>(1/112*2240)*0.478787597887276</f>
        <v>9.5757519577455206</v>
      </c>
      <c r="CT59" s="3"/>
      <c r="CU59" s="3">
        <f>(1/3*20)*5.80047885075818</f>
        <v>38.669859005054533</v>
      </c>
      <c r="CW59" s="3"/>
      <c r="CX59" s="3"/>
      <c r="CY59" s="3"/>
      <c r="CZ59" s="3"/>
      <c r="DA59" s="3"/>
      <c r="DB59" s="3">
        <v>60.932154380719645</v>
      </c>
      <c r="DC59" s="3">
        <v>32.865332865332867</v>
      </c>
      <c r="DD59" s="3">
        <v>41.575477916941331</v>
      </c>
      <c r="DE59" s="3">
        <v>103.32590735914668</v>
      </c>
      <c r="DF59" s="16">
        <v>59.255572713806963</v>
      </c>
    </row>
    <row r="60" spans="1:110" x14ac:dyDescent="0.25">
      <c r="A60" s="9">
        <f t="shared" si="4"/>
        <v>1893</v>
      </c>
      <c r="C60" s="3">
        <v>81.38666666666667</v>
      </c>
      <c r="D60" s="3"/>
      <c r="E60" s="3"/>
      <c r="F60" s="3"/>
      <c r="G60" s="3">
        <f>2240*0.062515</f>
        <v>140.03360000000001</v>
      </c>
      <c r="H60" s="3">
        <f>2240*0.0213915849673203</f>
        <v>47.917150326797469</v>
      </c>
      <c r="I60" s="3"/>
      <c r="J60" s="3">
        <f>2240*0.0262489237941244</f>
        <v>58.797589298838652</v>
      </c>
      <c r="K60" s="3"/>
      <c r="L60" s="3"/>
      <c r="M60" s="3"/>
      <c r="N60" s="3"/>
      <c r="O60" s="3"/>
      <c r="P60" s="3">
        <v>46.271726755218211</v>
      </c>
      <c r="Q60" s="3"/>
      <c r="R60" s="3"/>
      <c r="S60" s="3"/>
      <c r="T60" s="3">
        <f>2240*0.0100334448160535</f>
        <v>22.474916387959841</v>
      </c>
      <c r="U60" s="3"/>
      <c r="V60" s="3"/>
      <c r="W60" s="3">
        <v>30.715151515151515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>
        <v>32.857142857142854</v>
      </c>
      <c r="AT60" s="3"/>
      <c r="AU60" s="3"/>
      <c r="AV60" s="3"/>
      <c r="AW60" s="3"/>
      <c r="AX60" s="3"/>
      <c r="AY60" s="3"/>
      <c r="AZ60" s="3"/>
      <c r="BA60" s="3"/>
      <c r="BB60" s="3">
        <v>49.818644067796562</v>
      </c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>
        <f>2240*0.0144081767227168</f>
        <v>32.274315858885629</v>
      </c>
      <c r="BX60" s="3">
        <f>2240*0.00980392156862745</f>
        <v>21.96078431372549</v>
      </c>
      <c r="BY60" s="3"/>
      <c r="BZ60" s="3"/>
      <c r="CA60" s="3"/>
      <c r="CB60" s="3"/>
      <c r="CC60" s="3"/>
      <c r="CD60" s="3"/>
      <c r="CE60" s="3"/>
      <c r="CG60" s="3"/>
      <c r="CH60" s="3"/>
      <c r="CI60" s="3"/>
      <c r="CJ60" s="3"/>
      <c r="CK60" s="3"/>
      <c r="CL60" s="3"/>
      <c r="CM60" s="3"/>
      <c r="CN60" s="3">
        <v>43.806451612903231</v>
      </c>
      <c r="CO60" s="3"/>
      <c r="CP60" s="3"/>
      <c r="CQ60" s="3"/>
      <c r="CR60" s="3">
        <f>(1/112*2240)*0.389173013527997</f>
        <v>7.7834602705599396</v>
      </c>
      <c r="CT60" s="3"/>
      <c r="CU60" s="3">
        <f>(1/3*20)*4.88503468780971</f>
        <v>32.566897918731392</v>
      </c>
      <c r="CW60" s="3"/>
      <c r="CX60" s="3"/>
      <c r="CY60" s="3"/>
      <c r="CZ60" s="3"/>
      <c r="DA60" s="3">
        <f>20*0.722408305393452</f>
        <v>14.44816610786904</v>
      </c>
      <c r="DB60" s="3">
        <v>61.43020708091251</v>
      </c>
      <c r="DC60" s="3">
        <v>31.597127081635094</v>
      </c>
      <c r="DD60" s="3">
        <v>47.452399686243886</v>
      </c>
      <c r="DE60" s="3">
        <v>103.45809685284782</v>
      </c>
      <c r="DF60" s="16">
        <v>60.835874540242266</v>
      </c>
    </row>
    <row r="61" spans="1:110" x14ac:dyDescent="0.25">
      <c r="A61" s="9">
        <f t="shared" si="4"/>
        <v>1894</v>
      </c>
      <c r="C61" s="3">
        <v>79.240000000000009</v>
      </c>
      <c r="D61" s="3"/>
      <c r="E61" s="3"/>
      <c r="F61" s="3"/>
      <c r="G61" s="3">
        <f>2240*0.0237828302448311</f>
        <v>53.273539748421669</v>
      </c>
      <c r="H61" s="3">
        <f>2240*0.0220588235294118</f>
        <v>49.411764705882433</v>
      </c>
      <c r="I61" s="3"/>
      <c r="J61" s="3">
        <f>2240*0.0178571428571429</f>
        <v>40.000000000000099</v>
      </c>
      <c r="K61" s="3"/>
      <c r="L61" s="3"/>
      <c r="M61" s="3"/>
      <c r="N61" s="3"/>
      <c r="O61" s="3"/>
      <c r="P61" s="3">
        <v>41.863004291845492</v>
      </c>
      <c r="Q61" s="3"/>
      <c r="R61" s="3"/>
      <c r="S61" s="3"/>
      <c r="T61" s="3">
        <f>2240*0.0121212121212121</f>
        <v>27.151515151515106</v>
      </c>
      <c r="U61" s="3"/>
      <c r="V61" s="3"/>
      <c r="W61" s="3">
        <v>25.716049382716051</v>
      </c>
      <c r="X61" s="3"/>
      <c r="Y61" s="3"/>
      <c r="Z61" s="3">
        <v>35.555555555555557</v>
      </c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>
        <v>34.339622641509436</v>
      </c>
      <c r="AT61" s="3"/>
      <c r="AU61" s="3"/>
      <c r="AV61" s="3"/>
      <c r="AW61" s="3"/>
      <c r="AX61" s="3"/>
      <c r="AY61" s="3">
        <v>32.085789473684208</v>
      </c>
      <c r="AZ61" s="3"/>
      <c r="BA61" s="3"/>
      <c r="BB61" s="3">
        <v>50.578046324269842</v>
      </c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>
        <f>2240*0.0250549450549451</f>
        <v>56.123076923077022</v>
      </c>
      <c r="BR61" s="3"/>
      <c r="BS61" s="3"/>
      <c r="BT61" s="3"/>
      <c r="BU61" s="3"/>
      <c r="BV61" s="3"/>
      <c r="BW61" s="3"/>
      <c r="BY61" s="3"/>
      <c r="BZ61" s="3"/>
      <c r="CA61" s="3"/>
      <c r="CB61" s="3"/>
      <c r="CC61" s="3"/>
      <c r="CD61" s="3"/>
      <c r="CE61" s="3"/>
      <c r="CG61" s="3"/>
      <c r="CH61" s="3"/>
      <c r="CI61" s="3"/>
      <c r="CJ61" s="3"/>
      <c r="CK61" s="3"/>
      <c r="CL61" s="3"/>
      <c r="CM61" s="3"/>
      <c r="CN61" s="3">
        <v>40.071428571428569</v>
      </c>
      <c r="CO61" s="3"/>
      <c r="CP61" s="3"/>
      <c r="CQ61" s="3"/>
      <c r="CR61" s="3">
        <f>(1/112*2240)*0.299536315354744</f>
        <v>5.9907263070948797</v>
      </c>
      <c r="CT61" s="3"/>
      <c r="CU61" s="3">
        <f>(1/3*20)*4</f>
        <v>26.666666666666664</v>
      </c>
      <c r="CW61" s="3"/>
      <c r="CX61" s="3"/>
      <c r="CY61" s="3"/>
      <c r="CZ61" s="3"/>
      <c r="DA61" s="3"/>
      <c r="DB61" s="3">
        <v>65.229530652714658</v>
      </c>
      <c r="DC61" s="3">
        <v>25.265379664874356</v>
      </c>
      <c r="DD61" s="3">
        <v>33.841423862210448</v>
      </c>
      <c r="DE61" s="3">
        <v>102.75419004669797</v>
      </c>
      <c r="DF61" s="16">
        <v>53.953664524594252</v>
      </c>
    </row>
    <row r="62" spans="1:110" x14ac:dyDescent="0.25">
      <c r="A62" s="9">
        <f t="shared" si="4"/>
        <v>1895</v>
      </c>
      <c r="C62" s="3">
        <v>75.599999999999994</v>
      </c>
      <c r="D62" s="3"/>
      <c r="E62" s="3"/>
      <c r="F62" s="3"/>
      <c r="H62" s="3">
        <f>2240*0.0178379502145653</f>
        <v>39.957008480626271</v>
      </c>
      <c r="I62" s="3"/>
      <c r="J62" s="3">
        <f>2240*0.0187499667427592</f>
        <v>41.999925503780609</v>
      </c>
      <c r="K62" s="3"/>
      <c r="L62" s="3"/>
      <c r="M62" s="3"/>
      <c r="N62" s="3"/>
      <c r="O62" s="3"/>
      <c r="P62" s="3">
        <v>41.874533437013994</v>
      </c>
      <c r="Q62" s="3"/>
      <c r="R62" s="3"/>
      <c r="S62" s="3"/>
      <c r="T62" s="3">
        <f>2240*0.0112306350458944</f>
        <v>25.156622502803458</v>
      </c>
      <c r="U62" s="3"/>
      <c r="V62" s="3"/>
      <c r="W62" s="3"/>
      <c r="X62" s="3"/>
      <c r="Y62" s="3"/>
      <c r="Z62" s="3">
        <v>48.888888888888893</v>
      </c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>
        <v>33.191489361702125</v>
      </c>
      <c r="AT62" s="3"/>
      <c r="AU62" s="3"/>
      <c r="AV62" s="3"/>
      <c r="AW62" s="3"/>
      <c r="AX62" s="3"/>
      <c r="AY62" s="3"/>
      <c r="AZ62" s="3"/>
      <c r="BA62" s="3"/>
      <c r="BB62" s="3">
        <v>50.927293710328861</v>
      </c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>
        <f>20*1.06618962432916</f>
        <v>21.323792486583201</v>
      </c>
      <c r="CV62" s="3"/>
      <c r="CW62" s="3"/>
      <c r="CX62" s="3"/>
      <c r="CY62" s="3"/>
      <c r="CZ62" s="3"/>
      <c r="DA62" s="3">
        <f>20*1.296</f>
        <v>25.92</v>
      </c>
      <c r="DB62" s="3">
        <v>60.123108855340611</v>
      </c>
      <c r="DC62" s="3">
        <v>25.419280887981241</v>
      </c>
      <c r="DD62" s="3">
        <v>38.518457481796887</v>
      </c>
      <c r="DE62" s="3">
        <v>101.02729708659743</v>
      </c>
      <c r="DF62" s="16">
        <v>54.988345152125191</v>
      </c>
    </row>
    <row r="63" spans="1:110" x14ac:dyDescent="0.25">
      <c r="A63" s="9">
        <f t="shared" si="4"/>
        <v>1896</v>
      </c>
      <c r="C63" s="3">
        <v>78.306666666666672</v>
      </c>
      <c r="D63" s="3"/>
      <c r="E63" s="3"/>
      <c r="F63" s="3"/>
      <c r="G63" s="3">
        <f>2240*0.0267872178518566</f>
        <v>60.003367988158786</v>
      </c>
      <c r="H63" s="3">
        <f>2240*0.0208485333458856</f>
        <v>46.700714694783741</v>
      </c>
      <c r="I63" s="3"/>
      <c r="J63" s="3">
        <f>2240*0.0178571428571429</f>
        <v>40.000000000000099</v>
      </c>
      <c r="K63" s="3"/>
      <c r="L63" s="3"/>
      <c r="M63" s="3"/>
      <c r="N63" s="3"/>
      <c r="O63" s="3"/>
      <c r="P63" s="3">
        <v>40.9278452685422</v>
      </c>
      <c r="Q63" s="3"/>
      <c r="R63" s="3"/>
      <c r="S63" s="3"/>
      <c r="T63" s="3">
        <f>2240*0.0163894023413432</f>
        <v>36.712261244608769</v>
      </c>
      <c r="U63" s="3"/>
      <c r="V63" s="3"/>
      <c r="W63" s="3"/>
      <c r="X63" s="3"/>
      <c r="Y63" s="3"/>
      <c r="Z63" s="3">
        <v>53.333333333333329</v>
      </c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>
        <v>57.431215627657977</v>
      </c>
      <c r="AN63" s="3"/>
      <c r="AO63" s="3"/>
      <c r="AP63" s="3"/>
      <c r="AQ63" s="3"/>
      <c r="AR63" s="3"/>
      <c r="AS63" s="3">
        <v>40</v>
      </c>
      <c r="AT63" s="3"/>
      <c r="AU63" s="3"/>
      <c r="AV63" s="3"/>
      <c r="AW63" s="3"/>
      <c r="AX63" s="3"/>
      <c r="AY63" s="3"/>
      <c r="AZ63" s="3"/>
      <c r="BA63" s="3"/>
      <c r="BB63" s="3">
        <v>53.488805970149208</v>
      </c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G63" s="3"/>
      <c r="CH63" s="3"/>
      <c r="CI63" s="3"/>
      <c r="CJ63" s="3"/>
      <c r="CK63" s="3"/>
      <c r="CL63" s="3"/>
      <c r="CM63" s="3"/>
      <c r="CN63" s="3">
        <v>42.333333333333336</v>
      </c>
      <c r="CO63" s="3"/>
      <c r="CP63" s="3"/>
      <c r="CQ63" s="3"/>
      <c r="CR63" s="3"/>
      <c r="CS63" s="3"/>
      <c r="CT63" s="3"/>
      <c r="CU63" s="3">
        <f>20*1.96077703538728</f>
        <v>39.215540707745603</v>
      </c>
      <c r="CV63" s="3"/>
      <c r="CW63" s="3"/>
      <c r="CX63" s="3"/>
      <c r="CY63" s="3"/>
      <c r="CZ63" s="3"/>
      <c r="DA63" s="3"/>
      <c r="DB63" s="3">
        <v>64.852490644346858</v>
      </c>
      <c r="DC63" s="3">
        <v>28.880308880246638</v>
      </c>
      <c r="DD63" s="3">
        <v>43.536585365759827</v>
      </c>
      <c r="DE63" s="3">
        <v>97.785697713578131</v>
      </c>
      <c r="DF63" s="16">
        <v>56.734197319861529</v>
      </c>
    </row>
    <row r="64" spans="1:110" x14ac:dyDescent="0.25">
      <c r="A64" s="9">
        <f t="shared" si="4"/>
        <v>1897</v>
      </c>
      <c r="C64" s="3">
        <v>74.38666666666667</v>
      </c>
      <c r="D64" s="3"/>
      <c r="E64" s="3"/>
      <c r="F64" s="3"/>
      <c r="G64" s="3">
        <f>2240*0.0267838588053675</f>
        <v>59.995843724023196</v>
      </c>
      <c r="H64" s="3">
        <f>2240*0.0176516274800537</f>
        <v>39.539645555320291</v>
      </c>
      <c r="I64" s="3"/>
      <c r="J64" s="3">
        <f>2240*0.0202323495001208</f>
        <v>45.32046288027059</v>
      </c>
      <c r="K64" s="3"/>
      <c r="L64" s="3"/>
      <c r="M64" s="3"/>
      <c r="N64" s="3"/>
      <c r="O64" s="3"/>
      <c r="P64" s="3">
        <v>41.044064303380047</v>
      </c>
      <c r="Q64" s="3"/>
      <c r="R64" s="3"/>
      <c r="S64" s="3"/>
      <c r="T64" s="3">
        <f>2240*0.0145454545454545</f>
        <v>32.581818181818079</v>
      </c>
      <c r="U64" s="3"/>
      <c r="V64" s="3"/>
      <c r="W64" s="3"/>
      <c r="X64" s="3"/>
      <c r="Y64" s="3"/>
      <c r="Z64" s="3">
        <v>46.666666666666671</v>
      </c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N64" s="3"/>
      <c r="AO64" s="3"/>
      <c r="AP64" s="3"/>
      <c r="AQ64" s="3"/>
      <c r="AR64" s="3"/>
      <c r="AS64" s="3">
        <v>36.756756756756758</v>
      </c>
      <c r="AT64" s="3"/>
      <c r="AU64" s="3"/>
      <c r="AV64" s="3"/>
      <c r="AW64" s="3"/>
      <c r="AX64" s="3"/>
      <c r="AY64" s="3"/>
      <c r="AZ64" s="3"/>
      <c r="BA64" s="3"/>
      <c r="BB64" s="3">
        <v>52.502292075965897</v>
      </c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>
        <f>2240*0.0142602495543672</f>
        <v>31.94295900178253</v>
      </c>
      <c r="BY64" s="3"/>
      <c r="BZ64" s="3"/>
      <c r="CA64" s="3"/>
      <c r="CB64" s="3"/>
      <c r="CC64" s="3"/>
      <c r="CD64" s="3"/>
      <c r="CE64" s="3"/>
      <c r="CG64" s="3"/>
      <c r="CH64" s="3"/>
      <c r="CI64" s="3"/>
      <c r="CJ64" s="3"/>
      <c r="CK64" s="3"/>
      <c r="CL64" s="3"/>
      <c r="CM64" s="3"/>
      <c r="CN64" s="3">
        <v>41.033591731266142</v>
      </c>
      <c r="CO64" s="3">
        <v>46.222222222222214</v>
      </c>
      <c r="CP64" s="3"/>
      <c r="CQ64" s="3"/>
      <c r="CR64" s="3"/>
      <c r="CS64" s="3"/>
      <c r="CT64" s="3"/>
      <c r="CU64" s="3">
        <f>20*2.0004118616145</f>
        <v>40.00823723229</v>
      </c>
      <c r="CV64" s="3"/>
      <c r="CW64" s="3"/>
      <c r="CX64" s="3"/>
      <c r="CY64" s="3"/>
      <c r="CZ64" s="3"/>
      <c r="DA64" s="3"/>
      <c r="DB64" s="3">
        <v>66.465813171208268</v>
      </c>
      <c r="DC64" s="3">
        <v>30.894399554989615</v>
      </c>
      <c r="DD64" s="3">
        <v>45.314069413804063</v>
      </c>
      <c r="DE64" s="3">
        <v>97.808059589849194</v>
      </c>
      <c r="DF64" s="16">
        <v>58.005509519547623</v>
      </c>
    </row>
    <row r="65" spans="1:110" x14ac:dyDescent="0.25">
      <c r="A65" s="9">
        <f t="shared" si="4"/>
        <v>1898</v>
      </c>
      <c r="C65" s="3">
        <v>76.160000000000011</v>
      </c>
      <c r="D65" s="3"/>
      <c r="E65" s="3"/>
      <c r="F65" s="3"/>
      <c r="G65" s="3">
        <f>2240*0.0208334886911908</f>
        <v>46.667014668267392</v>
      </c>
      <c r="H65" s="3">
        <f>2240*0.0185342088540563</f>
        <v>41.516627833086112</v>
      </c>
      <c r="I65" s="3"/>
      <c r="J65" s="3">
        <f>2240*0.0178571428571429</f>
        <v>40.000000000000099</v>
      </c>
      <c r="L65" s="3"/>
      <c r="M65" s="3"/>
      <c r="N65" s="3"/>
      <c r="O65" s="3"/>
      <c r="P65" s="3">
        <v>40.79032846715328</v>
      </c>
      <c r="Q65" s="3"/>
      <c r="R65" s="3"/>
      <c r="S65" s="3"/>
      <c r="T65" s="3">
        <f>2240*0.0127272727272727</f>
        <v>28.509090909090848</v>
      </c>
      <c r="U65" s="3"/>
      <c r="V65" s="3"/>
      <c r="W65" s="3">
        <v>50</v>
      </c>
      <c r="X65" s="3"/>
      <c r="Y65" s="3"/>
      <c r="Z65" s="3">
        <v>46.666666666666671</v>
      </c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N65" s="3"/>
      <c r="AO65" s="3"/>
      <c r="AP65" s="3"/>
      <c r="AQ65" s="3"/>
      <c r="AR65" s="3"/>
      <c r="AS65" s="3">
        <v>28.148148148148149</v>
      </c>
      <c r="AT65" s="3"/>
      <c r="AU65" s="3"/>
      <c r="AV65" s="3"/>
      <c r="AW65" s="3"/>
      <c r="AX65" s="3"/>
      <c r="AY65" s="3">
        <v>34.917647058823526</v>
      </c>
      <c r="AZ65" s="3"/>
      <c r="BA65" s="3"/>
      <c r="BB65" s="3">
        <v>51.991330953595053</v>
      </c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>
        <v>42.5</v>
      </c>
      <c r="CO65" s="3">
        <v>43.692307692307686</v>
      </c>
      <c r="CP65" s="3"/>
      <c r="CQ65" s="3"/>
      <c r="CR65" s="3"/>
      <c r="CS65" s="3"/>
      <c r="CT65" s="3"/>
      <c r="CU65" s="3">
        <f>20*2</f>
        <v>40</v>
      </c>
      <c r="CV65" s="3"/>
      <c r="CW65" s="3"/>
      <c r="CX65" s="3"/>
      <c r="CY65" s="3"/>
      <c r="CZ65" s="3"/>
      <c r="DA65" s="3"/>
      <c r="DB65" s="3">
        <v>63.032498978567332</v>
      </c>
      <c r="DC65" s="3">
        <v>30.508365508365504</v>
      </c>
      <c r="DD65" s="3">
        <v>38.947209404526475</v>
      </c>
      <c r="DE65" s="3">
        <v>98.359618679777213</v>
      </c>
      <c r="DF65" s="16">
        <v>55.938397864223056</v>
      </c>
    </row>
    <row r="66" spans="1:110" x14ac:dyDescent="0.25">
      <c r="A66" s="9">
        <f t="shared" si="4"/>
        <v>1899</v>
      </c>
      <c r="C66" s="3">
        <v>80.08</v>
      </c>
      <c r="D66" s="3"/>
      <c r="E66" s="3"/>
      <c r="F66" s="3"/>
      <c r="G66" s="3">
        <f>2240*0.0208344445037069</f>
        <v>46.669155688303455</v>
      </c>
      <c r="H66" s="3">
        <f>2240*0.0128366557618835</f>
        <v>28.754108906619038</v>
      </c>
      <c r="I66" s="3"/>
      <c r="J66" s="3">
        <f>2240*0.0178573221133301</f>
        <v>40.000401533859424</v>
      </c>
      <c r="L66" s="3"/>
      <c r="M66" s="3"/>
      <c r="N66" s="3"/>
      <c r="O66" s="3"/>
      <c r="P66" s="3">
        <v>43.762453183520599</v>
      </c>
      <c r="Q66" s="3"/>
      <c r="R66" s="3"/>
      <c r="S66" s="3"/>
      <c r="T66" s="3">
        <f>2240*0.0254545454545455</f>
        <v>57.018181818181922</v>
      </c>
      <c r="U66" s="3"/>
      <c r="V66" s="3"/>
      <c r="W66" s="3"/>
      <c r="X66" s="3"/>
      <c r="Y66" s="3"/>
      <c r="Z66" s="3">
        <v>48.888888888888893</v>
      </c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N66" s="3"/>
      <c r="AO66" s="3"/>
      <c r="AP66" s="3"/>
      <c r="AQ66" s="3"/>
      <c r="AR66" s="3"/>
      <c r="AS66" s="3">
        <v>40</v>
      </c>
      <c r="AT66" s="3"/>
      <c r="AU66" s="3"/>
      <c r="AV66" s="3"/>
      <c r="AW66" s="3"/>
      <c r="AX66" s="3"/>
      <c r="AY66" s="3">
        <v>40.254211332312408</v>
      </c>
      <c r="AZ66" s="3"/>
      <c r="BA66" s="3"/>
      <c r="BB66" s="3">
        <v>55.877637130801631</v>
      </c>
      <c r="BC66" s="3"/>
      <c r="BD66" s="3"/>
      <c r="BE66" s="3"/>
      <c r="BF66" s="3"/>
      <c r="BG66" s="3"/>
      <c r="BH66" s="3"/>
      <c r="BI66" s="3"/>
      <c r="BJ66" s="3"/>
      <c r="BK66" s="3"/>
      <c r="BL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>
        <v>39.330543933054393</v>
      </c>
      <c r="CO66" s="3">
        <v>42.705314009661841</v>
      </c>
      <c r="CP66" s="3"/>
      <c r="CQ66" s="3"/>
      <c r="CR66" s="3"/>
      <c r="CS66" s="3"/>
      <c r="CT66" s="3"/>
      <c r="CU66" s="3">
        <f>20*2.02886247877759</f>
        <v>40.577249575551804</v>
      </c>
      <c r="CV66" s="3"/>
      <c r="CW66" s="3"/>
      <c r="CX66" s="3"/>
      <c r="CY66" s="3"/>
      <c r="CZ66" s="3"/>
      <c r="DA66" s="3"/>
      <c r="DB66" s="3">
        <v>41.607634812821928</v>
      </c>
      <c r="DC66" s="3">
        <v>28.397582324358229</v>
      </c>
      <c r="DD66" s="3">
        <v>36.059734872241471</v>
      </c>
      <c r="DE66" s="3">
        <v>66.90519536755879</v>
      </c>
      <c r="DF66" s="16">
        <v>43.787504188052829</v>
      </c>
    </row>
    <row r="67" spans="1:110" x14ac:dyDescent="0.25">
      <c r="A67" s="9">
        <f t="shared" si="4"/>
        <v>1900</v>
      </c>
      <c r="C67" s="3">
        <v>88.386666666666684</v>
      </c>
      <c r="D67" s="3"/>
      <c r="E67" s="3"/>
      <c r="F67" s="3"/>
      <c r="G67" s="3">
        <f>2240*0.0208344445037069</f>
        <v>46.669155688303455</v>
      </c>
      <c r="H67" s="3">
        <f>2240*0.017156862745098</f>
        <v>38.431372549019521</v>
      </c>
      <c r="I67" s="3"/>
      <c r="J67" s="3">
        <f>2240*0.0178571428571429</f>
        <v>40.000000000000099</v>
      </c>
      <c r="L67" s="3"/>
      <c r="M67" s="3"/>
      <c r="N67" s="3"/>
      <c r="O67" s="3"/>
      <c r="P67" s="3">
        <v>40.220640904806785</v>
      </c>
      <c r="Q67" s="3"/>
      <c r="R67" s="3"/>
      <c r="S67" s="3"/>
      <c r="T67" s="3">
        <f>2240*0.0163855421686747</f>
        <v>36.703614457831328</v>
      </c>
      <c r="U67" s="3"/>
      <c r="V67" s="3"/>
      <c r="W67" s="3"/>
      <c r="X67" s="3"/>
      <c r="Y67" s="3"/>
      <c r="Z67" s="3">
        <v>49.382716049382715</v>
      </c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>
        <v>54.890403093780989</v>
      </c>
      <c r="AN67" s="3"/>
      <c r="AO67" s="3"/>
      <c r="AP67" s="3"/>
      <c r="AQ67" s="3"/>
      <c r="AR67" s="3"/>
      <c r="AS67" s="3">
        <v>40</v>
      </c>
      <c r="AT67" s="3"/>
      <c r="AU67" s="3"/>
      <c r="AV67" s="3"/>
      <c r="AW67" s="3"/>
      <c r="AX67" s="3"/>
      <c r="AY67" s="3">
        <v>40.547979797979799</v>
      </c>
      <c r="AZ67" s="3"/>
      <c r="BA67" s="3"/>
      <c r="BB67" s="3">
        <v>58.49999999999995</v>
      </c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>
        <f>20*1.94549040702887</f>
        <v>38.909808140577404</v>
      </c>
      <c r="BN67" s="3">
        <f>20*1.34826636519227</f>
        <v>26.965327303845399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>
        <v>39.643652561247215</v>
      </c>
      <c r="CO67" s="3">
        <v>42.666666666666664</v>
      </c>
      <c r="CP67" s="3"/>
      <c r="CQ67" s="3"/>
      <c r="CR67" s="3"/>
      <c r="CS67" s="3"/>
      <c r="CT67" s="3"/>
      <c r="CU67" s="3">
        <f>20*2.01696352841391</f>
        <v>40.339270568278202</v>
      </c>
      <c r="CV67" s="3"/>
      <c r="CW67" s="3"/>
      <c r="CX67" s="3"/>
      <c r="CY67" s="3"/>
      <c r="CZ67" s="3"/>
      <c r="DA67" s="3"/>
      <c r="DB67" s="3">
        <v>37.923599186671495</v>
      </c>
      <c r="DC67" s="3">
        <v>27.984555985255604</v>
      </c>
      <c r="DD67" s="3">
        <v>33.863019117524232</v>
      </c>
      <c r="DE67" s="3">
        <v>63.425516476818906</v>
      </c>
      <c r="DF67" s="16">
        <v>41.757697193199583</v>
      </c>
    </row>
    <row r="68" spans="1:110" x14ac:dyDescent="0.25">
      <c r="A68" s="9">
        <f t="shared" si="4"/>
        <v>1901</v>
      </c>
      <c r="C68" s="3">
        <v>70.093333333333334</v>
      </c>
      <c r="D68" s="3"/>
      <c r="E68" s="3"/>
      <c r="F68" s="3"/>
      <c r="G68" s="3">
        <f>2240*0.0189361538030065</f>
        <v>42.416984518734559</v>
      </c>
      <c r="H68" s="3">
        <f>2240*0.0177696078431373</f>
        <v>39.803921568627551</v>
      </c>
      <c r="I68" s="3"/>
      <c r="J68" s="3">
        <f>2240*0.0178571428571429</f>
        <v>40.000000000000099</v>
      </c>
      <c r="L68" s="3"/>
      <c r="M68" s="3"/>
      <c r="N68" s="3"/>
      <c r="O68" s="3"/>
      <c r="P68" s="3">
        <v>39.796328029375758</v>
      </c>
      <c r="Q68" s="3"/>
      <c r="R68" s="3"/>
      <c r="S68" s="3"/>
      <c r="T68" s="3">
        <f>2240*0.011436170212766</f>
        <v>25.617021276595839</v>
      </c>
      <c r="U68" s="3"/>
      <c r="V68" s="3"/>
      <c r="W68" s="3">
        <v>26.666666666666668</v>
      </c>
      <c r="X68" s="3"/>
      <c r="Y68" s="3"/>
      <c r="Z68" s="3">
        <v>51.90243902439024</v>
      </c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>
        <v>63.478653085846688</v>
      </c>
      <c r="AN68" s="3"/>
      <c r="AO68" s="3"/>
      <c r="AP68" s="3"/>
      <c r="AQ68" s="3"/>
      <c r="AR68" s="3"/>
      <c r="AS68" s="3">
        <v>40</v>
      </c>
      <c r="AT68" s="3"/>
      <c r="AU68" s="3"/>
      <c r="AV68" s="3"/>
      <c r="AW68" s="3"/>
      <c r="AX68" s="3"/>
      <c r="AY68" s="3">
        <v>43.984375</v>
      </c>
      <c r="AZ68" s="3"/>
      <c r="BA68" s="3"/>
      <c r="BB68" s="3">
        <v>60.49343981745573</v>
      </c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>
        <f>20*2.23469079939668</f>
        <v>44.693815987933604</v>
      </c>
      <c r="BN68" s="3">
        <f>20*1.1980043265086</f>
        <v>23.960086530171999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>
        <v>39.714285714285715</v>
      </c>
      <c r="CO68" s="3">
        <v>42.627118644067792</v>
      </c>
      <c r="CP68" s="3"/>
      <c r="CQ68" s="3"/>
      <c r="CR68" s="3"/>
      <c r="CS68" s="3"/>
      <c r="CT68" s="3"/>
      <c r="CU68" s="3">
        <f>20*2</f>
        <v>40</v>
      </c>
      <c r="CV68" s="3"/>
      <c r="CW68" s="3"/>
      <c r="CX68" s="3"/>
      <c r="CY68" s="3"/>
      <c r="CZ68" s="3"/>
      <c r="DA68" s="3"/>
      <c r="DB68" s="3">
        <v>43.656034038711823</v>
      </c>
      <c r="DC68" s="3">
        <v>31.64344468691435</v>
      </c>
      <c r="DD68" s="3">
        <v>33.381459402129018</v>
      </c>
      <c r="DE68" s="3">
        <v>61.647605939125789</v>
      </c>
      <c r="DF68" s="16">
        <v>42.224170009389717</v>
      </c>
    </row>
    <row r="69" spans="1:110" x14ac:dyDescent="0.25">
      <c r="A69" s="9">
        <f t="shared" si="4"/>
        <v>1902</v>
      </c>
      <c r="C69" s="3">
        <v>70.093333333333334</v>
      </c>
      <c r="D69" s="3"/>
      <c r="E69" s="3"/>
      <c r="F69" s="3"/>
      <c r="G69" s="3">
        <f>2240*0.0208333333333333</f>
        <v>46.666666666666593</v>
      </c>
      <c r="H69" s="3">
        <f>2240*0.0183823529411765</f>
        <v>41.176470588235361</v>
      </c>
      <c r="I69" s="3"/>
      <c r="J69" s="3">
        <f>2240*0.0178571428571429</f>
        <v>40.000000000000099</v>
      </c>
      <c r="L69" s="3"/>
      <c r="M69" s="3"/>
      <c r="N69" s="3"/>
      <c r="O69" s="3"/>
      <c r="P69" s="3">
        <v>40.851494845360826</v>
      </c>
      <c r="Q69" s="3"/>
      <c r="R69" s="3"/>
      <c r="S69" s="3"/>
      <c r="T69" s="3">
        <f>2240*0.0101538461538462</f>
        <v>22.744615384615489</v>
      </c>
      <c r="U69" s="3"/>
      <c r="V69" s="3"/>
      <c r="W69" s="3">
        <v>23.469387755102041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>
        <v>40.487804878048777</v>
      </c>
      <c r="AT69" s="3"/>
      <c r="AU69" s="3"/>
      <c r="AV69" s="3"/>
      <c r="AW69" s="3"/>
      <c r="AX69" s="3"/>
      <c r="AY69" s="3">
        <v>44.048780487804876</v>
      </c>
      <c r="AZ69" s="3"/>
      <c r="BA69" s="3"/>
      <c r="BB69" s="3">
        <v>58.371517027863725</v>
      </c>
      <c r="BC69" s="3"/>
      <c r="BD69" s="3"/>
      <c r="BE69" s="3"/>
      <c r="BF69" s="3"/>
      <c r="BG69" s="3"/>
      <c r="BH69" s="3"/>
      <c r="BI69" s="3"/>
      <c r="BJ69" s="3">
        <f>2240*0.0141546167463301</f>
        <v>31.706341511779424</v>
      </c>
      <c r="BK69" s="3">
        <f>2240*0.0136239613096857</f>
        <v>30.517673333695967</v>
      </c>
      <c r="BL69" s="3"/>
      <c r="BM69" s="3"/>
      <c r="BN69" s="3">
        <f>20*1.06823896644412</f>
        <v>21.364779328882403</v>
      </c>
      <c r="BO69" s="3"/>
      <c r="BP69" s="3"/>
      <c r="BQ69" s="3"/>
      <c r="BR69" s="3"/>
      <c r="BS69" s="3"/>
      <c r="BT69" s="3"/>
      <c r="BU69" s="3"/>
      <c r="BV69" s="3"/>
      <c r="BW69" s="3">
        <f>2240*0.0077169752767146</f>
        <v>17.286024619840703</v>
      </c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>
        <v>39.583333333333336</v>
      </c>
      <c r="CO69" s="3">
        <v>37.338403041825096</v>
      </c>
      <c r="CP69" s="3"/>
      <c r="CQ69" s="3"/>
      <c r="CR69" s="3"/>
      <c r="CS69" s="3"/>
      <c r="CT69" s="3"/>
      <c r="CU69" s="3">
        <f>20*1.32688011913626</f>
        <v>26.537602382725201</v>
      </c>
      <c r="CV69" s="3"/>
      <c r="CW69" s="3"/>
      <c r="CX69" s="3"/>
      <c r="CY69" s="3"/>
      <c r="CZ69" s="3"/>
      <c r="DA69" s="3"/>
      <c r="DB69" s="3"/>
      <c r="DC69" s="3">
        <v>30.083655083655074</v>
      </c>
      <c r="DD69" s="3">
        <v>29.608877169852772</v>
      </c>
      <c r="DE69" s="3">
        <v>60.504724738192238</v>
      </c>
      <c r="DF69" s="16">
        <v>40.065752330566696</v>
      </c>
    </row>
    <row r="70" spans="1:110" x14ac:dyDescent="0.25">
      <c r="A70" s="9">
        <f t="shared" si="4"/>
        <v>1903</v>
      </c>
      <c r="C70" s="3">
        <v>77.093333333333334</v>
      </c>
      <c r="D70" s="3"/>
      <c r="E70" s="3"/>
      <c r="F70" s="3"/>
      <c r="G70" s="3">
        <f>2240*0.0297619047619048</f>
        <v>66.666666666666742</v>
      </c>
      <c r="H70" s="3">
        <f>2240*0.0212009803921569</f>
        <v>47.490196078431453</v>
      </c>
      <c r="I70" s="3"/>
      <c r="J70" s="3">
        <f>2240*0.0178571428571429</f>
        <v>40.000000000000099</v>
      </c>
      <c r="L70" s="3"/>
      <c r="M70" s="3"/>
      <c r="N70" s="3"/>
      <c r="O70" s="3"/>
      <c r="P70" s="3">
        <v>58.725825688073392</v>
      </c>
      <c r="Q70" s="3"/>
      <c r="R70" s="3"/>
      <c r="S70" s="3"/>
      <c r="T70" s="3">
        <f>2240*0.0140405616224649</f>
        <v>31.450858034321378</v>
      </c>
      <c r="U70" s="3"/>
      <c r="V70" s="3"/>
      <c r="W70" s="3">
        <v>34.307692307692307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>
        <v>40</v>
      </c>
      <c r="AT70" s="3"/>
      <c r="AU70" s="3"/>
      <c r="AV70" s="3"/>
      <c r="AW70" s="3"/>
      <c r="AX70" s="3"/>
      <c r="AY70" s="3">
        <v>47.376470588235293</v>
      </c>
      <c r="AZ70" s="3"/>
      <c r="BA70" s="3"/>
      <c r="BB70" s="3">
        <v>61.600357621814872</v>
      </c>
      <c r="BC70" s="3"/>
      <c r="BD70" s="3"/>
      <c r="BE70" s="3"/>
      <c r="BF70" s="3"/>
      <c r="BG70" s="3"/>
      <c r="BH70" s="3"/>
      <c r="BI70" s="3"/>
      <c r="BJ70" s="3">
        <f>2240*0.0278847851014536</f>
        <v>62.461918627256068</v>
      </c>
      <c r="BK70" s="3">
        <f>2240*0.019016129005758</f>
        <v>42.596128972897922</v>
      </c>
      <c r="BL70" s="3"/>
      <c r="BN70" s="3">
        <f>20*1.53375226904958</f>
        <v>30.675045380991598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>
        <v>46.666666666666671</v>
      </c>
      <c r="CO70" s="3">
        <v>40</v>
      </c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>
        <v>43.26112063150768</v>
      </c>
      <c r="DC70" s="3">
        <v>25.482625482618552</v>
      </c>
      <c r="DD70" s="3">
        <v>32.573443008216756</v>
      </c>
      <c r="DE70" s="3">
        <v>62.389042544091332</v>
      </c>
      <c r="DF70" s="16">
        <v>40.148370344975547</v>
      </c>
    </row>
    <row r="71" spans="1:110" x14ac:dyDescent="0.25">
      <c r="A71" s="9">
        <f t="shared" si="4"/>
        <v>1904</v>
      </c>
      <c r="C71" s="3">
        <v>81.199999999999989</v>
      </c>
      <c r="D71" s="3"/>
      <c r="E71" s="3"/>
      <c r="F71" s="3"/>
      <c r="G71" s="3">
        <f>2240*0.0297619047619048</f>
        <v>66.666666666666742</v>
      </c>
      <c r="H71" s="3">
        <f>2240*0.0225285947712418</f>
        <v>50.46405228758163</v>
      </c>
      <c r="I71" s="3"/>
      <c r="J71" s="3">
        <f>2240*0.0178571428571429</f>
        <v>40.000000000000099</v>
      </c>
      <c r="L71" s="3"/>
      <c r="M71" s="3"/>
      <c r="N71" s="3"/>
      <c r="O71" s="3"/>
      <c r="P71" s="3">
        <v>68.590912462908008</v>
      </c>
      <c r="Q71" s="3"/>
      <c r="R71" s="3"/>
      <c r="S71" s="3"/>
      <c r="T71" s="3">
        <f>2240*0.0227220630372493</f>
        <v>50.897421203438434</v>
      </c>
      <c r="U71" s="3"/>
      <c r="V71" s="3"/>
      <c r="W71" s="3">
        <v>40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>
        <v>40</v>
      </c>
      <c r="AT71" s="3"/>
      <c r="AU71" s="3"/>
      <c r="AV71" s="3"/>
      <c r="AW71" s="3"/>
      <c r="AX71" s="3"/>
      <c r="AY71" s="3">
        <v>39.412017167381975</v>
      </c>
      <c r="AZ71" s="3"/>
      <c r="BA71" s="3"/>
      <c r="BB71" s="3">
        <v>61.626168224299015</v>
      </c>
      <c r="BC71" s="3"/>
      <c r="BD71" s="3"/>
      <c r="BE71" s="3"/>
      <c r="BF71" s="3"/>
      <c r="BG71" s="3"/>
      <c r="BH71" s="3"/>
      <c r="BI71" s="3"/>
      <c r="BJ71" s="3">
        <f>2240*0.0235702438078109</f>
        <v>52.797346129496411</v>
      </c>
      <c r="BK71" s="3">
        <f>2240*0.0175139795825256</f>
        <v>39.231314264857346</v>
      </c>
      <c r="BL71" s="3"/>
      <c r="BM71" s="3">
        <f>20*3.36713833326652</f>
        <v>67.342766665330402</v>
      </c>
      <c r="BN71" s="3">
        <f>20*1.98207735236702</f>
        <v>39.641547047340403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>
        <v>26.666666666666664</v>
      </c>
      <c r="CO71" s="3">
        <v>41.299638989169679</v>
      </c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>
        <v>47.560027117180624</v>
      </c>
      <c r="DC71" s="3">
        <v>26.609436183975038</v>
      </c>
      <c r="DD71" s="3">
        <v>40.650640261542357</v>
      </c>
      <c r="DE71" s="3">
        <v>61.890335048153631</v>
      </c>
      <c r="DF71" s="16">
        <v>43.050137164557007</v>
      </c>
    </row>
    <row r="72" spans="1:110" x14ac:dyDescent="0.25">
      <c r="A72" s="9">
        <f t="shared" ref="A72:A103" si="5">A71+1</f>
        <v>1905</v>
      </c>
      <c r="C72" s="3">
        <v>86.706666666666663</v>
      </c>
      <c r="D72" s="3"/>
      <c r="E72" s="3"/>
      <c r="F72" s="3"/>
      <c r="G72" s="3">
        <f>2240*0.0312179385127008</f>
        <v>69.928182268449788</v>
      </c>
      <c r="H72" s="3">
        <f>2240*0.0232843137254902</f>
        <v>52.156862745098046</v>
      </c>
      <c r="I72" s="3"/>
      <c r="J72" s="3">
        <f>2240*0.0186204645396964</f>
        <v>41.70984056891993</v>
      </c>
      <c r="L72" s="3"/>
      <c r="M72" s="3"/>
      <c r="N72" s="3"/>
      <c r="O72" s="3"/>
      <c r="P72" s="3">
        <v>75.850954861111106</v>
      </c>
      <c r="Q72" s="3"/>
      <c r="R72" s="3"/>
      <c r="S72" s="3"/>
      <c r="T72" s="3">
        <f>2240*0.0164641885766092</f>
        <v>36.879782411604609</v>
      </c>
      <c r="U72" s="3"/>
      <c r="V72" s="3"/>
      <c r="W72" s="3">
        <v>42.2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>
        <v>40</v>
      </c>
      <c r="AT72" s="3"/>
      <c r="AU72" s="3"/>
      <c r="AV72" s="3"/>
      <c r="AW72" s="3"/>
      <c r="AX72" s="3"/>
      <c r="AY72" s="3">
        <v>32.578486554096308</v>
      </c>
      <c r="AZ72" s="3"/>
      <c r="BA72" s="3"/>
      <c r="BB72" s="3">
        <v>62.630331753554444</v>
      </c>
      <c r="BC72" s="3"/>
      <c r="BD72" s="3"/>
      <c r="BE72" s="3"/>
      <c r="BF72" s="3"/>
      <c r="BG72" s="3"/>
      <c r="BH72" s="3"/>
      <c r="BI72" s="3"/>
      <c r="BJ72" s="3">
        <f>2240*0.0232299346223397</f>
        <v>52.035053554040928</v>
      </c>
      <c r="BK72" s="3">
        <f>2240*0.0219961769368892</f>
        <v>49.271436338631808</v>
      </c>
      <c r="BL72" s="3"/>
      <c r="BM72" s="3">
        <f>20*2.16456808199122</f>
        <v>43.291361639824402</v>
      </c>
      <c r="BN72" s="3">
        <f>20*1.87040095291492</f>
        <v>37.4080190582984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>
        <v>28.402366863905325</v>
      </c>
      <c r="CO72" s="3">
        <v>38.400900900900908</v>
      </c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>
        <v>47.995753952101637</v>
      </c>
      <c r="DC72" s="3"/>
      <c r="DD72" s="3">
        <v>48.51456822688462</v>
      </c>
      <c r="DE72" s="3">
        <v>73.237119765317658</v>
      </c>
      <c r="DF72" s="16">
        <v>60.875843996101139</v>
      </c>
    </row>
    <row r="73" spans="1:110" x14ac:dyDescent="0.25">
      <c r="A73" s="9">
        <f t="shared" si="5"/>
        <v>1906</v>
      </c>
      <c r="C73" s="3">
        <v>95.106666666666669</v>
      </c>
      <c r="D73" s="3"/>
      <c r="E73" s="3"/>
      <c r="F73" s="3"/>
      <c r="G73" s="3">
        <f>2240*0.0325997826516499</f>
        <v>73.02351313969578</v>
      </c>
      <c r="H73" s="3">
        <f>2240*0.028921568627451</f>
        <v>64.784313725490236</v>
      </c>
      <c r="I73" s="3"/>
      <c r="J73" s="3">
        <f>2240*0.0187499400656401</f>
        <v>41.999865747033823</v>
      </c>
      <c r="L73" s="3"/>
      <c r="M73" s="3"/>
      <c r="N73" s="3"/>
      <c r="O73" s="3"/>
      <c r="P73" s="3">
        <v>56.868470149253731</v>
      </c>
      <c r="Q73" s="3"/>
      <c r="R73" s="3"/>
      <c r="S73" s="3"/>
      <c r="T73" s="3">
        <f>2240*0.0199216192082548</f>
        <v>44.62442702649075</v>
      </c>
      <c r="U73" s="3"/>
      <c r="V73" s="3"/>
      <c r="W73" s="3">
        <v>50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>
        <v>38.095238095238095</v>
      </c>
      <c r="AT73" s="3"/>
      <c r="AU73" s="3"/>
      <c r="AV73" s="3"/>
      <c r="AW73" s="3"/>
      <c r="AX73" s="3"/>
      <c r="AY73" s="3">
        <v>23.272964169381108</v>
      </c>
      <c r="AZ73" s="3"/>
      <c r="BA73" s="3"/>
      <c r="BB73" s="3">
        <v>62.572595281306668</v>
      </c>
      <c r="BC73" s="3"/>
      <c r="BD73" s="3"/>
      <c r="BE73" s="3"/>
      <c r="BF73" s="3"/>
      <c r="BG73" s="3"/>
      <c r="BH73" s="3"/>
      <c r="BI73" s="3"/>
      <c r="BJ73" s="3">
        <f>2240*0.0215231449489698</f>
        <v>48.211844685692348</v>
      </c>
      <c r="BK73" s="3">
        <f>2240*0.022989318237081</f>
        <v>51.496072851061435</v>
      </c>
      <c r="BL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>
        <f>2240*0.0149919379738585</f>
        <v>33.58194106144304</v>
      </c>
      <c r="CA73" s="3"/>
      <c r="CB73" s="3"/>
      <c r="CC73" s="3"/>
      <c r="CD73" s="3"/>
      <c r="CE73" s="3"/>
      <c r="CF73" s="3">
        <f>2240*0.0202421914907606</f>
        <v>45.342508939303741</v>
      </c>
      <c r="CG73" s="3"/>
      <c r="CH73" s="3"/>
      <c r="CI73" s="3"/>
      <c r="CJ73" s="3"/>
      <c r="CK73" s="3"/>
      <c r="CL73" s="3"/>
      <c r="CM73" s="3"/>
      <c r="CN73" s="3">
        <v>62.666666666666671</v>
      </c>
      <c r="CO73" s="3">
        <v>56.000000000000007</v>
      </c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>
        <v>47.161073149294076</v>
      </c>
      <c r="DC73" s="3"/>
      <c r="DD73" s="3">
        <v>44.346617127004151</v>
      </c>
      <c r="DE73" s="3">
        <v>74.279723242400649</v>
      </c>
      <c r="DF73" s="16">
        <v>59.3131701847024</v>
      </c>
    </row>
    <row r="74" spans="1:110" x14ac:dyDescent="0.25">
      <c r="A74" s="9">
        <f t="shared" si="5"/>
        <v>1907</v>
      </c>
      <c r="C74" s="3">
        <v>96.413333333333327</v>
      </c>
      <c r="D74" s="3"/>
      <c r="E74" s="3"/>
      <c r="F74" s="3"/>
      <c r="G74" s="3">
        <f>2240*0.0297619047619048</f>
        <v>66.666666666666742</v>
      </c>
      <c r="H74" s="3">
        <f>2240*0.023457908496732</f>
        <v>52.545715032679681</v>
      </c>
      <c r="I74" s="3"/>
      <c r="J74" s="3">
        <f>2240*0.0193452380952381</f>
        <v>43.333333333333343</v>
      </c>
      <c r="L74" s="3"/>
      <c r="M74" s="3"/>
      <c r="N74" s="3"/>
      <c r="O74" s="3"/>
      <c r="P74" s="3">
        <v>56.903177167474418</v>
      </c>
      <c r="Q74" s="3"/>
      <c r="R74" s="3"/>
      <c r="S74" s="3"/>
      <c r="T74" s="3">
        <f>2240*0.0228377294389657</f>
        <v>51.156513943283173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>
        <v>165.07936507936509</v>
      </c>
      <c r="AP74" s="3">
        <v>42.25352112676056</v>
      </c>
      <c r="AQ74" s="3"/>
      <c r="AR74" s="3"/>
      <c r="AS74" s="3"/>
      <c r="AT74" s="3"/>
      <c r="AU74" s="3"/>
      <c r="AV74" s="3"/>
      <c r="AW74" s="3"/>
      <c r="AX74" s="3"/>
      <c r="AY74" s="3">
        <v>30.116625310173696</v>
      </c>
      <c r="AZ74" s="3"/>
      <c r="BA74" s="3"/>
      <c r="BB74" s="3">
        <v>62.35795454545449</v>
      </c>
      <c r="BC74" s="3"/>
      <c r="BD74" s="3"/>
      <c r="BE74" s="3"/>
      <c r="BF74" s="3"/>
      <c r="BG74" s="3"/>
      <c r="BH74" s="3"/>
      <c r="BI74" s="3"/>
      <c r="BJ74" s="3">
        <f>2240*0.0216557000881379</f>
        <v>48.508768197428893</v>
      </c>
      <c r="BK74" s="3">
        <f>2240*0.0260568672700312</f>
        <v>58.367382684869888</v>
      </c>
      <c r="BL74" s="3"/>
      <c r="BM74" s="3">
        <f>20*2.9375</f>
        <v>58.75</v>
      </c>
      <c r="BN74" s="3">
        <f>20*2.38758801375471</f>
        <v>47.751760275094199</v>
      </c>
      <c r="BO74" s="3"/>
      <c r="BP74" s="3"/>
      <c r="BQ74" s="3">
        <f>2240*0.019047619047619</f>
        <v>42.666666666666565</v>
      </c>
      <c r="BR74" s="3"/>
      <c r="BS74" s="3"/>
      <c r="BT74" s="3"/>
      <c r="BU74" s="3"/>
      <c r="BV74" s="3"/>
      <c r="BW74" s="3"/>
      <c r="BX74" s="3"/>
      <c r="BY74" s="3"/>
      <c r="BZ74" s="3">
        <f>2240*0.0159535689601303</f>
        <v>35.735994470691871</v>
      </c>
      <c r="CA74" s="3"/>
      <c r="CB74" s="3"/>
      <c r="CC74" s="3"/>
      <c r="CD74" s="3"/>
      <c r="CE74" s="3"/>
      <c r="CF74" s="3">
        <f>2240*0.0177767027418809</f>
        <v>39.819814141813211</v>
      </c>
      <c r="CG74" s="3"/>
      <c r="CH74" s="3"/>
      <c r="CI74" s="3"/>
      <c r="CJ74" s="3"/>
      <c r="CK74" s="3"/>
      <c r="CL74" s="3"/>
      <c r="CM74" s="3"/>
      <c r="CN74" s="3">
        <v>74.421199442119942</v>
      </c>
      <c r="CO74" s="3"/>
      <c r="CP74" s="3"/>
      <c r="CQ74" s="3"/>
      <c r="CR74" s="3"/>
      <c r="CS74" s="3"/>
      <c r="CT74" s="3">
        <f>20*1.33098591549296</f>
        <v>26.619718309859199</v>
      </c>
      <c r="CU74" s="3"/>
      <c r="CV74" s="3"/>
      <c r="CW74" s="3">
        <f>20*0.903225806451613</f>
        <v>18.06451612903226</v>
      </c>
      <c r="CX74" s="3">
        <f>20*10.0434782608696</f>
        <v>200.86956521739199</v>
      </c>
      <c r="CY74" s="3"/>
      <c r="CZ74" s="3"/>
      <c r="DA74" s="3"/>
      <c r="DB74" s="3">
        <v>52.666437394670531</v>
      </c>
      <c r="DC74" s="3"/>
      <c r="DD74" s="3">
        <v>43.683322347829062</v>
      </c>
      <c r="DE74" s="3">
        <v>78.929071025163253</v>
      </c>
      <c r="DF74" s="16">
        <v>61.306196686496158</v>
      </c>
    </row>
    <row r="75" spans="1:110" x14ac:dyDescent="0.25">
      <c r="A75" s="9">
        <f t="shared" si="5"/>
        <v>1908</v>
      </c>
      <c r="C75" s="3">
        <v>87.173333333333332</v>
      </c>
      <c r="D75" s="3"/>
      <c r="E75" s="3"/>
      <c r="F75" s="3"/>
      <c r="G75" s="3">
        <f>2240*0.0260418286626647</f>
        <v>58.333696204368927</v>
      </c>
      <c r="H75" s="3">
        <f>2240*0.0194852941176471</f>
        <v>43.647058823529505</v>
      </c>
      <c r="I75" s="3"/>
      <c r="J75" s="3">
        <f>2240*0.0208333333333333</f>
        <v>46.666666666666593</v>
      </c>
      <c r="L75" s="3"/>
      <c r="M75" s="3"/>
      <c r="N75" s="3"/>
      <c r="O75" s="3"/>
      <c r="P75" s="3">
        <v>45.990528080469403</v>
      </c>
      <c r="Q75" s="3"/>
      <c r="R75" s="3"/>
      <c r="S75" s="3"/>
      <c r="T75" s="3">
        <f>2240*0.0207474226804124</f>
        <v>46.474226804123781</v>
      </c>
      <c r="U75" s="3"/>
      <c r="V75" s="3"/>
      <c r="W75" s="3">
        <v>50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>
        <v>6.8016528925619832</v>
      </c>
      <c r="AZ75" s="3"/>
      <c r="BA75" s="3"/>
      <c r="BB75" s="3">
        <v>80.713266761768821</v>
      </c>
      <c r="BC75" s="3"/>
      <c r="BD75" s="3"/>
      <c r="BE75" s="3"/>
      <c r="BF75" s="3"/>
      <c r="BG75" s="3"/>
      <c r="BH75" s="3"/>
      <c r="BI75" s="3"/>
      <c r="BJ75" s="3">
        <f>2240*0.0176375847129504</f>
        <v>39.5081897570089</v>
      </c>
      <c r="BK75" s="3">
        <f>2240*0.0204803076603427</f>
        <v>45.875889159167649</v>
      </c>
      <c r="BL75" s="3"/>
      <c r="BM75" s="3">
        <f>20*3.225</f>
        <v>64.5</v>
      </c>
      <c r="BN75" s="3">
        <f>20*2.01419800460476</f>
        <v>40.283960092095199</v>
      </c>
      <c r="BO75" s="3"/>
      <c r="BP75" s="3"/>
      <c r="BQ75" s="3">
        <f>2240*0.0142857142857143</f>
        <v>32.000000000000028</v>
      </c>
      <c r="BR75" s="3"/>
      <c r="BS75" s="3"/>
      <c r="BT75" s="3"/>
      <c r="BU75" s="3"/>
      <c r="BV75" s="3"/>
      <c r="BW75" s="3"/>
      <c r="BX75" s="3"/>
      <c r="BY75" s="3"/>
      <c r="BZ75" s="3">
        <f>2240*0.0137404519854341</f>
        <v>30.778612447372382</v>
      </c>
      <c r="CA75" s="3"/>
      <c r="CB75" s="3"/>
      <c r="CC75" s="3"/>
      <c r="CD75" s="3"/>
      <c r="CE75" s="3"/>
      <c r="CF75" s="3">
        <f>2240*0.0131931163315858</f>
        <v>29.552580582752192</v>
      </c>
      <c r="CG75" s="3"/>
      <c r="CH75" s="3"/>
      <c r="CI75" s="3"/>
      <c r="CJ75" s="3"/>
      <c r="CK75" s="3"/>
      <c r="CL75" s="3"/>
      <c r="CM75" s="3"/>
      <c r="CN75" s="3">
        <v>80</v>
      </c>
      <c r="CO75" s="3"/>
      <c r="CP75" s="3"/>
      <c r="CQ75" s="3"/>
      <c r="CR75" s="3"/>
      <c r="CS75" s="3"/>
      <c r="CT75" s="3">
        <f>20*1.61507936507937</f>
        <v>32.301587301587404</v>
      </c>
      <c r="CU75" s="3"/>
      <c r="CV75" s="3"/>
      <c r="CW75" s="3">
        <f>20*1.69230769230769</f>
        <v>33.846153846153804</v>
      </c>
      <c r="CX75" s="3"/>
      <c r="CY75" s="3"/>
      <c r="CZ75" s="3"/>
      <c r="DA75" s="3"/>
      <c r="DB75" s="3">
        <v>57.61245526701336</v>
      </c>
      <c r="DC75" s="3"/>
      <c r="DD75" s="3">
        <v>33.523938004838847</v>
      </c>
      <c r="DE75" s="3">
        <v>78.977043384617019</v>
      </c>
      <c r="DF75" s="16">
        <v>56.25049069472793</v>
      </c>
    </row>
    <row r="76" spans="1:110" x14ac:dyDescent="0.25">
      <c r="A76" s="9">
        <f t="shared" si="5"/>
        <v>1909</v>
      </c>
      <c r="C76" s="3">
        <v>88.946666666666658</v>
      </c>
      <c r="D76" s="3"/>
      <c r="E76" s="3"/>
      <c r="F76" s="3"/>
      <c r="G76" s="3">
        <f>2240*0.0327380952380952</f>
        <v>73.333333333333243</v>
      </c>
      <c r="H76" s="3">
        <f>2240*0.0196078431372549</f>
        <v>43.921568627450981</v>
      </c>
      <c r="I76" s="3"/>
      <c r="J76" s="3">
        <f>2240*0.0208333333333333</f>
        <v>46.666666666666593</v>
      </c>
      <c r="L76" s="3"/>
      <c r="M76" s="3"/>
      <c r="N76" s="3"/>
      <c r="O76" s="3"/>
      <c r="P76" s="3">
        <v>37.069817578772799</v>
      </c>
      <c r="Q76" s="3"/>
      <c r="R76" s="3"/>
      <c r="S76" s="3"/>
      <c r="T76" s="3">
        <f>2240*0.037580015912376</f>
        <v>84.179235643722251</v>
      </c>
      <c r="U76" s="3"/>
      <c r="V76" s="3"/>
      <c r="W76" s="3">
        <v>48</v>
      </c>
      <c r="X76" s="3"/>
      <c r="Y76" s="3"/>
      <c r="Z76" s="3">
        <v>93.476599999999991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P76" s="3"/>
      <c r="AQ76" s="3"/>
      <c r="AR76" s="3"/>
      <c r="AS76" s="3">
        <v>39.852941176470587</v>
      </c>
      <c r="AT76" s="3"/>
      <c r="AU76" s="3"/>
      <c r="AV76" s="3"/>
      <c r="AW76" s="3"/>
      <c r="AX76" s="3"/>
      <c r="AY76" s="3"/>
      <c r="AZ76" s="3"/>
      <c r="BA76" s="3"/>
      <c r="BB76" s="3">
        <v>99.659781287970745</v>
      </c>
      <c r="BC76" s="3"/>
      <c r="BD76" s="3"/>
      <c r="BE76" s="3"/>
      <c r="BF76" s="3"/>
      <c r="BG76" s="3"/>
      <c r="BH76" s="3"/>
      <c r="BI76" s="3"/>
      <c r="BJ76" s="3">
        <f>2240*0.020072758629258</f>
        <v>44.962979329537916</v>
      </c>
      <c r="BK76" s="3">
        <f>2240*0.0182650868103287</f>
        <v>40.913794455136291</v>
      </c>
      <c r="BL76" s="3"/>
      <c r="BM76" s="3"/>
      <c r="BN76" s="3">
        <f>20*1.99683830171635</f>
        <v>39.936766034327</v>
      </c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>
        <f>2240*0.0225357773407783</f>
        <v>50.480141243343397</v>
      </c>
      <c r="CA76" s="3"/>
      <c r="CB76" s="3"/>
      <c r="CC76" s="3"/>
      <c r="CD76" s="3"/>
      <c r="CE76" s="3"/>
      <c r="CF76" s="3">
        <f>2240*0.017961567933231</f>
        <v>40.233912170437442</v>
      </c>
      <c r="CG76" s="3"/>
      <c r="CH76" s="3"/>
      <c r="CI76" s="3"/>
      <c r="CJ76" s="3"/>
      <c r="CK76" s="3"/>
      <c r="CL76" s="3"/>
      <c r="CM76" s="3"/>
      <c r="CN76" s="3">
        <v>96</v>
      </c>
      <c r="CO76" s="3"/>
      <c r="CP76" s="3"/>
      <c r="CQ76" s="3"/>
      <c r="CR76" s="3"/>
      <c r="CS76" s="3"/>
      <c r="CT76" s="3">
        <f>20*1.34090909090909</f>
        <v>26.818181818181799</v>
      </c>
      <c r="CU76" s="3"/>
      <c r="CV76" s="3"/>
      <c r="CW76" s="3"/>
      <c r="CX76" s="3"/>
      <c r="CY76" s="3"/>
      <c r="CZ76" s="3"/>
      <c r="DA76" s="3"/>
      <c r="DB76" s="3">
        <v>46.397074490023705</v>
      </c>
      <c r="DC76" s="3"/>
      <c r="DD76" s="3">
        <v>35.023071852340145</v>
      </c>
      <c r="DE76" s="3">
        <v>71.754571348455556</v>
      </c>
      <c r="DF76" s="16">
        <v>53.388821600397847</v>
      </c>
    </row>
    <row r="77" spans="1:110" x14ac:dyDescent="0.25">
      <c r="A77" s="9">
        <f t="shared" si="5"/>
        <v>1910</v>
      </c>
      <c r="C77" s="3">
        <v>95.013333333333335</v>
      </c>
      <c r="D77" s="3"/>
      <c r="E77" s="3"/>
      <c r="F77" s="3"/>
      <c r="G77" s="3">
        <f>2240*0.0334814597074402</f>
        <v>74.998469744666053</v>
      </c>
      <c r="H77" s="3">
        <f>2240*0.0260110294117647</f>
        <v>58.264705882352928</v>
      </c>
      <c r="I77" s="3"/>
      <c r="J77" s="3">
        <f>2240*0.0208407280036494</f>
        <v>46.683230728174657</v>
      </c>
      <c r="L77" s="3"/>
      <c r="M77" s="3"/>
      <c r="N77" s="3"/>
      <c r="O77" s="3"/>
      <c r="P77" s="3">
        <v>54.394595959595954</v>
      </c>
      <c r="Q77" s="3"/>
      <c r="R77" s="3"/>
      <c r="S77" s="3"/>
      <c r="T77" s="3">
        <f>2240*0.0140650959949893</f>
        <v>31.505815028776034</v>
      </c>
      <c r="U77" s="3"/>
      <c r="V77" s="3"/>
      <c r="W77" s="3">
        <v>48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>
        <v>113.63636363636364</v>
      </c>
      <c r="AP77" s="3">
        <f>2240*0.025</f>
        <v>56</v>
      </c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>
        <v>99.396396396396312</v>
      </c>
      <c r="BC77" s="3"/>
      <c r="BD77" s="3"/>
      <c r="BE77" s="3"/>
      <c r="BF77" s="3"/>
      <c r="BG77" s="3"/>
      <c r="BH77" s="3"/>
      <c r="BI77" s="3"/>
      <c r="BJ77" s="3">
        <f>2240*0.0199110675421213</f>
        <v>44.600791294351716</v>
      </c>
      <c r="BK77" s="3">
        <f>2240*0.0210506611848591</f>
        <v>47.153481054084381</v>
      </c>
      <c r="BL77" s="3"/>
      <c r="BM77" s="3"/>
      <c r="BN77" s="3">
        <f>20*1.89770433905146</f>
        <v>37.954086781029204</v>
      </c>
      <c r="BO77" s="3"/>
      <c r="BP77" s="3"/>
      <c r="BQ77" s="3"/>
      <c r="BR77" s="3"/>
      <c r="BS77" s="3"/>
      <c r="BT77" s="3">
        <f>2240*0.0120030007501875</f>
        <v>26.886721680420003</v>
      </c>
      <c r="BU77" s="3"/>
      <c r="BV77" s="3"/>
      <c r="BW77" s="3"/>
      <c r="BX77" s="3"/>
      <c r="BY77" s="3"/>
      <c r="BZ77" s="3">
        <f>2240*0.019546149393728</f>
        <v>43.783374641950722</v>
      </c>
      <c r="CA77" s="3"/>
      <c r="CB77" s="3"/>
      <c r="CC77" s="3"/>
      <c r="CD77" s="3"/>
      <c r="CE77" s="3"/>
      <c r="CF77" s="3">
        <f>2240*0.0216484237188475</f>
        <v>48.492469130218396</v>
      </c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>
        <f>20*1.5375</f>
        <v>30.75</v>
      </c>
      <c r="CU77" s="3"/>
      <c r="CV77" s="3"/>
      <c r="CW77" s="3">
        <f>20*2</f>
        <v>40</v>
      </c>
      <c r="CX77" s="3">
        <f>20*0.411764705882353</f>
        <v>8.2352941176470598</v>
      </c>
      <c r="CY77" s="3"/>
      <c r="CZ77" s="3"/>
      <c r="DA77" s="3"/>
      <c r="DB77" s="3">
        <v>62.513037244023423</v>
      </c>
      <c r="DC77" s="3"/>
      <c r="DD77" s="3">
        <v>34.921367271306622</v>
      </c>
      <c r="DE77" s="3">
        <v>71.332173959089644</v>
      </c>
      <c r="DF77" s="16">
        <v>53.126770615198133</v>
      </c>
    </row>
    <row r="78" spans="1:110" x14ac:dyDescent="0.25">
      <c r="A78" s="9">
        <f t="shared" si="5"/>
        <v>1911</v>
      </c>
      <c r="C78" s="3">
        <v>92.960000000000008</v>
      </c>
      <c r="D78" s="3"/>
      <c r="E78" s="3"/>
      <c r="F78" s="3"/>
      <c r="G78" s="3">
        <f>2240*0.0297619047619048</f>
        <v>66.666666666666742</v>
      </c>
      <c r="H78" s="3">
        <f>2240*0.0242647058823529</f>
        <v>54.352941176470495</v>
      </c>
      <c r="I78" s="3"/>
      <c r="J78" s="3">
        <f>2240*0.0208333333333333</f>
        <v>46.666666666666593</v>
      </c>
      <c r="L78" s="3"/>
      <c r="M78" s="3"/>
      <c r="N78" s="3"/>
      <c r="O78" s="3"/>
      <c r="P78" s="3">
        <v>54.297157475838539</v>
      </c>
      <c r="Q78" s="3"/>
      <c r="R78" s="3"/>
      <c r="S78" s="3"/>
      <c r="T78" s="3">
        <f>2240*0.0189732142857143</f>
        <v>42.500000000000036</v>
      </c>
      <c r="U78" s="3"/>
      <c r="V78" s="3"/>
      <c r="W78" s="3">
        <v>60.952380952380949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>
        <v>55.551500109497042</v>
      </c>
      <c r="AN78" s="3"/>
      <c r="AO78" s="3"/>
      <c r="AP78" s="3">
        <f>2240*0.0260416666666667</f>
        <v>58.333333333333407</v>
      </c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>
        <v>106.06332378223496</v>
      </c>
      <c r="BC78" s="3"/>
      <c r="BD78" s="3"/>
      <c r="BE78" s="3"/>
      <c r="BF78" s="3"/>
      <c r="BG78" s="3"/>
      <c r="BH78" s="3"/>
      <c r="BI78" s="3"/>
      <c r="BJ78" s="3">
        <f>2240*0.0149497395598165</f>
        <v>33.487416613988962</v>
      </c>
      <c r="BK78" s="3">
        <f>2240*0.0251208031457848</f>
        <v>56.270599046557955</v>
      </c>
      <c r="BL78" s="3"/>
      <c r="BM78" s="3"/>
      <c r="BN78" s="3">
        <f>20*2.3005711565921</f>
        <v>46.011423131841994</v>
      </c>
      <c r="BO78" s="3"/>
      <c r="BP78" s="3"/>
      <c r="BQ78" s="3"/>
      <c r="BR78" s="3"/>
      <c r="BS78" s="3"/>
      <c r="BT78" s="3">
        <f>2240*0.0225056264066016</f>
        <v>50.412603150787582</v>
      </c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>
        <f>20*1.9125</f>
        <v>38.25</v>
      </c>
      <c r="CU78" s="3"/>
      <c r="CV78" s="3"/>
      <c r="CW78" s="3">
        <f>20*1.01075268817204</f>
        <v>20.2150537634408</v>
      </c>
      <c r="CX78" s="3">
        <f>20*0.980392156862745</f>
        <v>19.6078431372549</v>
      </c>
      <c r="CY78" s="3"/>
      <c r="CZ78" s="3"/>
      <c r="DA78" s="3"/>
      <c r="DB78" s="3">
        <v>76.609400251891984</v>
      </c>
      <c r="DC78" s="3"/>
      <c r="DD78" s="3">
        <v>38.633080407962602</v>
      </c>
      <c r="DE78" s="3">
        <v>72.643382028270295</v>
      </c>
      <c r="DF78" s="16">
        <v>55.638231218116445</v>
      </c>
    </row>
    <row r="79" spans="1:110" x14ac:dyDescent="0.25">
      <c r="A79" s="9">
        <f t="shared" si="5"/>
        <v>1912</v>
      </c>
      <c r="C79" s="3">
        <v>92.306666666666672</v>
      </c>
      <c r="D79" s="3"/>
      <c r="E79" s="3"/>
      <c r="F79" s="3"/>
      <c r="G79" s="3">
        <f>2240*0.0372003262364319</f>
        <v>83.328730769607461</v>
      </c>
      <c r="H79" s="3">
        <f>2240*0.0262867647058823</f>
        <v>58.882352941176357</v>
      </c>
      <c r="I79" s="3"/>
      <c r="J79" s="3">
        <f>2240*0.0208333333333333</f>
        <v>46.666666666666593</v>
      </c>
      <c r="L79" s="3"/>
      <c r="M79" s="3"/>
      <c r="N79" s="3"/>
      <c r="O79" s="3"/>
      <c r="P79" s="3">
        <v>60.585581622678397</v>
      </c>
      <c r="Q79" s="3"/>
      <c r="R79" s="3"/>
      <c r="S79" s="3"/>
      <c r="T79" s="3">
        <f>2240*0.00669642857142857</f>
        <v>14.999999999999996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>
        <v>105.69272727272728</v>
      </c>
      <c r="BC79" s="3"/>
      <c r="BD79" s="3"/>
      <c r="BE79" s="3"/>
      <c r="BF79" s="3"/>
      <c r="BG79" s="3"/>
      <c r="BH79" s="3"/>
      <c r="BI79" s="3"/>
      <c r="BJ79" s="3">
        <f>2240*0.0240200272522737</f>
        <v>53.804861045093091</v>
      </c>
      <c r="BK79" s="3">
        <f>2240*0.0284220479650993</f>
        <v>63.665387441822432</v>
      </c>
      <c r="BL79" s="3"/>
      <c r="BM79" s="3"/>
      <c r="BN79" s="3">
        <f>20*1.96096522356281</f>
        <v>39.219304471256194</v>
      </c>
      <c r="BO79" s="3"/>
      <c r="BP79" s="3"/>
      <c r="BQ79" s="3"/>
      <c r="BR79" s="3"/>
      <c r="BS79" s="3"/>
      <c r="BT79" s="3">
        <f>2240*0.027435430286143</f>
        <v>61.455363840960317</v>
      </c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>
        <f>20*1.2125</f>
        <v>24.25</v>
      </c>
      <c r="CU79" s="3"/>
      <c r="CV79" s="3"/>
      <c r="CW79" s="3"/>
      <c r="CX79" s="3"/>
      <c r="CY79" s="3"/>
      <c r="CZ79" s="3"/>
      <c r="DA79" s="3"/>
      <c r="DB79" s="3">
        <v>74.169329318845655</v>
      </c>
      <c r="DC79" s="3"/>
      <c r="DD79" s="3">
        <v>39.718459608218602</v>
      </c>
      <c r="DE79" s="3">
        <v>73.728090144083524</v>
      </c>
      <c r="DF79" s="16">
        <v>56.723274876151066</v>
      </c>
    </row>
    <row r="80" spans="1:110" x14ac:dyDescent="0.25">
      <c r="A80" s="9">
        <f t="shared" si="5"/>
        <v>1913</v>
      </c>
      <c r="C80" s="3">
        <v>95.759999999999991</v>
      </c>
      <c r="D80" s="3"/>
      <c r="E80" s="3"/>
      <c r="F80" s="3"/>
      <c r="G80" s="3"/>
      <c r="H80" s="3"/>
      <c r="I80" s="3"/>
      <c r="J80" s="3">
        <f>2240*0.0208333333333333</f>
        <v>46.666666666666593</v>
      </c>
      <c r="L80" s="3"/>
      <c r="M80" s="3"/>
      <c r="N80" s="3"/>
      <c r="O80" s="3"/>
      <c r="P80" s="3">
        <v>61.619676848162896</v>
      </c>
      <c r="Q80" s="3"/>
      <c r="R80" s="3"/>
      <c r="S80" s="3"/>
      <c r="T80" s="3">
        <f>2240*0.00446428571428571</f>
        <v>9.9999999999999893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>
        <v>104.78571428571429</v>
      </c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>
        <v>80.938289886006132</v>
      </c>
      <c r="DC80" s="3"/>
      <c r="DD80" s="3">
        <v>41.481415749698456</v>
      </c>
      <c r="DE80" s="3">
        <v>73.642078600294894</v>
      </c>
      <c r="DF80" s="16">
        <v>57.561747174996675</v>
      </c>
    </row>
    <row r="81" spans="1:110" x14ac:dyDescent="0.25">
      <c r="A81" s="9">
        <f t="shared" si="5"/>
        <v>1914</v>
      </c>
      <c r="C81" s="3">
        <v>98.093333333333334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>
        <v>79.392905693469444</v>
      </c>
      <c r="DC81" s="3"/>
      <c r="DD81" s="3">
        <v>29.195121951219512</v>
      </c>
      <c r="DE81" s="3">
        <v>76.448272283540959</v>
      </c>
      <c r="DF81" s="16">
        <v>52.821697117380239</v>
      </c>
    </row>
    <row r="82" spans="1:110" x14ac:dyDescent="0.25">
      <c r="A82" s="9">
        <f t="shared" si="5"/>
        <v>1915</v>
      </c>
      <c r="C82" s="3">
        <v>101.64000000000001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>
        <v>74.007921002233502</v>
      </c>
      <c r="DC82" s="3"/>
      <c r="DD82" s="3">
        <v>30.219512195121954</v>
      </c>
      <c r="DE82" s="3">
        <v>79.30277068156947</v>
      </c>
      <c r="DF82" s="16">
        <v>54.76114143834571</v>
      </c>
    </row>
    <row r="83" spans="1:110" x14ac:dyDescent="0.25">
      <c r="A83" s="9">
        <f t="shared" si="5"/>
        <v>1916</v>
      </c>
      <c r="C83" s="3">
        <v>135.89333333333335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>
        <v>73.722990693186929</v>
      </c>
      <c r="DC83" s="3"/>
      <c r="DD83" s="3">
        <v>39.951219512195124</v>
      </c>
      <c r="DE83" s="3">
        <v>87.062763157684273</v>
      </c>
      <c r="DF83" s="16">
        <v>63.506991334939698</v>
      </c>
    </row>
    <row r="84" spans="1:110" x14ac:dyDescent="0.25">
      <c r="A84" s="9">
        <f t="shared" si="5"/>
        <v>1917</v>
      </c>
      <c r="C84" s="3">
        <v>177.89333333333332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>
        <v>91.767428485623512</v>
      </c>
      <c r="DC84" s="3"/>
      <c r="DD84" s="3">
        <v>37.902439024390247</v>
      </c>
      <c r="DE84" s="3">
        <v>117.85048814413481</v>
      </c>
      <c r="DF84" s="16">
        <v>77.876463584262524</v>
      </c>
    </row>
    <row r="85" spans="1:110" x14ac:dyDescent="0.25">
      <c r="A85" s="9">
        <f t="shared" si="5"/>
        <v>1918</v>
      </c>
      <c r="C85" s="3">
        <v>196.83999999999997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>
        <v>71.998313134578439</v>
      </c>
      <c r="DC85" s="3"/>
      <c r="DD85" s="3">
        <v>38.41463414634147</v>
      </c>
      <c r="DE85" s="3">
        <v>142.84480533149375</v>
      </c>
      <c r="DF85" s="16">
        <v>90.629719738917601</v>
      </c>
    </row>
    <row r="86" spans="1:110" x14ac:dyDescent="0.25">
      <c r="A86" s="9">
        <f t="shared" si="5"/>
        <v>1919</v>
      </c>
      <c r="C86" s="3">
        <v>208.13333333333335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>
        <v>57.143573540845757</v>
      </c>
      <c r="DC86" s="3"/>
      <c r="DD86" s="3">
        <v>38.926829268292686</v>
      </c>
      <c r="DE86" s="3">
        <v>169.97539627681539</v>
      </c>
      <c r="DF86" s="16">
        <v>104.45111277255404</v>
      </c>
    </row>
    <row r="87" spans="1:110" x14ac:dyDescent="0.25">
      <c r="A87" s="9">
        <f t="shared" si="5"/>
        <v>1920</v>
      </c>
      <c r="C87" s="3">
        <v>224.84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>
        <v>127.18472358392346</v>
      </c>
      <c r="DC87" s="3"/>
      <c r="DD87" s="3">
        <v>32.780487804878049</v>
      </c>
      <c r="DE87" s="3">
        <v>247.4842021253485</v>
      </c>
      <c r="DF87" s="16">
        <v>140.13234496511328</v>
      </c>
    </row>
    <row r="88" spans="1:110" x14ac:dyDescent="0.25">
      <c r="A88" s="9">
        <f t="shared" si="5"/>
        <v>1921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>
        <v>22.024390243902438</v>
      </c>
      <c r="DE88" s="3"/>
      <c r="DF88" s="16">
        <v>22.024390243902438</v>
      </c>
    </row>
    <row r="89" spans="1:110" x14ac:dyDescent="0.25">
      <c r="A89" s="9">
        <f t="shared" si="5"/>
        <v>1922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>
        <v>23.304878048780488</v>
      </c>
      <c r="DE89" s="3"/>
      <c r="DF89" s="16">
        <v>23.304878048780488</v>
      </c>
    </row>
    <row r="90" spans="1:110" x14ac:dyDescent="0.25">
      <c r="A90" s="9">
        <f t="shared" si="5"/>
        <v>1923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>
        <v>30.987804878048784</v>
      </c>
      <c r="DE90" s="3"/>
      <c r="DF90" s="16">
        <v>30.987804878048784</v>
      </c>
    </row>
    <row r="91" spans="1:110" x14ac:dyDescent="0.25">
      <c r="A91" s="9">
        <f t="shared" si="5"/>
        <v>1924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>
        <v>39.439024390243901</v>
      </c>
      <c r="DE91" s="3"/>
      <c r="DF91" s="16">
        <v>39.439024390243901</v>
      </c>
    </row>
    <row r="92" spans="1:110" x14ac:dyDescent="0.25">
      <c r="A92" s="9">
        <f t="shared" si="5"/>
        <v>1925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>
        <v>47.121951219512198</v>
      </c>
      <c r="DE92" s="3"/>
      <c r="DF92" s="16">
        <v>47.121951219512198</v>
      </c>
    </row>
    <row r="93" spans="1:110" x14ac:dyDescent="0.25">
      <c r="A93" s="9">
        <f t="shared" si="5"/>
        <v>1926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>
        <v>36.878048780487809</v>
      </c>
      <c r="DE93" s="3"/>
      <c r="DF93" s="16">
        <v>36.878048780487809</v>
      </c>
    </row>
    <row r="94" spans="1:110" x14ac:dyDescent="0.25">
      <c r="A94" s="9">
        <f t="shared" si="5"/>
        <v>1927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>
        <v>35.469512195121951</v>
      </c>
      <c r="DE94" s="3"/>
      <c r="DF94" s="16">
        <v>35.469512195121951</v>
      </c>
    </row>
    <row r="95" spans="1:110" x14ac:dyDescent="0.25">
      <c r="A95" s="9">
        <f t="shared" si="5"/>
        <v>1928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>
        <v>35.59756097560976</v>
      </c>
      <c r="DE95" s="3"/>
      <c r="DF95" s="16">
        <v>35.59756097560976</v>
      </c>
    </row>
    <row r="96" spans="1:110" x14ac:dyDescent="0.25">
      <c r="A96" s="9">
        <f t="shared" si="5"/>
        <v>1929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>
        <v>37.134146341463421</v>
      </c>
      <c r="DE96" s="3"/>
      <c r="DF96" s="16">
        <v>37.134146341463421</v>
      </c>
    </row>
    <row r="97" spans="1:110" x14ac:dyDescent="0.25">
      <c r="A97" s="9">
        <f t="shared" si="5"/>
        <v>1930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>
        <v>26.031563845050211</v>
      </c>
      <c r="DE97" s="3"/>
      <c r="DF97" s="16">
        <v>26.031563845050211</v>
      </c>
    </row>
    <row r="98" spans="1:110" x14ac:dyDescent="0.25">
      <c r="A98" s="9">
        <f t="shared" si="5"/>
        <v>1931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>
        <v>14.944045911047343</v>
      </c>
      <c r="DE98" s="3"/>
      <c r="DF98" s="16">
        <v>14.944045911047343</v>
      </c>
    </row>
    <row r="99" spans="1:110" hidden="1" x14ac:dyDescent="0.25">
      <c r="A99" s="9">
        <f t="shared" si="5"/>
        <v>1932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</row>
    <row r="100" spans="1:110" hidden="1" x14ac:dyDescent="0.25">
      <c r="A100" s="9">
        <f t="shared" si="5"/>
        <v>1933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</row>
    <row r="101" spans="1:110" hidden="1" x14ac:dyDescent="0.25">
      <c r="A101" s="9">
        <f t="shared" si="5"/>
        <v>1934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</row>
    <row r="102" spans="1:110" hidden="1" x14ac:dyDescent="0.25">
      <c r="A102" s="9">
        <f t="shared" si="5"/>
        <v>1935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</row>
    <row r="103" spans="1:110" hidden="1" x14ac:dyDescent="0.25">
      <c r="A103" s="9">
        <f t="shared" si="5"/>
        <v>1936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</row>
    <row r="104" spans="1:110" hidden="1" x14ac:dyDescent="0.25">
      <c r="A104" s="9">
        <f t="shared" ref="A104:A135" si="6">A103+1</f>
        <v>1937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</row>
    <row r="105" spans="1:110" hidden="1" x14ac:dyDescent="0.25">
      <c r="A105" s="9">
        <f t="shared" si="6"/>
        <v>1938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</row>
    <row r="106" spans="1:110" hidden="1" x14ac:dyDescent="0.25">
      <c r="A106" s="9">
        <f t="shared" si="6"/>
        <v>1939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</row>
    <row r="107" spans="1:110" hidden="1" x14ac:dyDescent="0.25">
      <c r="A107" s="9">
        <f t="shared" si="6"/>
        <v>1940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</row>
    <row r="108" spans="1:110" hidden="1" x14ac:dyDescent="0.25">
      <c r="A108" s="9">
        <f t="shared" si="6"/>
        <v>1941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</row>
    <row r="109" spans="1:110" hidden="1" x14ac:dyDescent="0.25">
      <c r="A109" s="9">
        <f t="shared" si="6"/>
        <v>1942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</row>
    <row r="110" spans="1:110" hidden="1" x14ac:dyDescent="0.25">
      <c r="A110" s="9">
        <f t="shared" si="6"/>
        <v>1943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</row>
    <row r="111" spans="1:110" hidden="1" x14ac:dyDescent="0.25">
      <c r="A111" s="9">
        <f t="shared" si="6"/>
        <v>1944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</row>
    <row r="112" spans="1:110" hidden="1" x14ac:dyDescent="0.25">
      <c r="A112" s="9">
        <f t="shared" si="6"/>
        <v>1945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</row>
    <row r="113" spans="1:109" hidden="1" x14ac:dyDescent="0.25">
      <c r="A113" s="9">
        <f t="shared" si="6"/>
        <v>1946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</row>
    <row r="114" spans="1:109" hidden="1" x14ac:dyDescent="0.25">
      <c r="A114" s="9">
        <f t="shared" si="6"/>
        <v>1947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</row>
    <row r="115" spans="1:109" hidden="1" x14ac:dyDescent="0.25">
      <c r="A115" s="9">
        <f t="shared" si="6"/>
        <v>1948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</row>
    <row r="116" spans="1:109" hidden="1" x14ac:dyDescent="0.25">
      <c r="A116" s="9">
        <f t="shared" si="6"/>
        <v>1949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</row>
    <row r="117" spans="1:109" hidden="1" x14ac:dyDescent="0.25">
      <c r="A117" s="9">
        <f t="shared" si="6"/>
        <v>1950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</row>
    <row r="118" spans="1:109" hidden="1" x14ac:dyDescent="0.25">
      <c r="A118" s="9">
        <f t="shared" si="6"/>
        <v>1951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</row>
    <row r="119" spans="1:109" hidden="1" x14ac:dyDescent="0.25">
      <c r="A119" s="9">
        <f t="shared" si="6"/>
        <v>1952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</row>
    <row r="120" spans="1:109" hidden="1" x14ac:dyDescent="0.25">
      <c r="A120" s="9">
        <f t="shared" si="6"/>
        <v>1953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</row>
    <row r="121" spans="1:109" hidden="1" x14ac:dyDescent="0.25">
      <c r="A121" s="9">
        <f t="shared" si="6"/>
        <v>1954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</row>
    <row r="122" spans="1:109" hidden="1" x14ac:dyDescent="0.25">
      <c r="A122" s="9">
        <f t="shared" si="6"/>
        <v>1955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</row>
    <row r="123" spans="1:109" hidden="1" x14ac:dyDescent="0.25">
      <c r="A123" s="9">
        <f t="shared" si="6"/>
        <v>1956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</row>
    <row r="124" spans="1:109" hidden="1" x14ac:dyDescent="0.25">
      <c r="A124" s="9">
        <f t="shared" si="6"/>
        <v>1957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</row>
    <row r="125" spans="1:109" hidden="1" x14ac:dyDescent="0.25">
      <c r="A125" s="9">
        <f t="shared" si="6"/>
        <v>1958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</row>
    <row r="126" spans="1:109" hidden="1" x14ac:dyDescent="0.25">
      <c r="A126" s="9">
        <f t="shared" si="6"/>
        <v>1959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</row>
    <row r="127" spans="1:109" hidden="1" x14ac:dyDescent="0.25">
      <c r="A127" s="9">
        <f t="shared" si="6"/>
        <v>1960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</row>
    <row r="128" spans="1:109" hidden="1" x14ac:dyDescent="0.25">
      <c r="A128" s="9">
        <f t="shared" si="6"/>
        <v>1961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</row>
    <row r="129" spans="1:109" hidden="1" x14ac:dyDescent="0.25">
      <c r="A129" s="9">
        <f t="shared" si="6"/>
        <v>1962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</row>
    <row r="130" spans="1:109" hidden="1" x14ac:dyDescent="0.25">
      <c r="A130" s="9">
        <f t="shared" si="6"/>
        <v>1963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</row>
    <row r="131" spans="1:109" hidden="1" x14ac:dyDescent="0.25">
      <c r="A131" s="9">
        <f t="shared" si="6"/>
        <v>1964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</row>
    <row r="132" spans="1:109" hidden="1" x14ac:dyDescent="0.25">
      <c r="A132" s="9">
        <f t="shared" si="6"/>
        <v>1965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</row>
    <row r="133" spans="1:109" hidden="1" x14ac:dyDescent="0.25">
      <c r="A133" s="9">
        <f t="shared" si="6"/>
        <v>1966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</row>
    <row r="134" spans="1:109" hidden="1" x14ac:dyDescent="0.25">
      <c r="A134" s="9">
        <f t="shared" si="6"/>
        <v>1967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</row>
    <row r="135" spans="1:109" hidden="1" x14ac:dyDescent="0.25">
      <c r="A135" s="9">
        <f t="shared" si="6"/>
        <v>1968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</row>
    <row r="136" spans="1:109" hidden="1" x14ac:dyDescent="0.25">
      <c r="A136" s="9">
        <f t="shared" ref="A136:A145" si="7">A135+1</f>
        <v>1969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</row>
    <row r="137" spans="1:109" hidden="1" x14ac:dyDescent="0.25">
      <c r="A137" s="9">
        <f t="shared" si="7"/>
        <v>1970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</row>
    <row r="138" spans="1:109" hidden="1" x14ac:dyDescent="0.25">
      <c r="A138" s="9">
        <f t="shared" si="7"/>
        <v>1971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</row>
    <row r="139" spans="1:109" hidden="1" x14ac:dyDescent="0.25">
      <c r="A139" s="9">
        <f t="shared" si="7"/>
        <v>1972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</row>
    <row r="140" spans="1:109" hidden="1" x14ac:dyDescent="0.25">
      <c r="A140" s="9">
        <f t="shared" si="7"/>
        <v>1973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</row>
    <row r="141" spans="1:109" hidden="1" x14ac:dyDescent="0.25">
      <c r="A141" s="9">
        <f t="shared" si="7"/>
        <v>1974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</row>
    <row r="142" spans="1:109" hidden="1" x14ac:dyDescent="0.25">
      <c r="A142" s="9">
        <f t="shared" si="7"/>
        <v>1975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</row>
    <row r="143" spans="1:109" hidden="1" x14ac:dyDescent="0.25">
      <c r="A143" s="9">
        <f t="shared" si="7"/>
        <v>1976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</row>
    <row r="144" spans="1:109" hidden="1" x14ac:dyDescent="0.25">
      <c r="A144" s="9">
        <f t="shared" si="7"/>
        <v>1977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</row>
    <row r="145" spans="1:109" hidden="1" x14ac:dyDescent="0.25">
      <c r="A145" s="9">
        <f t="shared" si="7"/>
        <v>1978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</row>
    <row r="146" spans="1:109" x14ac:dyDescent="0.2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</row>
    <row r="147" spans="1:109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5"/>
      <c r="T147" t="s">
        <v>51</v>
      </c>
      <c r="U147" t="s">
        <v>51</v>
      </c>
      <c r="V147" s="1" t="s">
        <v>51</v>
      </c>
      <c r="W147" s="1" t="s">
        <v>51</v>
      </c>
      <c r="X147" s="1" t="s">
        <v>51</v>
      </c>
      <c r="Y147" s="1" t="s">
        <v>51</v>
      </c>
      <c r="Z147" s="1" t="s">
        <v>51</v>
      </c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109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5"/>
      <c r="T148" t="s">
        <v>51</v>
      </c>
      <c r="U148" t="s">
        <v>51</v>
      </c>
      <c r="V148" s="1" t="s">
        <v>51</v>
      </c>
      <c r="W148" s="1" t="s">
        <v>51</v>
      </c>
      <c r="X148" s="1" t="s">
        <v>51</v>
      </c>
      <c r="Y148" s="1" t="s">
        <v>51</v>
      </c>
      <c r="Z148" s="1" t="s">
        <v>51</v>
      </c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109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5"/>
      <c r="T149" t="s">
        <v>51</v>
      </c>
      <c r="U149" t="s">
        <v>51</v>
      </c>
      <c r="V149" s="1" t="s">
        <v>51</v>
      </c>
      <c r="W149" s="1" t="s">
        <v>51</v>
      </c>
      <c r="X149" s="1" t="s">
        <v>51</v>
      </c>
      <c r="Y149" s="1" t="s">
        <v>51</v>
      </c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109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5"/>
      <c r="T150" t="s">
        <v>51</v>
      </c>
      <c r="U150" t="s">
        <v>51</v>
      </c>
      <c r="V150" s="1" t="s">
        <v>51</v>
      </c>
      <c r="W150" s="1" t="s">
        <v>51</v>
      </c>
      <c r="X150" s="1" t="s">
        <v>51</v>
      </c>
      <c r="Y150" s="1" t="s">
        <v>51</v>
      </c>
      <c r="Z150" s="1" t="s">
        <v>51</v>
      </c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109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5"/>
      <c r="T151" t="s">
        <v>51</v>
      </c>
      <c r="U151" t="s">
        <v>51</v>
      </c>
      <c r="V151" s="1" t="s">
        <v>51</v>
      </c>
      <c r="W151" s="1" t="s">
        <v>51</v>
      </c>
      <c r="X151" s="1" t="s">
        <v>51</v>
      </c>
      <c r="Y151" s="1" t="s">
        <v>51</v>
      </c>
      <c r="Z151" s="1" t="s">
        <v>51</v>
      </c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109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5"/>
      <c r="T152" t="s">
        <v>51</v>
      </c>
      <c r="U152" t="s">
        <v>51</v>
      </c>
      <c r="V152" s="1" t="s">
        <v>51</v>
      </c>
      <c r="W152" s="1" t="s">
        <v>51</v>
      </c>
      <c r="X152" s="1" t="s">
        <v>51</v>
      </c>
      <c r="Y152" s="1" t="s">
        <v>51</v>
      </c>
      <c r="Z152" s="1" t="s">
        <v>51</v>
      </c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109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5"/>
      <c r="T153" t="s">
        <v>51</v>
      </c>
      <c r="U153" t="s">
        <v>51</v>
      </c>
      <c r="V153" s="1" t="s">
        <v>51</v>
      </c>
      <c r="W153" s="1" t="s">
        <v>51</v>
      </c>
      <c r="X153" s="1" t="s">
        <v>51</v>
      </c>
      <c r="Y153" s="1" t="s">
        <v>51</v>
      </c>
      <c r="Z153" s="1" t="s">
        <v>51</v>
      </c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109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</row>
    <row r="155" spans="1:109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</row>
    <row r="156" spans="1:109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</row>
    <row r="157" spans="1:109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</row>
    <row r="158" spans="1:109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</row>
    <row r="159" spans="1:109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</row>
    <row r="160" spans="1:109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</row>
    <row r="161" spans="3:103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</row>
    <row r="162" spans="3:103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</row>
    <row r="163" spans="3:103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</row>
    <row r="164" spans="3:103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</row>
    <row r="165" spans="3:103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</row>
    <row r="166" spans="3:103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</row>
    <row r="167" spans="3:103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</row>
    <row r="168" spans="3:103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</row>
    <row r="169" spans="3:103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</row>
    <row r="170" spans="3:103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</row>
    <row r="171" spans="3:103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</row>
    <row r="172" spans="3:103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</row>
    <row r="173" spans="3:103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</row>
    <row r="174" spans="3:103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</row>
    <row r="175" spans="3:103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</row>
    <row r="176" spans="3:103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</row>
    <row r="177" spans="3:103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</row>
    <row r="178" spans="3:103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</row>
    <row r="179" spans="3:103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</row>
    <row r="180" spans="3:103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</row>
    <row r="181" spans="3:103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</row>
    <row r="182" spans="3:103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</row>
    <row r="183" spans="3:103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</row>
    <row r="184" spans="3:103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</row>
    <row r="185" spans="3:103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</row>
    <row r="186" spans="3:103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</row>
    <row r="187" spans="3:103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</row>
    <row r="188" spans="3:103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</row>
    <row r="189" spans="3:103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</row>
    <row r="190" spans="3:103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</row>
    <row r="191" spans="3:103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</row>
    <row r="192" spans="3:103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</row>
    <row r="193" spans="3:103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</row>
    <row r="194" spans="3:103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</row>
    <row r="195" spans="3:103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</row>
    <row r="196" spans="3:103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</row>
    <row r="197" spans="3:103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</row>
    <row r="198" spans="3:103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</row>
    <row r="199" spans="3:103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</row>
    <row r="200" spans="3:103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</row>
    <row r="201" spans="3:103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</row>
    <row r="202" spans="3:103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</row>
    <row r="203" spans="3:103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</row>
    <row r="204" spans="3:103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</row>
    <row r="205" spans="3:103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</row>
    <row r="206" spans="3:103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</row>
    <row r="207" spans="3:103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</row>
    <row r="208" spans="3:103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</row>
    <row r="209" spans="3:103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</row>
    <row r="210" spans="3:103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</row>
    <row r="211" spans="3:103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</row>
    <row r="212" spans="3:103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</row>
    <row r="213" spans="3:103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</row>
    <row r="214" spans="3:103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</row>
    <row r="215" spans="3:103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</row>
    <row r="216" spans="3:103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</row>
    <row r="217" spans="3:103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</row>
    <row r="218" spans="3:103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</row>
    <row r="219" spans="3:103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</row>
    <row r="220" spans="3:103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</row>
    <row r="221" spans="3:103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</row>
    <row r="222" spans="3:103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</row>
    <row r="223" spans="3:103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</row>
    <row r="224" spans="3:103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</row>
    <row r="225" spans="3:103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</row>
    <row r="226" spans="3:103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</row>
    <row r="227" spans="3:103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</row>
    <row r="228" spans="3:103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</row>
    <row r="229" spans="3:103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</row>
    <row r="230" spans="3:103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</row>
    <row r="231" spans="3:103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</row>
    <row r="232" spans="3:103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</row>
    <row r="233" spans="3:103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</row>
  </sheetData>
  <sortState ref="AG21:AH30">
    <sortCondition ref="AG154:AG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40" zoomScaleNormal="40" zoomScaleSheetLayoutView="30" workbookViewId="0">
      <selection activeCell="AV959" sqref="AV959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33"/>
  <sheetViews>
    <sheetView zoomScale="60" zoomScaleNormal="6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AO98" sqref="AO98"/>
    </sheetView>
  </sheetViews>
  <sheetFormatPr defaultRowHeight="13.2" x14ac:dyDescent="0.25"/>
  <cols>
    <col min="2" max="2" width="12.33203125" bestFit="1" customWidth="1"/>
    <col min="3" max="7" width="12" customWidth="1"/>
    <col min="8" max="8" width="12.33203125" customWidth="1"/>
    <col min="9" max="12" width="12" customWidth="1"/>
    <col min="13" max="13" width="12.33203125" customWidth="1"/>
    <col min="14" max="15" width="12" customWidth="1"/>
    <col min="16" max="16" width="14.5546875" customWidth="1"/>
    <col min="17" max="17" width="13.77734375" customWidth="1"/>
    <col min="18" max="18" width="12" customWidth="1"/>
    <col min="19" max="19" width="12.33203125" customWidth="1"/>
    <col min="20" max="35" width="12" customWidth="1"/>
    <col min="36" max="36" width="12.88671875" customWidth="1"/>
    <col min="37" max="37" width="13.33203125" customWidth="1"/>
    <col min="38" max="39" width="13.5546875" customWidth="1"/>
    <col min="41" max="41" width="9.6640625" customWidth="1"/>
    <col min="42" max="42" width="10.21875" customWidth="1"/>
    <col min="43" max="43" width="9.77734375" customWidth="1"/>
  </cols>
  <sheetData>
    <row r="1" spans="1:43" s="13" customFormat="1" x14ac:dyDescent="0.25"/>
    <row r="2" spans="1:43" s="2" customFormat="1" ht="39" customHeight="1" x14ac:dyDescent="0.25">
      <c r="B2" s="6" t="s">
        <v>29</v>
      </c>
      <c r="C2" s="8" t="s">
        <v>1</v>
      </c>
      <c r="D2" s="8" t="s">
        <v>0</v>
      </c>
      <c r="E2" s="8" t="s">
        <v>0</v>
      </c>
      <c r="F2" s="8" t="s">
        <v>0</v>
      </c>
      <c r="G2" s="8" t="s">
        <v>24</v>
      </c>
      <c r="H2" s="8" t="s">
        <v>24</v>
      </c>
      <c r="I2" s="8" t="s">
        <v>25</v>
      </c>
      <c r="J2" s="8" t="s">
        <v>25</v>
      </c>
      <c r="K2" s="8" t="s">
        <v>41</v>
      </c>
      <c r="L2" s="8" t="s">
        <v>26</v>
      </c>
      <c r="M2" s="8" t="s">
        <v>26</v>
      </c>
      <c r="N2" s="8" t="s">
        <v>2</v>
      </c>
      <c r="O2" s="8" t="s">
        <v>4</v>
      </c>
      <c r="P2" s="8" t="s">
        <v>42</v>
      </c>
      <c r="Q2" s="8" t="s">
        <v>12</v>
      </c>
      <c r="R2" s="8" t="s">
        <v>28</v>
      </c>
      <c r="S2" s="8" t="s">
        <v>37</v>
      </c>
      <c r="T2" s="8" t="s">
        <v>3</v>
      </c>
      <c r="U2" s="8" t="s">
        <v>9</v>
      </c>
      <c r="V2" s="8" t="s">
        <v>15</v>
      </c>
      <c r="W2" s="8" t="s">
        <v>15</v>
      </c>
      <c r="X2" s="8" t="s">
        <v>16</v>
      </c>
      <c r="Y2" s="8" t="s">
        <v>16</v>
      </c>
      <c r="Z2" s="8" t="s">
        <v>17</v>
      </c>
      <c r="AA2" s="8" t="s">
        <v>6</v>
      </c>
      <c r="AB2" s="8" t="s">
        <v>19</v>
      </c>
      <c r="AC2" s="8" t="s">
        <v>55</v>
      </c>
      <c r="AD2" s="8" t="s">
        <v>21</v>
      </c>
      <c r="AE2" s="8" t="s">
        <v>22</v>
      </c>
      <c r="AF2" s="8" t="s">
        <v>5</v>
      </c>
      <c r="AG2" s="8" t="s">
        <v>5</v>
      </c>
      <c r="AH2" s="8" t="s">
        <v>56</v>
      </c>
      <c r="AI2" s="8" t="s">
        <v>56</v>
      </c>
      <c r="AJ2" s="8" t="s">
        <v>13</v>
      </c>
      <c r="AK2" s="8" t="s">
        <v>13</v>
      </c>
      <c r="AL2" s="8" t="s">
        <v>36</v>
      </c>
      <c r="AM2" s="8" t="s">
        <v>58</v>
      </c>
      <c r="AN2" s="8" t="s">
        <v>59</v>
      </c>
      <c r="AO2" s="8" t="s">
        <v>60</v>
      </c>
      <c r="AP2" s="8" t="s">
        <v>58</v>
      </c>
      <c r="AQ2" s="8" t="s">
        <v>61</v>
      </c>
    </row>
    <row r="3" spans="1:43" x14ac:dyDescent="0.25">
      <c r="B3" s="6" t="s">
        <v>31</v>
      </c>
      <c r="C3" s="8" t="s">
        <v>54</v>
      </c>
      <c r="D3" s="8" t="s">
        <v>54</v>
      </c>
      <c r="E3" s="8" t="s">
        <v>54</v>
      </c>
      <c r="F3" s="8" t="s">
        <v>54</v>
      </c>
      <c r="G3" s="8" t="s">
        <v>54</v>
      </c>
      <c r="H3" s="8" t="s">
        <v>54</v>
      </c>
      <c r="I3" s="8" t="s">
        <v>54</v>
      </c>
      <c r="J3" s="8" t="s">
        <v>54</v>
      </c>
      <c r="K3" s="8" t="s">
        <v>54</v>
      </c>
      <c r="L3" s="8" t="s">
        <v>54</v>
      </c>
      <c r="M3" s="8" t="s">
        <v>54</v>
      </c>
      <c r="N3" s="8" t="s">
        <v>54</v>
      </c>
      <c r="O3" s="8" t="s">
        <v>54</v>
      </c>
      <c r="P3" s="8" t="s">
        <v>54</v>
      </c>
      <c r="Q3" s="8" t="s">
        <v>54</v>
      </c>
      <c r="R3" s="8" t="s">
        <v>54</v>
      </c>
      <c r="S3" s="8" t="s">
        <v>54</v>
      </c>
      <c r="T3" s="8" t="s">
        <v>54</v>
      </c>
      <c r="U3" s="8" t="s">
        <v>54</v>
      </c>
      <c r="V3" s="8" t="s">
        <v>54</v>
      </c>
      <c r="W3" s="8" t="s">
        <v>54</v>
      </c>
      <c r="X3" s="8" t="s">
        <v>54</v>
      </c>
      <c r="Y3" s="8" t="s">
        <v>54</v>
      </c>
      <c r="Z3" s="8" t="s">
        <v>54</v>
      </c>
      <c r="AA3" s="8" t="s">
        <v>54</v>
      </c>
      <c r="AB3" s="8" t="s">
        <v>54</v>
      </c>
      <c r="AC3" s="8" t="s">
        <v>54</v>
      </c>
      <c r="AD3" s="8" t="s">
        <v>54</v>
      </c>
      <c r="AE3" s="8" t="s">
        <v>54</v>
      </c>
      <c r="AF3" s="8" t="s">
        <v>54</v>
      </c>
      <c r="AG3" s="8" t="s">
        <v>54</v>
      </c>
      <c r="AH3" s="8" t="s">
        <v>54</v>
      </c>
      <c r="AI3" s="8" t="s">
        <v>54</v>
      </c>
      <c r="AJ3" s="8" t="s">
        <v>54</v>
      </c>
      <c r="AK3" s="8" t="s">
        <v>54</v>
      </c>
      <c r="AL3" s="8" t="s">
        <v>54</v>
      </c>
      <c r="AM3" s="8" t="s">
        <v>54</v>
      </c>
      <c r="AN3" s="8" t="s">
        <v>54</v>
      </c>
      <c r="AO3" s="8" t="s">
        <v>54</v>
      </c>
      <c r="AP3" s="8" t="s">
        <v>54</v>
      </c>
      <c r="AQ3" s="8" t="s">
        <v>54</v>
      </c>
    </row>
    <row r="4" spans="1:43" s="2" customFormat="1" ht="27" customHeight="1" x14ac:dyDescent="0.25">
      <c r="B4" s="6" t="s">
        <v>30</v>
      </c>
      <c r="C4" s="6" t="s">
        <v>8</v>
      </c>
      <c r="D4" s="6" t="s">
        <v>8</v>
      </c>
      <c r="E4" s="8" t="s">
        <v>7</v>
      </c>
      <c r="F4" s="6" t="s">
        <v>10</v>
      </c>
      <c r="G4" s="6" t="s">
        <v>7</v>
      </c>
      <c r="H4" s="6" t="s">
        <v>10</v>
      </c>
      <c r="I4" s="6" t="s">
        <v>8</v>
      </c>
      <c r="J4" s="6" t="s">
        <v>7</v>
      </c>
      <c r="K4" s="6" t="s">
        <v>7</v>
      </c>
      <c r="L4" s="6" t="s">
        <v>7</v>
      </c>
      <c r="M4" s="6" t="s">
        <v>10</v>
      </c>
      <c r="N4" s="6" t="s">
        <v>7</v>
      </c>
      <c r="O4" s="6" t="s">
        <v>7</v>
      </c>
      <c r="P4" s="6" t="s">
        <v>7</v>
      </c>
      <c r="Q4" s="6" t="s">
        <v>8</v>
      </c>
      <c r="R4" s="6" t="s">
        <v>7</v>
      </c>
      <c r="S4" s="6" t="s">
        <v>7</v>
      </c>
      <c r="T4" s="6" t="s">
        <v>7</v>
      </c>
      <c r="U4" s="6" t="s">
        <v>7</v>
      </c>
      <c r="V4" s="6" t="s">
        <v>8</v>
      </c>
      <c r="W4" s="6" t="s">
        <v>7</v>
      </c>
      <c r="X4" s="6" t="s">
        <v>8</v>
      </c>
      <c r="Y4" s="6" t="s">
        <v>7</v>
      </c>
      <c r="Z4" s="6" t="s">
        <v>7</v>
      </c>
      <c r="AA4" s="6" t="s">
        <v>7</v>
      </c>
      <c r="AB4" s="6" t="s">
        <v>10</v>
      </c>
      <c r="AC4" s="6" t="s">
        <v>7</v>
      </c>
      <c r="AD4" s="6" t="s">
        <v>10</v>
      </c>
      <c r="AE4" s="6" t="s">
        <v>7</v>
      </c>
      <c r="AF4" s="6" t="s">
        <v>8</v>
      </c>
      <c r="AG4" s="6" t="s">
        <v>7</v>
      </c>
      <c r="AH4" s="6" t="s">
        <v>8</v>
      </c>
      <c r="AI4" s="6" t="s">
        <v>7</v>
      </c>
      <c r="AJ4" s="6" t="s">
        <v>8</v>
      </c>
      <c r="AK4" s="6" t="s">
        <v>7</v>
      </c>
      <c r="AL4" s="6" t="s">
        <v>7</v>
      </c>
      <c r="AM4" s="6" t="s">
        <v>8</v>
      </c>
      <c r="AN4" s="6" t="s">
        <v>7</v>
      </c>
      <c r="AO4" s="6" t="s">
        <v>7</v>
      </c>
      <c r="AP4" s="6" t="s">
        <v>7</v>
      </c>
      <c r="AQ4" s="6" t="s">
        <v>7</v>
      </c>
    </row>
    <row r="5" spans="1:43" s="10" customFormat="1" x14ac:dyDescent="0.25">
      <c r="A5" s="5" t="s">
        <v>33</v>
      </c>
      <c r="B5" s="5" t="s">
        <v>32</v>
      </c>
      <c r="C5" s="7" t="s">
        <v>52</v>
      </c>
      <c r="D5" s="7" t="s">
        <v>52</v>
      </c>
      <c r="E5" s="7" t="s">
        <v>52</v>
      </c>
      <c r="F5" s="7" t="s">
        <v>52</v>
      </c>
      <c r="G5" s="7" t="s">
        <v>52</v>
      </c>
      <c r="H5" s="7" t="s">
        <v>52</v>
      </c>
      <c r="I5" s="7" t="s">
        <v>52</v>
      </c>
      <c r="J5" s="7" t="s">
        <v>52</v>
      </c>
      <c r="K5" s="7" t="s">
        <v>52</v>
      </c>
      <c r="L5" s="7" t="s">
        <v>52</v>
      </c>
      <c r="M5" s="7" t="s">
        <v>52</v>
      </c>
      <c r="N5" s="7" t="s">
        <v>52</v>
      </c>
      <c r="O5" s="7" t="s">
        <v>52</v>
      </c>
      <c r="P5" s="7" t="s">
        <v>52</v>
      </c>
      <c r="Q5" s="7" t="s">
        <v>52</v>
      </c>
      <c r="R5" s="7" t="s">
        <v>52</v>
      </c>
      <c r="S5" s="7" t="s">
        <v>52</v>
      </c>
      <c r="T5" s="7" t="s">
        <v>52</v>
      </c>
      <c r="U5" s="7" t="s">
        <v>52</v>
      </c>
      <c r="V5" s="7" t="s">
        <v>52</v>
      </c>
      <c r="W5" s="7" t="s">
        <v>52</v>
      </c>
      <c r="X5" s="7" t="s">
        <v>52</v>
      </c>
      <c r="Y5" s="7" t="s">
        <v>52</v>
      </c>
      <c r="Z5" s="7" t="s">
        <v>52</v>
      </c>
      <c r="AA5" s="7" t="s">
        <v>52</v>
      </c>
      <c r="AB5" s="7" t="s">
        <v>52</v>
      </c>
      <c r="AC5" s="7" t="s">
        <v>52</v>
      </c>
      <c r="AD5" s="7" t="s">
        <v>52</v>
      </c>
      <c r="AE5" s="7" t="s">
        <v>52</v>
      </c>
      <c r="AF5" s="7" t="s">
        <v>52</v>
      </c>
      <c r="AG5" s="7" t="s">
        <v>52</v>
      </c>
      <c r="AH5" s="7" t="s">
        <v>52</v>
      </c>
      <c r="AI5" s="7" t="s">
        <v>52</v>
      </c>
      <c r="AJ5" s="7" t="s">
        <v>52</v>
      </c>
      <c r="AK5" s="7" t="s">
        <v>52</v>
      </c>
      <c r="AL5" s="7" t="s">
        <v>52</v>
      </c>
      <c r="AM5" s="7" t="s">
        <v>52</v>
      </c>
      <c r="AN5" s="7" t="s">
        <v>52</v>
      </c>
      <c r="AO5" s="7" t="s">
        <v>52</v>
      </c>
      <c r="AP5" s="7" t="s">
        <v>52</v>
      </c>
      <c r="AQ5" s="7" t="s">
        <v>52</v>
      </c>
    </row>
    <row r="6" spans="1:43" s="2" customFormat="1" ht="54.6" hidden="1" customHeight="1" x14ac:dyDescent="0.25">
      <c r="A6" s="5" t="s">
        <v>33</v>
      </c>
      <c r="B6" s="6" t="s">
        <v>29</v>
      </c>
      <c r="C6" s="8" t="str">
        <f>CONCATENATE(C2,", ",C4,", ","in ",C5)</f>
        <v>UK, Imports, in pound/ton</v>
      </c>
      <c r="D6" s="8" t="str">
        <f t="shared" ref="D6:Y6" si="0">CONCATENATE(D2,", ",D4,", ","in ",D5)</f>
        <v>Baghdad, Imports, in pound/ton</v>
      </c>
      <c r="E6" s="8" t="str">
        <f t="shared" si="0"/>
        <v>Baghdad, Exports, in pound/ton</v>
      </c>
      <c r="F6" s="8" t="str">
        <f t="shared" si="0"/>
        <v>Baghdad, Bazaar (Local), in pound/ton</v>
      </c>
      <c r="G6" s="8" t="str">
        <f t="shared" si="0"/>
        <v>Basrah, Exports, in pound/ton</v>
      </c>
      <c r="H6" s="8" t="str">
        <f t="shared" si="0"/>
        <v>Basrah, Bazaar (Local), in pound/ton</v>
      </c>
      <c r="I6" s="8" t="str">
        <f t="shared" si="0"/>
        <v>Mosul, Imports, in pound/ton</v>
      </c>
      <c r="J6" s="8" t="str">
        <f t="shared" si="0"/>
        <v>Mosul, Exports, in pound/ton</v>
      </c>
      <c r="K6" s="8" t="str">
        <f t="shared" si="0"/>
        <v>Egypt, Exports, in pound/ton</v>
      </c>
      <c r="L6" s="8" t="str">
        <f t="shared" si="0"/>
        <v>Palestine, Exports, in pound/ton</v>
      </c>
      <c r="M6" s="8" t="str">
        <f t="shared" si="0"/>
        <v>Palestine, Bazaar (Local), in pound/ton</v>
      </c>
      <c r="N6" s="8" t="str">
        <f t="shared" si="0"/>
        <v>Damascus, Exports, in pound/ton</v>
      </c>
      <c r="O6" s="8" t="str">
        <f t="shared" si="0"/>
        <v>Beirut, Exports, in pound/ton</v>
      </c>
      <c r="P6" s="8" t="str">
        <f t="shared" si="0"/>
        <v>Turkey &amp; Constantinople, Exports, in pound/ton</v>
      </c>
      <c r="Q6" s="8" t="str">
        <f t="shared" si="0"/>
        <v>Constantinople, Imports, in pound/ton</v>
      </c>
      <c r="R6" s="8" t="str">
        <f t="shared" si="0"/>
        <v>Trebizond (Anatolia), Exports, in pound/ton</v>
      </c>
      <c r="S6" s="8" t="str">
        <f t="shared" si="0"/>
        <v>Trebizond (Persia), Exports, in pound/ton</v>
      </c>
      <c r="T6" s="8" t="str">
        <f t="shared" si="0"/>
        <v>Izmir, Exports, in pound/ton</v>
      </c>
      <c r="U6" s="8" t="str">
        <f t="shared" si="0"/>
        <v>Alexandretta, Exports, in pound/ton</v>
      </c>
      <c r="V6" s="8" t="str">
        <f t="shared" si="0"/>
        <v>Khorasan, Imports, in pound/ton</v>
      </c>
      <c r="W6" s="8" t="str">
        <f t="shared" si="0"/>
        <v>Khorasan, Exports, in pound/ton</v>
      </c>
      <c r="X6" s="8" t="str">
        <f t="shared" si="0"/>
        <v>Kermanshah, Imports, in pound/ton</v>
      </c>
      <c r="Y6" s="8" t="str">
        <f t="shared" si="0"/>
        <v>Kermanshah, Exports, in pound/ton</v>
      </c>
      <c r="Z6" s="8" t="str">
        <f t="shared" ref="Z6:AQ6" si="1">CONCATENATE(Z2,", ",Z4,", ","in ",Z5)</f>
        <v>Kerman, Exports, in pound/ton</v>
      </c>
      <c r="AA6" s="8" t="str">
        <f t="shared" si="1"/>
        <v>Bam, Exports, in pound/ton</v>
      </c>
      <c r="AB6" s="8" t="str">
        <f t="shared" si="1"/>
        <v>Resht, Bazaar (Local), in pound/ton</v>
      </c>
      <c r="AC6" s="8" t="str">
        <f t="shared" si="1"/>
        <v>Resht &amp; Mazandaran, Exports, in pound/ton</v>
      </c>
      <c r="AD6" s="8" t="str">
        <f t="shared" si="1"/>
        <v>Ghilan &amp; Tunekabun, Bazaar (Local), in pound/ton</v>
      </c>
      <c r="AE6" s="8" t="str">
        <f t="shared" si="1"/>
        <v>Bender Gez &amp; Astarabad, Exports, in pound/ton</v>
      </c>
      <c r="AF6" s="8" t="str">
        <f t="shared" si="1"/>
        <v>Bahrain, Imports, in pound/ton</v>
      </c>
      <c r="AG6" s="8" t="str">
        <f t="shared" si="1"/>
        <v>Bahrain, Exports, in pound/ton</v>
      </c>
      <c r="AH6" s="8" t="str">
        <f t="shared" si="1"/>
        <v>Muscat &amp; Lingah, Imports, in pound/ton</v>
      </c>
      <c r="AI6" s="8" t="str">
        <f t="shared" si="1"/>
        <v>Muscat &amp; Lingah, Exports, in pound/ton</v>
      </c>
      <c r="AJ6" s="8" t="str">
        <f t="shared" si="1"/>
        <v>Mohammerah, Imports, in pound/ton</v>
      </c>
      <c r="AK6" s="8" t="str">
        <f t="shared" si="1"/>
        <v>Mohammerah, Exports, in pound/ton</v>
      </c>
      <c r="AL6" s="8" t="str">
        <f t="shared" si="1"/>
        <v>Shiraz, Exports, in pound/ton</v>
      </c>
      <c r="AM6" s="8" t="str">
        <f t="shared" si="1"/>
        <v>India, Imports, in pound/ton</v>
      </c>
      <c r="AN6" s="8" t="str">
        <f t="shared" si="1"/>
        <v>Bombay, Exports, in pound/ton</v>
      </c>
      <c r="AO6" s="8" t="str">
        <f t="shared" si="1"/>
        <v>Karachi, Exports, in pound/ton</v>
      </c>
      <c r="AP6" s="8" t="str">
        <f t="shared" si="1"/>
        <v>India, Exports, in pound/ton</v>
      </c>
      <c r="AQ6" s="8" t="str">
        <f t="shared" si="1"/>
        <v>India (Average), Exports, in pound/ton</v>
      </c>
    </row>
    <row r="7" spans="1:43" hidden="1" x14ac:dyDescent="0.25">
      <c r="A7" s="9">
        <v>1840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idden="1" x14ac:dyDescent="0.25">
      <c r="A8" s="9">
        <f t="shared" ref="A8:A71" si="2">A7+1</f>
        <v>1841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3" hidden="1" x14ac:dyDescent="0.25">
      <c r="A9" s="9">
        <f t="shared" si="2"/>
        <v>1842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3" hidden="1" x14ac:dyDescent="0.25">
      <c r="A10" s="9">
        <f t="shared" si="2"/>
        <v>1843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3" hidden="1" x14ac:dyDescent="0.25">
      <c r="A11" s="9">
        <f t="shared" si="2"/>
        <v>1844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3" hidden="1" x14ac:dyDescent="0.25">
      <c r="A12" s="9">
        <f t="shared" si="2"/>
        <v>1845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3" hidden="1" x14ac:dyDescent="0.25">
      <c r="A13" s="9">
        <f t="shared" si="2"/>
        <v>1846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3" hidden="1" x14ac:dyDescent="0.25">
      <c r="A14" s="9">
        <f t="shared" si="2"/>
        <v>1847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3" hidden="1" x14ac:dyDescent="0.25">
      <c r="A15" s="9">
        <f t="shared" si="2"/>
        <v>1848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3" hidden="1" x14ac:dyDescent="0.25">
      <c r="A16" s="9">
        <f t="shared" si="2"/>
        <v>1849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x14ac:dyDescent="0.25">
      <c r="A17" s="9">
        <f t="shared" si="2"/>
        <v>1850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x14ac:dyDescent="0.25">
      <c r="A18" s="9">
        <f t="shared" si="2"/>
        <v>1851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x14ac:dyDescent="0.25">
      <c r="A19" s="9">
        <f t="shared" si="2"/>
        <v>1852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x14ac:dyDescent="0.25">
      <c r="A20" s="9">
        <f t="shared" si="2"/>
        <v>1853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x14ac:dyDescent="0.25">
      <c r="A21" s="9">
        <f t="shared" si="2"/>
        <v>1854</v>
      </c>
      <c r="C21" s="3">
        <v>137.17956357680612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x14ac:dyDescent="0.25">
      <c r="A22" s="9">
        <f t="shared" si="2"/>
        <v>1855</v>
      </c>
      <c r="C22" s="3">
        <v>147.24211812704246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x14ac:dyDescent="0.25">
      <c r="A23" s="9">
        <f t="shared" si="2"/>
        <v>1856</v>
      </c>
      <c r="C23" s="3">
        <v>167.00859068962879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x14ac:dyDescent="0.25">
      <c r="A24" s="9">
        <f t="shared" si="2"/>
        <v>1857</v>
      </c>
      <c r="C24" s="3">
        <v>167.14195675128778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x14ac:dyDescent="0.25">
      <c r="A25" s="9">
        <f t="shared" si="2"/>
        <v>1858</v>
      </c>
      <c r="C25" s="3">
        <v>158.5763833205105</v>
      </c>
      <c r="D25" s="3"/>
      <c r="E25" s="3"/>
      <c r="F25" s="3"/>
      <c r="G25" s="3"/>
      <c r="H25" s="3"/>
      <c r="I25" s="3"/>
      <c r="J25" s="3"/>
      <c r="K25" s="3"/>
      <c r="L25" s="3"/>
      <c r="M25" s="3">
        <f>2240*0.017437227421261</f>
        <v>39.059389423624644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x14ac:dyDescent="0.25">
      <c r="A26" s="9">
        <f t="shared" si="2"/>
        <v>1859</v>
      </c>
      <c r="C26" s="3">
        <v>165.15193851978466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3" x14ac:dyDescent="0.25">
      <c r="A27" s="9">
        <f t="shared" si="2"/>
        <v>1860</v>
      </c>
      <c r="C27" s="3">
        <v>166.51673144724896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3" x14ac:dyDescent="0.25">
      <c r="A28" s="9">
        <f t="shared" si="2"/>
        <v>1861</v>
      </c>
      <c r="C28" s="3">
        <v>147.90481512822058</v>
      </c>
      <c r="D28" s="3"/>
      <c r="E28" s="3"/>
      <c r="F28" s="3"/>
      <c r="G28" s="3"/>
      <c r="H28" s="3">
        <f>2240*0.0541666666666667</f>
        <v>121.33333333333341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>
        <v>49.736090592199908</v>
      </c>
      <c r="AO28" s="3"/>
      <c r="AP28" s="3"/>
      <c r="AQ28" s="16">
        <v>49.736090592199908</v>
      </c>
    </row>
    <row r="29" spans="1:43" x14ac:dyDescent="0.25">
      <c r="A29" s="9">
        <f t="shared" si="2"/>
        <v>1862</v>
      </c>
      <c r="C29" s="3">
        <v>153.3854819449034</v>
      </c>
      <c r="D29" s="3"/>
      <c r="E29" s="3"/>
      <c r="F29" s="3"/>
      <c r="G29" s="3"/>
      <c r="H29" s="3">
        <f>2240*0.05625</f>
        <v>126</v>
      </c>
      <c r="I29" s="3"/>
      <c r="J29" s="3"/>
      <c r="K29" s="3"/>
      <c r="L29" s="3"/>
      <c r="M29" s="3">
        <f>2240*0.0279375610215149</f>
        <v>62.580136688193377</v>
      </c>
      <c r="N29" s="3"/>
      <c r="O29" s="3"/>
      <c r="P29" s="3">
        <f>2240*AVERAGE(0.0290137828363487,0.0322375364848319)</f>
        <v>68.601477639722276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>
        <v>54.815184959879488</v>
      </c>
      <c r="AO29" s="3"/>
      <c r="AP29" s="3"/>
      <c r="AQ29" s="16">
        <v>54.815184959879488</v>
      </c>
    </row>
    <row r="30" spans="1:43" x14ac:dyDescent="0.25">
      <c r="A30" s="9">
        <f t="shared" si="2"/>
        <v>1863</v>
      </c>
      <c r="C30" s="3">
        <v>150.08339088285661</v>
      </c>
      <c r="D30" s="3"/>
      <c r="E30" s="3"/>
      <c r="F30" s="3"/>
      <c r="G30" s="3"/>
      <c r="H30" s="3">
        <f>2240*0.05625</f>
        <v>126</v>
      </c>
      <c r="I30" s="3"/>
      <c r="J30" s="3"/>
      <c r="K30" s="3"/>
      <c r="L30" s="3">
        <f>2240*0.0272756837778501</f>
        <v>61.09753166238422</v>
      </c>
      <c r="M30" s="3">
        <f>2240*0.0272756837778501</f>
        <v>61.09753166238422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>
        <v>73.012562401629907</v>
      </c>
      <c r="AO30" s="3"/>
      <c r="AP30" s="3"/>
      <c r="AQ30" s="16">
        <v>73.012562401629907</v>
      </c>
    </row>
    <row r="31" spans="1:43" x14ac:dyDescent="0.25">
      <c r="A31" s="9">
        <f t="shared" si="2"/>
        <v>1864</v>
      </c>
      <c r="C31" s="3">
        <v>168.19532990371698</v>
      </c>
      <c r="D31" s="3">
        <f>2240*0.0245533295947542</f>
        <v>54.999458292249408</v>
      </c>
      <c r="E31" s="3">
        <f>2240*0.0119622437037228</f>
        <v>26.795425896339072</v>
      </c>
      <c r="F31" s="3"/>
      <c r="G31" s="3"/>
      <c r="H31" s="3">
        <f>2240*0.133333333333333</f>
        <v>298.66666666666589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>
        <v>51.108793681140938</v>
      </c>
      <c r="AO31" s="3"/>
      <c r="AP31" s="3"/>
      <c r="AQ31" s="16">
        <v>51.108793681140938</v>
      </c>
    </row>
    <row r="32" spans="1:43" x14ac:dyDescent="0.25">
      <c r="A32" s="9">
        <f t="shared" si="2"/>
        <v>1865</v>
      </c>
      <c r="C32" s="3">
        <v>157.64000000000001</v>
      </c>
      <c r="D32" s="3">
        <f>2240*0.0119622409306982</f>
        <v>26.795419684763967</v>
      </c>
      <c r="F32" s="3"/>
      <c r="G32" s="3"/>
      <c r="H32" s="3">
        <f>2240*0.075</f>
        <v>168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>
        <v>59.02065650859862</v>
      </c>
      <c r="AO32" s="3"/>
      <c r="AP32" s="3"/>
      <c r="AQ32" s="16">
        <v>59.02065650859862</v>
      </c>
    </row>
    <row r="33" spans="1:43" x14ac:dyDescent="0.25">
      <c r="A33" s="9">
        <f t="shared" si="2"/>
        <v>1866</v>
      </c>
      <c r="C33" s="3">
        <v>164.17333333333335</v>
      </c>
      <c r="D33" s="3">
        <f>2240*0.025675055312281</f>
        <v>57.512123899509433</v>
      </c>
      <c r="E33" s="3">
        <f>2240*0.0119621798094418</f>
        <v>26.795282773149633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>
        <v>66.625264331855959</v>
      </c>
      <c r="AO33" s="3"/>
      <c r="AP33" s="3"/>
      <c r="AQ33" s="16">
        <v>66.625264331855959</v>
      </c>
    </row>
    <row r="34" spans="1:43" x14ac:dyDescent="0.25">
      <c r="A34" s="9">
        <f t="shared" si="2"/>
        <v>1867</v>
      </c>
      <c r="C34" s="3">
        <v>155.02666666666667</v>
      </c>
      <c r="D34" s="3">
        <f>2240*0.0193110858095723</f>
        <v>43.256832213441953</v>
      </c>
      <c r="E34" s="3">
        <f>2240*0.0119517027196154</f>
        <v>26.771814091938495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>
        <v>57.636800787926184</v>
      </c>
      <c r="AO34" s="3"/>
      <c r="AP34" s="3"/>
      <c r="AQ34" s="16">
        <v>57.636800787926184</v>
      </c>
    </row>
    <row r="35" spans="1:43" x14ac:dyDescent="0.25">
      <c r="A35" s="9">
        <f t="shared" si="2"/>
        <v>1868</v>
      </c>
      <c r="C35" s="3">
        <v>134.02666666666664</v>
      </c>
      <c r="D35" s="3"/>
      <c r="E35" s="3">
        <f>2240*0.0239307244179618</f>
        <v>53.604822696234436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>
        <v>56.509243872676763</v>
      </c>
      <c r="AN35" s="3">
        <v>49.4805094483551</v>
      </c>
      <c r="AO35" s="3"/>
      <c r="AP35" s="3">
        <v>82.624492817649568</v>
      </c>
      <c r="AQ35" s="16">
        <v>66.052501133002337</v>
      </c>
    </row>
    <row r="36" spans="1:43" x14ac:dyDescent="0.25">
      <c r="A36" s="9">
        <f t="shared" si="2"/>
        <v>1869</v>
      </c>
      <c r="C36" s="3">
        <v>127.4</v>
      </c>
      <c r="D36" s="3">
        <f>2240*0.0962814574210537</f>
        <v>215.67046462316031</v>
      </c>
      <c r="E36" s="3">
        <f>2240*0.0232807471807673</f>
        <v>52.148873684918755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v>80</v>
      </c>
      <c r="S36" s="3"/>
      <c r="T36" s="3">
        <v>95.141911527284449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>
        <v>62.828143928232329</v>
      </c>
      <c r="AN36" s="3">
        <v>46.733244498517806</v>
      </c>
      <c r="AO36" s="3"/>
      <c r="AP36" s="3">
        <v>70.49794156066352</v>
      </c>
      <c r="AQ36" s="16">
        <v>58.615593029590663</v>
      </c>
    </row>
    <row r="37" spans="1:43" x14ac:dyDescent="0.25">
      <c r="A37" s="9">
        <f t="shared" si="2"/>
        <v>1870</v>
      </c>
      <c r="C37" s="3">
        <v>134.58666666666667</v>
      </c>
      <c r="D37" s="3"/>
      <c r="E37" s="3">
        <f>2240*0.0120351797382763</f>
        <v>26.958802613738911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80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>
        <v>72.413784436104578</v>
      </c>
      <c r="AN37" s="3">
        <v>45.028750615567333</v>
      </c>
      <c r="AO37" s="3">
        <v>50.370698005667805</v>
      </c>
      <c r="AP37" s="3">
        <v>79.431901773101046</v>
      </c>
      <c r="AQ37" s="16">
        <v>58.277116798112068</v>
      </c>
    </row>
    <row r="38" spans="1:43" x14ac:dyDescent="0.25">
      <c r="A38" s="9">
        <f t="shared" si="2"/>
        <v>1871</v>
      </c>
      <c r="C38" s="3">
        <v>124.32000000000001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91.333333333333329</v>
      </c>
      <c r="P38" s="3"/>
      <c r="Q38" s="3"/>
      <c r="R38" s="3">
        <v>80</v>
      </c>
      <c r="S38" s="3"/>
      <c r="T38" s="3">
        <v>66.722742636407531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>
        <v>60.313075624195321</v>
      </c>
      <c r="AN38" s="3">
        <v>54.428560393190608</v>
      </c>
      <c r="AO38" s="3">
        <v>58.705168504713626</v>
      </c>
      <c r="AP38" s="3">
        <v>77.30467778303921</v>
      </c>
      <c r="AQ38" s="16">
        <v>63.479468893647812</v>
      </c>
    </row>
    <row r="39" spans="1:43" x14ac:dyDescent="0.25">
      <c r="A39" s="9">
        <f t="shared" si="2"/>
        <v>1872</v>
      </c>
      <c r="C39" s="3">
        <v>135.42666666666665</v>
      </c>
      <c r="D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v>80</v>
      </c>
      <c r="S39" s="3"/>
      <c r="T39" s="3">
        <v>64.530079388415174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>
        <v>62.753334466931889</v>
      </c>
      <c r="AN39" s="3">
        <v>56.412334762415142</v>
      </c>
      <c r="AO39" s="3">
        <v>110.61533771242813</v>
      </c>
      <c r="AP39" s="3">
        <v>83.749600427266543</v>
      </c>
      <c r="AQ39" s="16">
        <v>83.592424300703271</v>
      </c>
    </row>
    <row r="40" spans="1:43" x14ac:dyDescent="0.25">
      <c r="A40" s="9">
        <f t="shared" si="2"/>
        <v>1873</v>
      </c>
      <c r="C40" s="3">
        <v>137.66666666666666</v>
      </c>
      <c r="D40" s="3"/>
      <c r="F40" s="3"/>
      <c r="G40" s="3"/>
      <c r="H40" s="3"/>
      <c r="I40" s="3"/>
      <c r="J40" s="3"/>
      <c r="K40" s="3"/>
      <c r="L40" s="3">
        <f>2240*0.0196053059800104</f>
        <v>43.915885395223292</v>
      </c>
      <c r="M40" s="3"/>
      <c r="N40" s="3"/>
      <c r="O40" s="3">
        <v>66.145833333333329</v>
      </c>
      <c r="P40" s="3"/>
      <c r="Q40" s="3"/>
      <c r="R40" s="3">
        <v>80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>
        <v>68.089445430028775</v>
      </c>
      <c r="AN40" s="3">
        <v>72.095472095472019</v>
      </c>
      <c r="AO40" s="3">
        <v>94.116378018816945</v>
      </c>
      <c r="AP40" s="3">
        <v>92.694001417370728</v>
      </c>
      <c r="AQ40" s="16">
        <v>86.301950510553226</v>
      </c>
    </row>
    <row r="41" spans="1:43" x14ac:dyDescent="0.25">
      <c r="A41" s="9">
        <f t="shared" si="2"/>
        <v>1874</v>
      </c>
      <c r="C41" s="3">
        <v>137.29333333333332</v>
      </c>
      <c r="D41" s="3">
        <f>2240*0.0122090423403704</f>
        <v>27.348254842429697</v>
      </c>
      <c r="F41" s="3"/>
      <c r="G41" s="3"/>
      <c r="H41" s="3"/>
      <c r="I41" s="3"/>
      <c r="J41" s="3"/>
      <c r="K41" s="3"/>
      <c r="L41" s="3">
        <f>2240*0.0192989730740728</f>
        <v>43.229699685923073</v>
      </c>
      <c r="M41" s="3"/>
      <c r="N41" s="3"/>
      <c r="O41" s="3">
        <v>50.336507936507935</v>
      </c>
      <c r="P41" s="3"/>
      <c r="Q41" s="3"/>
      <c r="R41" s="3">
        <v>69.475847893114079</v>
      </c>
      <c r="S41" s="3">
        <v>57.142857142857146</v>
      </c>
      <c r="T41" s="3">
        <v>69.51695762718127</v>
      </c>
      <c r="U41" s="3"/>
      <c r="V41" s="3"/>
      <c r="W41" s="3"/>
      <c r="X41" s="3"/>
      <c r="Y41" s="3"/>
      <c r="Z41" s="3"/>
      <c r="AA41" s="3"/>
      <c r="AB41" s="3">
        <f>2240*0.0156862745098039</f>
        <v>35.137254901960738</v>
      </c>
      <c r="AC41" s="3">
        <f>2240*0.0156862745098039</f>
        <v>35.137254901960738</v>
      </c>
      <c r="AD41" s="3"/>
      <c r="AE41" s="3"/>
      <c r="AF41" s="3"/>
      <c r="AG41" s="3"/>
      <c r="AH41" s="3"/>
      <c r="AI41" s="3"/>
      <c r="AJ41" s="3"/>
      <c r="AK41" s="3"/>
      <c r="AL41" s="3"/>
      <c r="AM41" s="3">
        <v>68.833277551996176</v>
      </c>
      <c r="AN41" s="3">
        <v>48.394758394758398</v>
      </c>
      <c r="AO41" s="3">
        <v>61.316593755618143</v>
      </c>
      <c r="AP41" s="3">
        <v>103.22116401551523</v>
      </c>
      <c r="AQ41" s="16">
        <v>70.97750538863059</v>
      </c>
    </row>
    <row r="42" spans="1:43" x14ac:dyDescent="0.25">
      <c r="A42" s="9">
        <f t="shared" si="2"/>
        <v>1875</v>
      </c>
      <c r="C42" s="3">
        <v>143.82666666666668</v>
      </c>
      <c r="D42" s="3"/>
      <c r="E42" s="3">
        <f>2240*0.00451325951331302</f>
        <v>10.109701309821165</v>
      </c>
      <c r="F42" s="3"/>
      <c r="G42" s="3"/>
      <c r="H42" s="3"/>
      <c r="I42" s="3"/>
      <c r="J42" s="3"/>
      <c r="K42" s="3"/>
      <c r="L42" s="3">
        <f>2240*0.0220559692275117</f>
        <v>49.405371069626206</v>
      </c>
      <c r="M42" s="3"/>
      <c r="N42" s="3"/>
      <c r="O42" s="3">
        <v>45.940594059405939</v>
      </c>
      <c r="P42" s="3"/>
      <c r="Q42" s="3"/>
      <c r="R42" s="3">
        <v>57.142857142857146</v>
      </c>
      <c r="S42" s="3">
        <v>57.142857142857146</v>
      </c>
      <c r="T42" s="3">
        <v>54.268068768466506</v>
      </c>
      <c r="U42" s="3"/>
      <c r="V42" s="3"/>
      <c r="W42" s="3"/>
      <c r="X42" s="3"/>
      <c r="Y42" s="3"/>
      <c r="Z42" s="3"/>
      <c r="AA42" s="3"/>
      <c r="AB42" s="3"/>
      <c r="AC42" s="3">
        <f>2240*0.0357142857142857</f>
        <v>79.999999999999972</v>
      </c>
      <c r="AD42" s="3">
        <f>2240*0.0491071428571429</f>
        <v>110.00000000000009</v>
      </c>
      <c r="AE42" s="3"/>
      <c r="AF42" s="3"/>
      <c r="AG42" s="3"/>
      <c r="AH42" s="3"/>
      <c r="AI42" s="3"/>
      <c r="AJ42" s="3"/>
      <c r="AK42" s="3"/>
      <c r="AL42" s="3"/>
      <c r="AM42" s="3">
        <v>62.102235788035394</v>
      </c>
      <c r="AN42" s="3">
        <v>48.355173355173356</v>
      </c>
      <c r="AO42" s="3">
        <v>59.805037853818348</v>
      </c>
      <c r="AP42" s="3">
        <v>100.90215633115213</v>
      </c>
      <c r="AQ42" s="16">
        <v>69.687455846714613</v>
      </c>
    </row>
    <row r="43" spans="1:43" x14ac:dyDescent="0.25">
      <c r="A43" s="9">
        <f t="shared" si="2"/>
        <v>1876</v>
      </c>
      <c r="C43" s="3">
        <v>135.70666666666665</v>
      </c>
      <c r="D43" s="3"/>
      <c r="F43" s="3"/>
      <c r="G43" s="3"/>
      <c r="H43" s="3"/>
      <c r="I43" s="3"/>
      <c r="J43" s="3"/>
      <c r="K43" s="3"/>
      <c r="L43" s="3">
        <f>2240*0.0189669936922892</f>
        <v>42.486065870727806</v>
      </c>
      <c r="M43" s="3"/>
      <c r="N43" s="3"/>
      <c r="O43" s="3">
        <v>36.507936507936506</v>
      </c>
      <c r="P43" s="3"/>
      <c r="Q43" s="3"/>
      <c r="R43" s="3"/>
      <c r="S43" s="3"/>
      <c r="T43" s="3">
        <v>34.223809245470022</v>
      </c>
      <c r="U43" s="3"/>
      <c r="V43" s="3"/>
      <c r="W43" s="3"/>
      <c r="X43" s="3"/>
      <c r="Y43" s="3"/>
      <c r="Z43" s="3"/>
      <c r="AA43" s="3"/>
      <c r="AC43" s="3"/>
      <c r="AD43" s="3">
        <f>2240*0.0178571428571429</f>
        <v>40.000000000000099</v>
      </c>
      <c r="AE43" s="3"/>
      <c r="AF43" s="3"/>
      <c r="AG43" s="3"/>
      <c r="AH43" s="3"/>
      <c r="AI43" s="3"/>
      <c r="AJ43" s="3"/>
      <c r="AK43" s="3"/>
      <c r="AL43" s="3"/>
      <c r="AM43" s="3">
        <v>58.268316498855469</v>
      </c>
      <c r="AN43" s="3">
        <v>34.561834561834559</v>
      </c>
      <c r="AO43" s="3">
        <v>60.778250534348089</v>
      </c>
      <c r="AP43" s="3">
        <v>102.98086437029831</v>
      </c>
      <c r="AQ43" s="16">
        <v>66.106983155493651</v>
      </c>
    </row>
    <row r="44" spans="1:43" x14ac:dyDescent="0.25">
      <c r="A44" s="9">
        <f t="shared" si="2"/>
        <v>1877</v>
      </c>
      <c r="C44" s="3">
        <v>134.21333333333334</v>
      </c>
      <c r="D44" s="3"/>
      <c r="E44" s="3">
        <f>2240*0.00338277387457715</f>
        <v>7.5774134790528151</v>
      </c>
      <c r="F44" s="3"/>
      <c r="G44" s="3"/>
      <c r="H44" s="3"/>
      <c r="I44" s="3"/>
      <c r="J44" s="3"/>
      <c r="K44" s="3"/>
      <c r="L44" s="3">
        <f>2240*0.0173774303004638</f>
        <v>38.925443873038908</v>
      </c>
      <c r="M44" s="3"/>
      <c r="N44" s="3"/>
      <c r="O44" s="3"/>
      <c r="P44" s="3"/>
      <c r="Q44" s="3"/>
      <c r="R44" s="3">
        <v>50</v>
      </c>
      <c r="S44" s="3">
        <v>57.142857142857146</v>
      </c>
      <c r="T44" s="3">
        <v>66.279564927195779</v>
      </c>
      <c r="U44" s="3"/>
      <c r="V44" s="3"/>
      <c r="W44" s="3"/>
      <c r="X44" s="3"/>
      <c r="Y44" s="3"/>
      <c r="Z44" s="3"/>
      <c r="AA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>
        <v>55.553583546484312</v>
      </c>
      <c r="AN44" s="3">
        <v>53.869778869778877</v>
      </c>
      <c r="AO44" s="3">
        <v>58.86258764307545</v>
      </c>
      <c r="AP44" s="3">
        <v>100.47632819265523</v>
      </c>
      <c r="AQ44" s="16">
        <v>71.069564901836529</v>
      </c>
    </row>
    <row r="45" spans="1:43" x14ac:dyDescent="0.25">
      <c r="A45" s="9">
        <f t="shared" si="2"/>
        <v>1878</v>
      </c>
      <c r="C45" s="3">
        <v>129.73333333333332</v>
      </c>
      <c r="D45" s="3">
        <f>2240*0.0151380231522707</f>
        <v>33.909171861086371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50</v>
      </c>
      <c r="S45" s="3">
        <v>57.142857142857146</v>
      </c>
      <c r="T45" s="3">
        <v>74.728688003941187</v>
      </c>
      <c r="U45" s="3">
        <v>80.01363791339918</v>
      </c>
      <c r="V45" s="3"/>
      <c r="W45" s="3"/>
      <c r="X45" s="3"/>
      <c r="Y45" s="3"/>
      <c r="Z45" s="3"/>
      <c r="AA45" s="3"/>
      <c r="AC45" s="3"/>
      <c r="AD45" s="3"/>
      <c r="AE45" s="3">
        <f>2240*0.00801190476190476</f>
        <v>17.946666666666662</v>
      </c>
      <c r="AF45" s="3"/>
      <c r="AG45" s="3"/>
      <c r="AH45" s="3"/>
      <c r="AI45" s="3"/>
      <c r="AJ45" s="3"/>
      <c r="AK45" s="3"/>
      <c r="AL45" s="3"/>
      <c r="AM45" s="3">
        <v>56.135564828524856</v>
      </c>
      <c r="AN45" s="3">
        <v>42.228754728754723</v>
      </c>
      <c r="AO45" s="3">
        <v>48.802560875731601</v>
      </c>
      <c r="AP45" s="3">
        <v>91.717882488629243</v>
      </c>
      <c r="AQ45" s="16">
        <v>60.916399364371863</v>
      </c>
    </row>
    <row r="46" spans="1:43" x14ac:dyDescent="0.25">
      <c r="A46" s="9">
        <f t="shared" si="2"/>
        <v>1879</v>
      </c>
      <c r="C46" s="3">
        <v>126.56</v>
      </c>
      <c r="D46" s="3"/>
      <c r="F46" s="3"/>
      <c r="G46" s="3"/>
      <c r="H46" s="3"/>
      <c r="I46" s="3"/>
      <c r="J46" s="3"/>
      <c r="K46" s="3"/>
      <c r="L46" s="3">
        <f>2240*0.014377224385341</f>
        <v>32.204982623163836</v>
      </c>
      <c r="M46" s="3"/>
      <c r="N46" s="3"/>
      <c r="O46" s="3">
        <v>38.733705772811916</v>
      </c>
      <c r="P46" s="3"/>
      <c r="Q46" s="3"/>
      <c r="R46" s="3">
        <v>57.142857142857146</v>
      </c>
      <c r="S46" s="3">
        <v>57.142857142857146</v>
      </c>
      <c r="T46" s="3">
        <v>76.750734612450856</v>
      </c>
      <c r="U46" s="3">
        <v>55.510698425514683</v>
      </c>
      <c r="V46" s="3"/>
      <c r="W46" s="3"/>
      <c r="X46" s="3"/>
      <c r="Y46" s="3"/>
      <c r="Z46" s="3"/>
      <c r="AA46" s="3"/>
      <c r="AC46" s="3"/>
      <c r="AD46" s="3"/>
      <c r="AF46" s="3"/>
      <c r="AG46" s="3"/>
      <c r="AH46" s="3"/>
      <c r="AI46" s="3"/>
      <c r="AJ46" s="3"/>
      <c r="AK46" s="3"/>
      <c r="AL46" s="3"/>
      <c r="AM46" s="3">
        <v>51.655827373650872</v>
      </c>
      <c r="AN46" s="3">
        <v>35.977535977535979</v>
      </c>
      <c r="AO46" s="3">
        <v>50.737100737100739</v>
      </c>
      <c r="AP46" s="3">
        <v>89.441592672110119</v>
      </c>
      <c r="AQ46" s="16">
        <v>58.718743128915612</v>
      </c>
    </row>
    <row r="47" spans="1:43" x14ac:dyDescent="0.25">
      <c r="A47" s="9">
        <f t="shared" si="2"/>
        <v>1880</v>
      </c>
      <c r="C47" s="3">
        <v>127.49333333333333</v>
      </c>
      <c r="D47" s="3"/>
      <c r="F47" s="3"/>
      <c r="G47" s="3"/>
      <c r="H47" s="3"/>
      <c r="I47" s="3"/>
      <c r="J47" s="3"/>
      <c r="K47" s="3"/>
      <c r="L47" s="3">
        <f>2240*0.0169912651826757</f>
        <v>38.060434009193564</v>
      </c>
      <c r="M47" s="3"/>
      <c r="N47" s="3"/>
      <c r="O47" s="3"/>
      <c r="P47" s="3"/>
      <c r="Q47" s="3"/>
      <c r="R47" s="3"/>
      <c r="S47" s="3">
        <v>57.142857142857146</v>
      </c>
      <c r="T47" s="3">
        <v>76.181125404858292</v>
      </c>
      <c r="U47" s="3">
        <v>59.999999999999943</v>
      </c>
      <c r="V47" s="3"/>
      <c r="W47" s="3"/>
      <c r="X47" s="3"/>
      <c r="Y47" s="3"/>
      <c r="Z47" s="3"/>
      <c r="AA47" s="3"/>
      <c r="AB47" s="3"/>
      <c r="AC47" s="3"/>
      <c r="AD47" s="3"/>
      <c r="AF47" s="3"/>
      <c r="AG47" s="3"/>
      <c r="AH47" s="3"/>
      <c r="AI47" s="3"/>
      <c r="AJ47" s="3"/>
      <c r="AK47" s="3"/>
      <c r="AL47" s="3"/>
      <c r="AM47" s="3">
        <v>54.837269305309292</v>
      </c>
      <c r="AN47" s="3">
        <v>73.359073359073378</v>
      </c>
      <c r="AO47" s="3">
        <v>78.613491540320823</v>
      </c>
      <c r="AP47" s="3">
        <v>92.813461345528978</v>
      </c>
      <c r="AQ47" s="16">
        <v>81.59534208164105</v>
      </c>
    </row>
    <row r="48" spans="1:43" x14ac:dyDescent="0.25">
      <c r="A48" s="9">
        <f t="shared" si="2"/>
        <v>1881</v>
      </c>
      <c r="C48" s="3">
        <v>129.45333333333332</v>
      </c>
      <c r="D48" s="3"/>
      <c r="F48" s="3"/>
      <c r="G48" s="3"/>
      <c r="H48" s="3"/>
      <c r="I48" s="3"/>
      <c r="J48" s="3"/>
      <c r="K48" s="3"/>
      <c r="L48" s="3">
        <f>2240*0.0165071835535396</f>
        <v>36.976091159928707</v>
      </c>
      <c r="M48" s="3"/>
      <c r="N48" s="3"/>
      <c r="O48" s="3"/>
      <c r="P48" s="3"/>
      <c r="Q48" s="3"/>
      <c r="R48" s="3"/>
      <c r="S48" s="3">
        <v>57.142857142857146</v>
      </c>
      <c r="T48" s="3">
        <v>74.866842105263146</v>
      </c>
      <c r="U48" s="3">
        <v>59.999999999999957</v>
      </c>
      <c r="V48" s="3"/>
      <c r="W48" s="3"/>
      <c r="X48" s="3"/>
      <c r="Y48" s="3"/>
      <c r="Z48" s="3"/>
      <c r="AA48" s="3"/>
      <c r="AB48" s="3"/>
      <c r="AC48" s="3"/>
      <c r="AD48" s="3"/>
      <c r="AF48" s="3"/>
      <c r="AG48" s="3"/>
      <c r="AH48" s="3">
        <f>(1/112*2240)*0.488955868672774</f>
        <v>9.779117373455481</v>
      </c>
      <c r="AI48" s="3"/>
      <c r="AJ48" s="3"/>
      <c r="AK48" s="3"/>
      <c r="AL48" s="3"/>
      <c r="AM48" s="3">
        <v>58.384135203278333</v>
      </c>
      <c r="AN48" s="3">
        <v>66.52187902187903</v>
      </c>
      <c r="AO48" s="3">
        <v>63.023211681748286</v>
      </c>
      <c r="AP48" s="3">
        <v>101.84035409807184</v>
      </c>
      <c r="AQ48" s="16">
        <v>77.128481600566388</v>
      </c>
    </row>
    <row r="49" spans="1:43" x14ac:dyDescent="0.25">
      <c r="A49" s="9">
        <f t="shared" si="2"/>
        <v>1882</v>
      </c>
      <c r="C49" s="3">
        <v>114.52</v>
      </c>
      <c r="D49" s="3"/>
      <c r="F49" s="3"/>
      <c r="G49" s="3"/>
      <c r="H49" s="3"/>
      <c r="I49" s="3"/>
      <c r="J49" s="3"/>
      <c r="K49" s="3"/>
      <c r="L49" s="3">
        <f>2240*0.0172417686913217</f>
        <v>38.621561868560605</v>
      </c>
      <c r="M49" s="3"/>
      <c r="N49" s="3">
        <v>58.181818181818187</v>
      </c>
      <c r="O49" s="3"/>
      <c r="P49" s="3"/>
      <c r="Q49" s="3"/>
      <c r="R49" s="3"/>
      <c r="S49" s="3">
        <v>57.142857142857146</v>
      </c>
      <c r="T49" s="3">
        <v>85.542408645924198</v>
      </c>
      <c r="U49" s="3">
        <v>59.999999999999943</v>
      </c>
      <c r="V49" s="3"/>
      <c r="W49" s="3"/>
      <c r="X49" s="3"/>
      <c r="Y49" s="3"/>
      <c r="Z49" s="3"/>
      <c r="AA49" s="3"/>
      <c r="AB49" s="3"/>
      <c r="AC49" s="3"/>
      <c r="AD49" s="3"/>
      <c r="AF49" s="3"/>
      <c r="AG49" s="3"/>
      <c r="AH49" s="3">
        <f>(1/112*2240)*0.488364628202795</f>
        <v>9.7672925640559001</v>
      </c>
      <c r="AI49" s="3"/>
      <c r="AJ49" s="3"/>
      <c r="AK49" s="3"/>
      <c r="AL49" s="3"/>
      <c r="AM49" s="3">
        <v>56.511721938933341</v>
      </c>
      <c r="AN49" s="3">
        <v>60.401310401310397</v>
      </c>
      <c r="AO49" s="3">
        <v>62.369509198777486</v>
      </c>
      <c r="AP49" s="3">
        <v>87.251946306196515</v>
      </c>
      <c r="AQ49" s="16">
        <v>70.007588635428135</v>
      </c>
    </row>
    <row r="50" spans="1:43" x14ac:dyDescent="0.25">
      <c r="A50" s="9">
        <f t="shared" si="2"/>
        <v>1883</v>
      </c>
      <c r="C50" s="3">
        <v>112.74666666666667</v>
      </c>
      <c r="D50" s="3"/>
      <c r="F50" s="3"/>
      <c r="G50" s="3"/>
      <c r="H50" s="3"/>
      <c r="I50" s="3"/>
      <c r="J50" s="3"/>
      <c r="K50" s="3"/>
      <c r="L50" s="3">
        <f>2240*0.015751882348764</f>
        <v>35.28421646123136</v>
      </c>
      <c r="M50" s="3"/>
      <c r="N50" s="3"/>
      <c r="O50" s="3"/>
      <c r="P50" s="3"/>
      <c r="Q50" s="3"/>
      <c r="R50" s="3">
        <v>76.457142857142856</v>
      </c>
      <c r="S50" s="3">
        <v>45</v>
      </c>
      <c r="T50" s="3">
        <v>94.118671054816915</v>
      </c>
      <c r="U50" s="3">
        <v>59.985311398354817</v>
      </c>
      <c r="V50" s="3"/>
      <c r="W50" s="3"/>
      <c r="X50" s="3"/>
      <c r="Y50" s="3"/>
      <c r="Z50" s="3"/>
      <c r="AA50" s="3"/>
      <c r="AB50" s="3"/>
      <c r="AC50" s="3"/>
      <c r="AD50" s="3"/>
      <c r="AF50" s="3"/>
      <c r="AG50" s="3"/>
      <c r="AH50" s="3">
        <f>(1/112*2240)*0.509692474692351</f>
        <v>10.19384949384702</v>
      </c>
      <c r="AI50" s="3">
        <f>(1/112*2240)*0.510720972611672</f>
        <v>10.214419452233441</v>
      </c>
      <c r="AJ50" s="3"/>
      <c r="AK50" s="3"/>
      <c r="AL50" s="3"/>
      <c r="AM50" s="3">
        <v>55.51642296990174</v>
      </c>
      <c r="AN50" s="3">
        <v>59.158184158184156</v>
      </c>
      <c r="AO50" s="3">
        <v>61.651485188070552</v>
      </c>
      <c r="AP50" s="3">
        <v>85.152315208223158</v>
      </c>
      <c r="AQ50" s="16">
        <v>68.653994851492612</v>
      </c>
    </row>
    <row r="51" spans="1:43" x14ac:dyDescent="0.25">
      <c r="A51" s="9">
        <f t="shared" si="2"/>
        <v>1884</v>
      </c>
      <c r="C51" s="3">
        <v>112.83999999999999</v>
      </c>
      <c r="D51" s="3"/>
      <c r="E51" s="3">
        <f>2240*0.0267857142857143</f>
        <v>60.000000000000036</v>
      </c>
      <c r="F51" s="3"/>
      <c r="G51" s="3"/>
      <c r="H51" s="3"/>
      <c r="I51" s="3">
        <f>20*1.54545454545455</f>
        <v>30.909090909091002</v>
      </c>
      <c r="J51" s="3">
        <f>20*1.63636363636364</f>
        <v>32.727272727272798</v>
      </c>
      <c r="K51" s="3"/>
      <c r="L51" s="3">
        <f>2240*0.0162176244319939</f>
        <v>36.327478727666332</v>
      </c>
      <c r="M51" s="3"/>
      <c r="N51" s="3">
        <v>40.249128051818637</v>
      </c>
      <c r="O51" s="3"/>
      <c r="P51" s="3"/>
      <c r="Q51" s="3"/>
      <c r="R51" s="3">
        <v>40</v>
      </c>
      <c r="S51" s="3">
        <v>45</v>
      </c>
      <c r="T51" s="3">
        <v>85.562105263157889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F51" s="3"/>
      <c r="AG51" s="3"/>
      <c r="AH51" s="3">
        <f>(1/112*2240)*0.503065742591466</f>
        <v>10.061314851829319</v>
      </c>
      <c r="AI51" s="3">
        <f>(1/112*2240)*0.571665616581211</f>
        <v>11.433312331624219</v>
      </c>
      <c r="AJ51" s="3"/>
      <c r="AK51" s="3"/>
      <c r="AL51" s="3"/>
      <c r="AM51" s="3">
        <v>57.740494241656521</v>
      </c>
      <c r="AN51" s="3">
        <v>59.231309231309233</v>
      </c>
      <c r="AO51" s="3">
        <v>51.534128363396661</v>
      </c>
      <c r="AP51" s="3">
        <v>87.256143209598676</v>
      </c>
      <c r="AQ51" s="16">
        <v>66.007193601434849</v>
      </c>
    </row>
    <row r="52" spans="1:43" x14ac:dyDescent="0.25">
      <c r="A52" s="9">
        <f t="shared" si="2"/>
        <v>1885</v>
      </c>
      <c r="C52" s="3">
        <v>93.800000000000011</v>
      </c>
      <c r="D52" s="3"/>
      <c r="F52" s="3"/>
      <c r="G52" s="3"/>
      <c r="H52" s="3"/>
      <c r="I52" s="3"/>
      <c r="J52" s="3"/>
      <c r="K52" s="3">
        <v>44.348246297739671</v>
      </c>
      <c r="L52" s="3">
        <f>2240*0.0145454545454545</f>
        <v>32.581818181818079</v>
      </c>
      <c r="M52" s="3"/>
      <c r="N52" s="3">
        <v>43.633366303989455</v>
      </c>
      <c r="O52" s="3"/>
      <c r="P52" s="3">
        <f>2240*0.0176903481460515</f>
        <v>39.626379847155356</v>
      </c>
      <c r="Q52" s="3"/>
      <c r="R52" s="3">
        <v>40</v>
      </c>
      <c r="S52" s="3">
        <v>40</v>
      </c>
      <c r="T52" s="3">
        <v>85.562105263157889</v>
      </c>
      <c r="U52" s="3">
        <v>43.899430740037907</v>
      </c>
      <c r="V52" s="3"/>
      <c r="W52" s="3"/>
      <c r="X52" s="3"/>
      <c r="Y52" s="3"/>
      <c r="Z52" s="3"/>
      <c r="AA52" s="3"/>
      <c r="AB52" s="3"/>
      <c r="AC52" s="3"/>
      <c r="AD52" s="3"/>
      <c r="AF52" s="3"/>
      <c r="AG52" s="3"/>
      <c r="AH52" s="3">
        <f>(1/112*2240)*0.438700428724545</f>
        <v>8.7740085744908995</v>
      </c>
      <c r="AI52" s="3">
        <f>(1/112*2240)*0.526440514469453</f>
        <v>10.528810289389058</v>
      </c>
      <c r="AJ52" s="3"/>
      <c r="AK52" s="3"/>
      <c r="AL52" s="3"/>
      <c r="AM52" s="3">
        <v>53.437492402816837</v>
      </c>
      <c r="AN52" s="3">
        <v>56.81818181818182</v>
      </c>
      <c r="AO52" s="3">
        <v>46.446784922394684</v>
      </c>
      <c r="AP52" s="3">
        <v>87.201389508798073</v>
      </c>
      <c r="AQ52" s="16">
        <v>63.4887854164582</v>
      </c>
    </row>
    <row r="53" spans="1:43" x14ac:dyDescent="0.25">
      <c r="A53" s="9">
        <f t="shared" si="2"/>
        <v>1886</v>
      </c>
      <c r="C53" s="3">
        <v>84.74666666666667</v>
      </c>
      <c r="D53" s="3"/>
      <c r="F53" s="3"/>
      <c r="G53" s="3"/>
      <c r="H53" s="3"/>
      <c r="I53" s="3"/>
      <c r="J53" s="3"/>
      <c r="K53" s="3">
        <v>36.785134393856282</v>
      </c>
      <c r="L53" s="3">
        <f>2240*0.0177033492822967</f>
        <v>39.655502392344609</v>
      </c>
      <c r="M53" s="3"/>
      <c r="N53" s="3">
        <v>59.054758800521512</v>
      </c>
      <c r="O53" s="3"/>
      <c r="P53" s="3"/>
      <c r="Q53" s="3"/>
      <c r="R53" s="3">
        <v>40</v>
      </c>
      <c r="S53" s="3">
        <v>40</v>
      </c>
      <c r="T53" s="3">
        <v>74.866842105263146</v>
      </c>
      <c r="U53" s="3">
        <v>44.341544607190372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>
        <f>(1/112*2240)*0.512381774861678</f>
        <v>10.24763549723356</v>
      </c>
      <c r="AI53" s="3">
        <f>(1/112*2240)*0.569313083179643</f>
        <v>11.38626166359286</v>
      </c>
      <c r="AJ53" s="3"/>
      <c r="AK53" s="3"/>
      <c r="AL53" s="3"/>
      <c r="AM53" s="3">
        <v>56.250668007312377</v>
      </c>
      <c r="AN53" s="3">
        <v>53.08880308880309</v>
      </c>
      <c r="AO53" s="3">
        <v>45.428477257745556</v>
      </c>
      <c r="AP53" s="3">
        <v>86.237972274758064</v>
      </c>
      <c r="AQ53" s="16">
        <v>61.585084207102234</v>
      </c>
    </row>
    <row r="54" spans="1:43" x14ac:dyDescent="0.25">
      <c r="A54" s="9">
        <f t="shared" si="2"/>
        <v>1887</v>
      </c>
      <c r="C54" s="3">
        <v>94.733333333333334</v>
      </c>
      <c r="D54" s="3"/>
      <c r="E54" s="3">
        <f>2240*0.0208332275809091</f>
        <v>46.666429781236388</v>
      </c>
      <c r="F54" s="3"/>
      <c r="G54" s="3">
        <f>2240*0.0288650995359711</f>
        <v>64.65782296057526</v>
      </c>
      <c r="I54" s="3"/>
      <c r="J54" s="3"/>
      <c r="K54" s="3">
        <v>43.317492163009405</v>
      </c>
      <c r="L54" s="3">
        <f>2240*0.0145454545454545</f>
        <v>32.581818181818079</v>
      </c>
      <c r="M54" s="3"/>
      <c r="N54" s="3">
        <v>30.408967315909219</v>
      </c>
      <c r="O54" s="3"/>
      <c r="P54" s="3">
        <f>2240*0.0245252553842987</f>
        <v>54.936572060829086</v>
      </c>
      <c r="Q54" s="3"/>
      <c r="R54" s="3">
        <v>40</v>
      </c>
      <c r="S54" s="3">
        <v>40</v>
      </c>
      <c r="T54" s="3"/>
      <c r="U54" s="3">
        <v>43.939377682403389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>
        <f>(1/112*2240)*0.504618414636501</f>
        <v>10.09236829273002</v>
      </c>
      <c r="AI54" s="3">
        <f>(1/112*2240)*0.630773018295627</f>
        <v>12.61546036591254</v>
      </c>
      <c r="AJ54" s="3"/>
      <c r="AK54" s="3"/>
      <c r="AL54" s="3">
        <f>20*1.17985651270762</f>
        <v>23.597130254152397</v>
      </c>
      <c r="AM54" s="3">
        <v>57.0544083073707</v>
      </c>
      <c r="AN54" s="3">
        <v>44.616044616044618</v>
      </c>
      <c r="AO54" s="3">
        <v>60.361733684904422</v>
      </c>
      <c r="AP54" s="3">
        <v>89.124919134930948</v>
      </c>
      <c r="AQ54" s="16">
        <v>64.70089914529332</v>
      </c>
    </row>
    <row r="55" spans="1:43" x14ac:dyDescent="0.25">
      <c r="A55" s="9">
        <f t="shared" si="2"/>
        <v>1888</v>
      </c>
      <c r="C55" s="3">
        <v>91.186666666666667</v>
      </c>
      <c r="D55" s="3"/>
      <c r="E55" s="3">
        <f>2240*0.0262382965871338</f>
        <v>58.773784355179714</v>
      </c>
      <c r="F55" s="3"/>
      <c r="G55" s="3">
        <f>2240*0.0249763712354059</f>
        <v>55.947071567309216</v>
      </c>
      <c r="I55" s="3"/>
      <c r="J55" s="3"/>
      <c r="K55" s="3">
        <v>42.549386281588447</v>
      </c>
      <c r="L55" s="3">
        <f>2240*0.0125</f>
        <v>28</v>
      </c>
      <c r="M55" s="3"/>
      <c r="N55" s="3">
        <v>33.478369592398096</v>
      </c>
      <c r="O55" s="3">
        <v>55.555555555555557</v>
      </c>
      <c r="P55" s="3"/>
      <c r="Q55" s="3"/>
      <c r="R55" s="3">
        <v>40</v>
      </c>
      <c r="S55" s="3">
        <v>39.970501474926252</v>
      </c>
      <c r="T55" s="3">
        <v>64.171578947368417</v>
      </c>
      <c r="U55" s="3">
        <v>48.830966304650467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>
        <v>188.42490842490844</v>
      </c>
      <c r="AG55" s="3">
        <v>91.625</v>
      </c>
      <c r="AH55" s="3"/>
      <c r="AI55" s="3">
        <f>(1/112*2240)*0.580981648851424</f>
        <v>11.619632977028481</v>
      </c>
      <c r="AJ55" s="3"/>
      <c r="AK55" s="3"/>
      <c r="AL55" s="3">
        <f>20*1.17469679034884</f>
        <v>23.493935806976797</v>
      </c>
      <c r="AM55" s="3">
        <v>60.211016421181064</v>
      </c>
      <c r="AN55" s="3">
        <v>35.449085449085452</v>
      </c>
      <c r="AO55" s="3">
        <v>55.635324903617594</v>
      </c>
      <c r="AP55" s="3">
        <v>95.440121766691007</v>
      </c>
      <c r="AQ55" s="16">
        <v>62.174844039798018</v>
      </c>
    </row>
    <row r="56" spans="1:43" x14ac:dyDescent="0.25">
      <c r="A56" s="9">
        <f t="shared" si="2"/>
        <v>1889</v>
      </c>
      <c r="C56" s="3">
        <v>91.279999999999987</v>
      </c>
      <c r="D56" s="3"/>
      <c r="E56" s="3">
        <f>2240*0.0253262362637363</f>
        <v>56.730769230769312</v>
      </c>
      <c r="F56" s="3"/>
      <c r="G56" s="3">
        <f>2240*0.0261848739118095</f>
        <v>58.65411756245328</v>
      </c>
      <c r="I56" s="3"/>
      <c r="J56" s="3"/>
      <c r="K56" s="3">
        <v>47.380569948186526</v>
      </c>
      <c r="L56" s="3">
        <f>2240*0.0125</f>
        <v>28</v>
      </c>
      <c r="M56" s="3"/>
      <c r="N56" s="3">
        <v>23.586206896551722</v>
      </c>
      <c r="O56" s="3"/>
      <c r="P56" s="3"/>
      <c r="Q56" s="3"/>
      <c r="R56" s="3">
        <v>40</v>
      </c>
      <c r="S56" s="3">
        <v>40</v>
      </c>
      <c r="T56" s="3">
        <v>57.533763935097959</v>
      </c>
      <c r="U56" s="3">
        <v>46.092173438778254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>
        <v>70.971786833855802</v>
      </c>
      <c r="AG56" s="3">
        <v>75.164835164835168</v>
      </c>
      <c r="AH56" s="3"/>
      <c r="AI56" s="3">
        <f>(1/112*2240)*0.514169700246871</f>
        <v>10.283394004937421</v>
      </c>
      <c r="AJ56" s="3"/>
      <c r="AK56" s="3"/>
      <c r="AL56" s="3">
        <f>20*1.53300573300573</f>
        <v>30.660114660114601</v>
      </c>
      <c r="AM56" s="3">
        <v>62.160957055645518</v>
      </c>
      <c r="AN56" s="3">
        <v>35.294060294060294</v>
      </c>
      <c r="AO56" s="3">
        <v>55.86953916222209</v>
      </c>
      <c r="AP56" s="3">
        <v>101.30889688584278</v>
      </c>
      <c r="AQ56" s="16">
        <v>64.157498780708394</v>
      </c>
    </row>
    <row r="57" spans="1:43" x14ac:dyDescent="0.25">
      <c r="A57" s="9">
        <f t="shared" si="2"/>
        <v>1890</v>
      </c>
      <c r="C57" s="3">
        <v>95.853333333333325</v>
      </c>
      <c r="D57" s="3"/>
      <c r="E57" s="3">
        <f>2240*0.0252784178187404</f>
        <v>56.623655913978496</v>
      </c>
      <c r="F57" s="3"/>
      <c r="G57" s="3">
        <f>2240*0.02511118123407</f>
        <v>56.249045964316799</v>
      </c>
      <c r="I57" s="3"/>
      <c r="J57" s="3"/>
      <c r="K57" s="3">
        <v>46.263445017182129</v>
      </c>
      <c r="L57" s="3">
        <f>2240*0.0205636978579481</f>
        <v>46.062683201803743</v>
      </c>
      <c r="M57" s="3"/>
      <c r="N57" s="3">
        <v>51.862068965517238</v>
      </c>
      <c r="O57" s="3"/>
      <c r="P57" s="3"/>
      <c r="Q57" s="3"/>
      <c r="R57" s="3">
        <v>40</v>
      </c>
      <c r="S57" s="3"/>
      <c r="T57" s="3">
        <v>48.128684210526316</v>
      </c>
      <c r="U57" s="3">
        <v>52.428104575163353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f>(1/112*2240)*0.674000819549453</f>
        <v>13.480016390989061</v>
      </c>
      <c r="AJ57" s="3"/>
      <c r="AK57" s="3">
        <f>(1/3*20)*2.52516025641026</f>
        <v>16.834401709401732</v>
      </c>
      <c r="AL57" s="3">
        <f>20*1.44730291789115</f>
        <v>28.946058357823002</v>
      </c>
      <c r="AM57" s="3">
        <v>60.053562788056837</v>
      </c>
      <c r="AN57" s="3">
        <v>39.479739479739479</v>
      </c>
      <c r="AO57" s="3">
        <v>56.686492479175392</v>
      </c>
      <c r="AP57" s="3">
        <v>104.13023566146452</v>
      </c>
      <c r="AQ57" s="16">
        <v>66.765489206793134</v>
      </c>
    </row>
    <row r="58" spans="1:43" x14ac:dyDescent="0.25">
      <c r="A58" s="9">
        <f t="shared" si="2"/>
        <v>1891</v>
      </c>
      <c r="C58" s="3">
        <v>87.173333333333332</v>
      </c>
      <c r="D58" s="3"/>
      <c r="E58" s="3">
        <f>2240*0.0252678571428571</f>
        <v>56.599999999999902</v>
      </c>
      <c r="F58" s="3"/>
      <c r="G58" s="3">
        <f>2240*0.0253871221964259</f>
        <v>56.867153719994022</v>
      </c>
      <c r="H58" s="3"/>
      <c r="I58" s="3"/>
      <c r="J58" s="3"/>
      <c r="K58" s="3">
        <v>45.213597033374533</v>
      </c>
      <c r="L58" s="3">
        <f>2240*0.0101799242424242</f>
        <v>22.803030303030209</v>
      </c>
      <c r="M58" s="3"/>
      <c r="N58" s="3">
        <v>41.29032258064516</v>
      </c>
      <c r="O58" s="3">
        <v>48.888888888888893</v>
      </c>
      <c r="P58" s="3"/>
      <c r="Q58" s="3"/>
      <c r="R58" s="3">
        <v>22.972972972972975</v>
      </c>
      <c r="S58" s="3"/>
      <c r="T58" s="3">
        <v>42.781052631578945</v>
      </c>
      <c r="U58" s="3">
        <v>49.501429592566069</v>
      </c>
      <c r="V58" s="3"/>
      <c r="W58" s="3"/>
      <c r="X58" s="3"/>
      <c r="Y58" s="3"/>
      <c r="Z58" s="3"/>
      <c r="AA58" s="3"/>
      <c r="AB58" s="3">
        <f>2240*0.00882352941176471</f>
        <v>19.764705882352949</v>
      </c>
      <c r="AC58" s="3"/>
      <c r="AD58" s="3"/>
      <c r="AE58" s="3">
        <f>2240*0.095632183908046</f>
        <v>214.21609195402303</v>
      </c>
      <c r="AF58" s="3">
        <v>50</v>
      </c>
      <c r="AG58" s="3"/>
      <c r="AH58" s="3"/>
      <c r="AI58" s="3">
        <f>(1/112*2240)*0.508852974759325</f>
        <v>10.1770594951865</v>
      </c>
      <c r="AJ58" s="3"/>
      <c r="AK58" s="3">
        <f>(1/3*20)*5.17052826691381</f>
        <v>34.470188446092067</v>
      </c>
      <c r="AL58" s="3">
        <f>20*0.428252622197876</f>
        <v>8.5650524439575211</v>
      </c>
      <c r="AM58" s="3">
        <v>61.125380178463786</v>
      </c>
      <c r="AN58" s="3">
        <v>37.257712257712257</v>
      </c>
      <c r="AO58" s="3">
        <v>45.619693973352511</v>
      </c>
      <c r="AP58" s="3">
        <v>104.54166208777245</v>
      </c>
      <c r="AQ58" s="16">
        <v>62.47302277294574</v>
      </c>
    </row>
    <row r="59" spans="1:43" x14ac:dyDescent="0.25">
      <c r="A59" s="9">
        <f t="shared" si="2"/>
        <v>1892</v>
      </c>
      <c r="C59" s="3">
        <v>81.48</v>
      </c>
      <c r="D59" s="3"/>
      <c r="E59" s="3">
        <f>2240*0.0238087327954438</f>
        <v>53.331561461794109</v>
      </c>
      <c r="F59" s="3"/>
      <c r="G59" s="3">
        <f>2240*0.0238095238095238</f>
        <v>53.333333333333314</v>
      </c>
      <c r="H59" s="3"/>
      <c r="I59" s="3"/>
      <c r="J59" s="3"/>
      <c r="K59" s="3">
        <v>45.33556430446194</v>
      </c>
      <c r="L59" s="3">
        <f>2240*0.0146052631578947</f>
        <v>32.715789473684126</v>
      </c>
      <c r="M59" s="3"/>
      <c r="N59" s="3">
        <v>42.209523809523816</v>
      </c>
      <c r="O59" s="3">
        <v>48.25396825396826</v>
      </c>
      <c r="P59" s="3"/>
      <c r="Q59" s="3"/>
      <c r="R59" s="3">
        <v>22.38095238095238</v>
      </c>
      <c r="S59" s="3"/>
      <c r="T59" s="3">
        <v>42.781052631578945</v>
      </c>
      <c r="U59" s="3">
        <v>46.16869788325846</v>
      </c>
      <c r="V59" s="3"/>
      <c r="W59" s="3"/>
      <c r="X59" s="3"/>
      <c r="Y59" s="3"/>
      <c r="Z59" s="3"/>
      <c r="AA59" s="3"/>
      <c r="AB59" s="3">
        <f>2240*0.00931372549019608</f>
        <v>20.86274509803922</v>
      </c>
      <c r="AC59" s="3"/>
      <c r="AD59" s="3"/>
      <c r="AE59" s="3">
        <f>2240*0.108866995073892</f>
        <v>243.86206896551806</v>
      </c>
      <c r="AF59" s="3">
        <v>45.371428571428574</v>
      </c>
      <c r="AG59" s="3"/>
      <c r="AH59" s="3"/>
      <c r="AI59" s="3">
        <f>(1/112*2240)*0.478787597887276</f>
        <v>9.5757519577455206</v>
      </c>
      <c r="AJ59" s="3"/>
      <c r="AK59" s="3">
        <f>(1/3*20)*5.80047885075818</f>
        <v>38.669859005054533</v>
      </c>
      <c r="AL59" s="3"/>
      <c r="AM59" s="3">
        <v>60.932154380719645</v>
      </c>
      <c r="AN59" s="3">
        <v>32.865332865332867</v>
      </c>
      <c r="AO59" s="3">
        <v>41.575477916941331</v>
      </c>
      <c r="AP59" s="3">
        <v>103.32590735914668</v>
      </c>
      <c r="AQ59" s="16">
        <v>59.255572713806963</v>
      </c>
    </row>
    <row r="60" spans="1:43" x14ac:dyDescent="0.25">
      <c r="A60" s="9">
        <f t="shared" si="2"/>
        <v>1893</v>
      </c>
      <c r="C60" s="3">
        <v>81.38666666666667</v>
      </c>
      <c r="D60" s="3"/>
      <c r="E60" s="3">
        <f>2240*0.062515</f>
        <v>140.03360000000001</v>
      </c>
      <c r="F60" s="3">
        <f>2240*0.0213915849673203</f>
        <v>47.917150326797469</v>
      </c>
      <c r="G60" s="3">
        <f>2240*0.0262489237941244</f>
        <v>58.797589298838652</v>
      </c>
      <c r="H60" s="3"/>
      <c r="I60" s="3"/>
      <c r="J60" s="3"/>
      <c r="K60" s="3">
        <v>46.271726755218211</v>
      </c>
      <c r="L60" s="3">
        <f>2240*0.0100334448160535</f>
        <v>22.474916387959841</v>
      </c>
      <c r="M60" s="3"/>
      <c r="N60" s="3">
        <v>30.715151515151515</v>
      </c>
      <c r="O60" s="3"/>
      <c r="P60" s="3"/>
      <c r="Q60" s="3"/>
      <c r="R60" s="3">
        <v>32.857142857142854</v>
      </c>
      <c r="S60" s="3"/>
      <c r="T60" s="3"/>
      <c r="U60" s="3">
        <v>49.818644067796562</v>
      </c>
      <c r="V60" s="3"/>
      <c r="W60" s="3"/>
      <c r="X60" s="3"/>
      <c r="Y60" s="3"/>
      <c r="Z60" s="3"/>
      <c r="AA60" s="3"/>
      <c r="AB60" s="3">
        <f>2240*0.00980392156862745</f>
        <v>21.96078431372549</v>
      </c>
      <c r="AC60" s="3">
        <f>2240*0.0144081767227168</f>
        <v>32.274315858885629</v>
      </c>
      <c r="AD60" s="3"/>
      <c r="AF60" s="3">
        <v>43.806451612903231</v>
      </c>
      <c r="AG60" s="3"/>
      <c r="AH60" s="3"/>
      <c r="AI60" s="3">
        <f>(1/112*2240)*0.389173013527997</f>
        <v>7.7834602705599396</v>
      </c>
      <c r="AJ60" s="3"/>
      <c r="AK60" s="3">
        <f>(1/3*20)*4.88503468780971</f>
        <v>32.566897918731392</v>
      </c>
      <c r="AL60" s="3">
        <f>20*0.722408305393452</f>
        <v>14.44816610786904</v>
      </c>
      <c r="AM60" s="3">
        <v>61.43020708091251</v>
      </c>
      <c r="AN60" s="3">
        <v>31.597127081635094</v>
      </c>
      <c r="AO60" s="3">
        <v>47.452399686243886</v>
      </c>
      <c r="AP60" s="3">
        <v>103.45809685284782</v>
      </c>
      <c r="AQ60" s="16">
        <v>60.835874540242266</v>
      </c>
    </row>
    <row r="61" spans="1:43" x14ac:dyDescent="0.25">
      <c r="A61" s="9">
        <f t="shared" si="2"/>
        <v>1894</v>
      </c>
      <c r="C61" s="3">
        <v>79.240000000000009</v>
      </c>
      <c r="D61" s="3"/>
      <c r="E61" s="3">
        <f>2240*0.0237828302448311</f>
        <v>53.273539748421669</v>
      </c>
      <c r="F61" s="3">
        <f>2240*0.0220588235294118</f>
        <v>49.411764705882433</v>
      </c>
      <c r="G61" s="3">
        <f>2240*0.0178571428571429</f>
        <v>40.000000000000099</v>
      </c>
      <c r="H61" s="3"/>
      <c r="I61" s="3"/>
      <c r="J61" s="3"/>
      <c r="K61" s="3">
        <v>41.863004291845492</v>
      </c>
      <c r="L61" s="3">
        <f>2240*0.0121212121212121</f>
        <v>27.151515151515106</v>
      </c>
      <c r="M61" s="3"/>
      <c r="N61" s="3">
        <v>25.716049382716051</v>
      </c>
      <c r="O61" s="3">
        <v>35.555555555555557</v>
      </c>
      <c r="P61" s="3"/>
      <c r="Q61" s="3"/>
      <c r="R61" s="3">
        <v>34.339622641509436</v>
      </c>
      <c r="S61" s="3"/>
      <c r="T61" s="3">
        <v>32.085789473684208</v>
      </c>
      <c r="U61" s="3">
        <v>50.578046324269842</v>
      </c>
      <c r="V61" s="3"/>
      <c r="W61" s="3"/>
      <c r="X61" s="3"/>
      <c r="Y61" s="3"/>
      <c r="Z61" s="3">
        <f>2240*0.0250549450549451</f>
        <v>56.123076923077022</v>
      </c>
      <c r="AA61" s="3"/>
      <c r="AC61" s="3"/>
      <c r="AD61" s="3"/>
      <c r="AF61" s="3">
        <v>40.071428571428569</v>
      </c>
      <c r="AG61" s="3"/>
      <c r="AH61" s="3"/>
      <c r="AI61" s="3">
        <f>(1/112*2240)*0.299536315354744</f>
        <v>5.9907263070948797</v>
      </c>
      <c r="AJ61" s="3"/>
      <c r="AK61" s="3">
        <f>(1/3*20)*4</f>
        <v>26.666666666666664</v>
      </c>
      <c r="AL61" s="3"/>
      <c r="AM61" s="3">
        <v>65.229530652714658</v>
      </c>
      <c r="AN61" s="3">
        <v>25.265379664874356</v>
      </c>
      <c r="AO61" s="3">
        <v>33.841423862210448</v>
      </c>
      <c r="AP61" s="3">
        <v>102.75419004669797</v>
      </c>
      <c r="AQ61" s="16">
        <v>53.953664524594252</v>
      </c>
    </row>
    <row r="62" spans="1:43" x14ac:dyDescent="0.25">
      <c r="A62" s="9">
        <f t="shared" si="2"/>
        <v>1895</v>
      </c>
      <c r="C62" s="3">
        <v>75.599999999999994</v>
      </c>
      <c r="D62" s="3"/>
      <c r="F62" s="3">
        <f>2240*0.0178379502145653</f>
        <v>39.957008480626271</v>
      </c>
      <c r="G62" s="3">
        <f>2240*0.0187499667427592</f>
        <v>41.999925503780609</v>
      </c>
      <c r="H62" s="3"/>
      <c r="I62" s="3"/>
      <c r="J62" s="3"/>
      <c r="K62" s="3">
        <v>41.874533437013994</v>
      </c>
      <c r="L62" s="3">
        <f>2240*0.0112306350458944</f>
        <v>25.156622502803458</v>
      </c>
      <c r="M62" s="3"/>
      <c r="N62" s="3"/>
      <c r="O62" s="3">
        <v>48.888888888888893</v>
      </c>
      <c r="P62" s="3"/>
      <c r="Q62" s="3"/>
      <c r="R62" s="3">
        <v>33.191489361702125</v>
      </c>
      <c r="S62" s="3"/>
      <c r="T62" s="3"/>
      <c r="U62" s="3">
        <v>50.927293710328861</v>
      </c>
      <c r="V62" s="3"/>
      <c r="W62" s="3"/>
      <c r="X62" s="3"/>
      <c r="Y62" s="3"/>
      <c r="Z62" s="3"/>
      <c r="AA62" s="3"/>
      <c r="AB62" s="3"/>
      <c r="AC62" s="3"/>
      <c r="AD62" s="3"/>
      <c r="AF62" s="3"/>
      <c r="AG62" s="3"/>
      <c r="AH62" s="3"/>
      <c r="AI62" s="3"/>
      <c r="AJ62" s="3"/>
      <c r="AK62" s="3">
        <f>20*1.06618962432916</f>
        <v>21.323792486583201</v>
      </c>
      <c r="AL62" s="3">
        <f>20*1.296</f>
        <v>25.92</v>
      </c>
      <c r="AM62" s="3">
        <v>60.123108855340611</v>
      </c>
      <c r="AN62" s="3">
        <v>25.419280887981241</v>
      </c>
      <c r="AO62" s="3">
        <v>38.518457481796887</v>
      </c>
      <c r="AP62" s="3">
        <v>101.02729708659743</v>
      </c>
      <c r="AQ62" s="16">
        <v>54.988345152125191</v>
      </c>
    </row>
    <row r="63" spans="1:43" x14ac:dyDescent="0.25">
      <c r="A63" s="9">
        <f t="shared" si="2"/>
        <v>1896</v>
      </c>
      <c r="C63" s="3">
        <v>78.306666666666672</v>
      </c>
      <c r="D63" s="3"/>
      <c r="E63" s="3">
        <f>2240*0.0267872178518566</f>
        <v>60.003367988158786</v>
      </c>
      <c r="F63" s="3">
        <f>2240*0.0208485333458856</f>
        <v>46.700714694783741</v>
      </c>
      <c r="G63" s="3">
        <f>2240*0.0178571428571429</f>
        <v>40.000000000000099</v>
      </c>
      <c r="H63" s="3"/>
      <c r="I63" s="3"/>
      <c r="J63" s="3"/>
      <c r="K63" s="3">
        <v>40.9278452685422</v>
      </c>
      <c r="L63" s="3">
        <f>2240*0.0163894023413432</f>
        <v>36.712261244608769</v>
      </c>
      <c r="M63" s="3"/>
      <c r="N63" s="3"/>
      <c r="O63" s="3">
        <v>53.333333333333329</v>
      </c>
      <c r="P63" s="3">
        <v>57.431215627657977</v>
      </c>
      <c r="Q63" s="3"/>
      <c r="R63" s="3">
        <v>40</v>
      </c>
      <c r="S63" s="3"/>
      <c r="T63" s="3"/>
      <c r="U63" s="3">
        <v>53.488805970149208</v>
      </c>
      <c r="V63" s="3"/>
      <c r="W63" s="3"/>
      <c r="X63" s="3"/>
      <c r="Y63" s="3"/>
      <c r="Z63" s="3"/>
      <c r="AA63" s="3"/>
      <c r="AB63" s="3"/>
      <c r="AC63" s="3"/>
      <c r="AD63" s="3"/>
      <c r="AF63" s="3">
        <v>42.333333333333336</v>
      </c>
      <c r="AG63" s="3"/>
      <c r="AH63" s="3"/>
      <c r="AI63" s="3"/>
      <c r="AJ63" s="3"/>
      <c r="AK63" s="3">
        <f>20*1.96077703538728</f>
        <v>39.215540707745603</v>
      </c>
      <c r="AL63" s="3"/>
      <c r="AM63" s="3">
        <v>64.852490644346858</v>
      </c>
      <c r="AN63" s="3">
        <v>28.880308880246638</v>
      </c>
      <c r="AO63" s="3">
        <v>43.536585365759827</v>
      </c>
      <c r="AP63" s="3">
        <v>97.785697713578131</v>
      </c>
      <c r="AQ63" s="16">
        <v>56.734197319861529</v>
      </c>
    </row>
    <row r="64" spans="1:43" x14ac:dyDescent="0.25">
      <c r="A64" s="9">
        <f t="shared" si="2"/>
        <v>1897</v>
      </c>
      <c r="C64" s="3">
        <v>74.38666666666667</v>
      </c>
      <c r="D64" s="3"/>
      <c r="E64" s="3">
        <f>2240*0.0267838588053675</f>
        <v>59.995843724023196</v>
      </c>
      <c r="F64" s="3">
        <f>2240*0.0176516274800537</f>
        <v>39.539645555320291</v>
      </c>
      <c r="G64" s="3">
        <f>2240*0.0202323495001208</f>
        <v>45.32046288027059</v>
      </c>
      <c r="H64" s="3"/>
      <c r="I64" s="3"/>
      <c r="J64" s="3"/>
      <c r="K64" s="3">
        <v>41.044064303380047</v>
      </c>
      <c r="L64" s="3">
        <f>2240*0.0145454545454545</f>
        <v>32.581818181818079</v>
      </c>
      <c r="M64" s="3"/>
      <c r="N64" s="3"/>
      <c r="O64" s="3">
        <v>46.666666666666671</v>
      </c>
      <c r="Q64" s="3"/>
      <c r="R64" s="3">
        <v>36.756756756756758</v>
      </c>
      <c r="S64" s="3"/>
      <c r="T64" s="3"/>
      <c r="U64" s="3">
        <v>52.502292075965897</v>
      </c>
      <c r="V64" s="3"/>
      <c r="W64" s="3"/>
      <c r="X64" s="3"/>
      <c r="Y64" s="3"/>
      <c r="Z64" s="3"/>
      <c r="AA64" s="3"/>
      <c r="AB64" s="3">
        <f>2240*0.0142602495543672</f>
        <v>31.94295900178253</v>
      </c>
      <c r="AC64" s="3"/>
      <c r="AD64" s="3"/>
      <c r="AF64" s="3">
        <v>41.033591731266142</v>
      </c>
      <c r="AG64" s="3">
        <v>46.222222222222214</v>
      </c>
      <c r="AH64" s="3"/>
      <c r="AI64" s="3"/>
      <c r="AJ64" s="3"/>
      <c r="AK64" s="3">
        <f>20*2.0004118616145</f>
        <v>40.00823723229</v>
      </c>
      <c r="AL64" s="3"/>
      <c r="AM64" s="3">
        <v>66.465813171208268</v>
      </c>
      <c r="AN64" s="3">
        <v>30.894399554989615</v>
      </c>
      <c r="AO64" s="3">
        <v>45.314069413804063</v>
      </c>
      <c r="AP64" s="3">
        <v>97.808059589849194</v>
      </c>
      <c r="AQ64" s="16">
        <v>58.005509519547623</v>
      </c>
    </row>
    <row r="65" spans="1:43" x14ac:dyDescent="0.25">
      <c r="A65" s="9">
        <f t="shared" si="2"/>
        <v>1898</v>
      </c>
      <c r="C65" s="3">
        <v>76.160000000000011</v>
      </c>
      <c r="D65" s="3"/>
      <c r="E65" s="3">
        <f>2240*0.0208334886911908</f>
        <v>46.667014668267392</v>
      </c>
      <c r="F65" s="3">
        <f>2240*0.0185342088540563</f>
        <v>41.516627833086112</v>
      </c>
      <c r="G65" s="3">
        <f>2240*0.0178571428571429</f>
        <v>40.000000000000099</v>
      </c>
      <c r="I65" s="3"/>
      <c r="J65" s="3"/>
      <c r="K65" s="3">
        <v>40.79032846715328</v>
      </c>
      <c r="L65" s="3">
        <f>2240*0.0127272727272727</f>
        <v>28.509090909090848</v>
      </c>
      <c r="M65" s="3"/>
      <c r="N65" s="3">
        <v>50</v>
      </c>
      <c r="O65" s="3">
        <v>46.666666666666671</v>
      </c>
      <c r="Q65" s="3"/>
      <c r="R65" s="3">
        <v>28.148148148148149</v>
      </c>
      <c r="S65" s="3"/>
      <c r="T65" s="3">
        <v>34.917647058823526</v>
      </c>
      <c r="U65" s="3">
        <v>51.991330953595053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>
        <v>42.5</v>
      </c>
      <c r="AG65" s="3">
        <v>43.692307692307686</v>
      </c>
      <c r="AH65" s="3"/>
      <c r="AI65" s="3"/>
      <c r="AJ65" s="3"/>
      <c r="AK65" s="3">
        <f>20*2</f>
        <v>40</v>
      </c>
      <c r="AL65" s="3"/>
      <c r="AM65" s="3">
        <v>63.032498978567332</v>
      </c>
      <c r="AN65" s="3">
        <v>30.508365508365504</v>
      </c>
      <c r="AO65" s="3">
        <v>38.947209404526475</v>
      </c>
      <c r="AP65" s="3">
        <v>98.359618679777213</v>
      </c>
      <c r="AQ65" s="16">
        <v>55.938397864223056</v>
      </c>
    </row>
    <row r="66" spans="1:43" x14ac:dyDescent="0.25">
      <c r="A66" s="9">
        <f t="shared" si="2"/>
        <v>1899</v>
      </c>
      <c r="C66" s="3">
        <v>80.08</v>
      </c>
      <c r="D66" s="3"/>
      <c r="E66" s="3">
        <f>2240*0.0208344445037069</f>
        <v>46.669155688303455</v>
      </c>
      <c r="F66" s="3">
        <f>2240*0.0128366557618835</f>
        <v>28.754108906619038</v>
      </c>
      <c r="G66" s="3">
        <f>2240*0.0178573221133301</f>
        <v>40.000401533859424</v>
      </c>
      <c r="I66" s="3"/>
      <c r="J66" s="3"/>
      <c r="K66" s="3">
        <v>43.762453183520599</v>
      </c>
      <c r="L66" s="3">
        <f>2240*0.0254545454545455</f>
        <v>57.018181818181922</v>
      </c>
      <c r="M66" s="3"/>
      <c r="N66" s="3"/>
      <c r="O66" s="3">
        <v>48.888888888888893</v>
      </c>
      <c r="Q66" s="3"/>
      <c r="R66" s="3">
        <v>40</v>
      </c>
      <c r="S66" s="3"/>
      <c r="T66" s="3">
        <v>40.254211332312408</v>
      </c>
      <c r="U66" s="3">
        <v>55.877637130801631</v>
      </c>
      <c r="V66" s="3"/>
      <c r="W66" s="3"/>
      <c r="Y66" s="3"/>
      <c r="Z66" s="3"/>
      <c r="AA66" s="3"/>
      <c r="AB66" s="3"/>
      <c r="AC66" s="3"/>
      <c r="AD66" s="3"/>
      <c r="AE66" s="3"/>
      <c r="AF66" s="3">
        <v>39.330543933054393</v>
      </c>
      <c r="AG66" s="3">
        <v>42.705314009661841</v>
      </c>
      <c r="AH66" s="3"/>
      <c r="AI66" s="3"/>
      <c r="AJ66" s="3"/>
      <c r="AK66" s="3">
        <f>20*2.02886247877759</f>
        <v>40.577249575551804</v>
      </c>
      <c r="AL66" s="3"/>
      <c r="AM66" s="3">
        <v>41.607634812821928</v>
      </c>
      <c r="AN66" s="3">
        <v>28.397582324358229</v>
      </c>
      <c r="AO66" s="3">
        <v>36.059734872241471</v>
      </c>
      <c r="AP66" s="3">
        <v>66.90519536755879</v>
      </c>
      <c r="AQ66" s="16">
        <v>43.787504188052829</v>
      </c>
    </row>
    <row r="67" spans="1:43" x14ac:dyDescent="0.25">
      <c r="A67" s="9">
        <f t="shared" si="2"/>
        <v>1900</v>
      </c>
      <c r="C67" s="3">
        <v>88.386666666666684</v>
      </c>
      <c r="D67" s="3"/>
      <c r="E67" s="3">
        <f>2240*0.0208344445037069</f>
        <v>46.669155688303455</v>
      </c>
      <c r="F67" s="3">
        <f>2240*0.017156862745098</f>
        <v>38.431372549019521</v>
      </c>
      <c r="G67" s="3">
        <f>2240*0.0178571428571429</f>
        <v>40.000000000000099</v>
      </c>
      <c r="I67" s="3"/>
      <c r="J67" s="3"/>
      <c r="K67" s="3">
        <v>40.220640904806785</v>
      </c>
      <c r="L67" s="3">
        <f>2240*0.0163855421686747</f>
        <v>36.703614457831328</v>
      </c>
      <c r="M67" s="3"/>
      <c r="N67" s="3"/>
      <c r="O67" s="3">
        <v>49.382716049382715</v>
      </c>
      <c r="P67" s="3">
        <v>54.890403093780989</v>
      </c>
      <c r="Q67" s="3"/>
      <c r="R67" s="3">
        <v>40</v>
      </c>
      <c r="S67" s="3"/>
      <c r="T67" s="3">
        <v>40.547979797979799</v>
      </c>
      <c r="U67" s="3">
        <v>58.49999999999995</v>
      </c>
      <c r="V67" s="3"/>
      <c r="W67" s="3"/>
      <c r="X67" s="3">
        <f>20*1.94549040702887</f>
        <v>38.909808140577404</v>
      </c>
      <c r="Y67" s="3">
        <f>20*1.34826636519227</f>
        <v>26.965327303845399</v>
      </c>
      <c r="Z67" s="3"/>
      <c r="AA67" s="3"/>
      <c r="AB67" s="3"/>
      <c r="AC67" s="3"/>
      <c r="AD67" s="3"/>
      <c r="AE67" s="3"/>
      <c r="AF67" s="3">
        <v>39.643652561247215</v>
      </c>
      <c r="AG67" s="3">
        <v>42.666666666666664</v>
      </c>
      <c r="AH67" s="3"/>
      <c r="AI67" s="3"/>
      <c r="AJ67" s="3"/>
      <c r="AK67" s="3">
        <f>20*2.01696352841391</f>
        <v>40.339270568278202</v>
      </c>
      <c r="AL67" s="3"/>
      <c r="AM67" s="3">
        <v>37.923599186671495</v>
      </c>
      <c r="AN67" s="3">
        <v>27.984555985255604</v>
      </c>
      <c r="AO67" s="3">
        <v>33.863019117524232</v>
      </c>
      <c r="AP67" s="3">
        <v>63.425516476818906</v>
      </c>
      <c r="AQ67" s="16">
        <v>41.757697193199583</v>
      </c>
    </row>
    <row r="68" spans="1:43" x14ac:dyDescent="0.25">
      <c r="A68" s="9">
        <f t="shared" si="2"/>
        <v>1901</v>
      </c>
      <c r="C68" s="3">
        <v>70.093333333333334</v>
      </c>
      <c r="D68" s="3"/>
      <c r="E68" s="3">
        <f>2240*0.0189361538030065</f>
        <v>42.416984518734559</v>
      </c>
      <c r="F68" s="3">
        <f>2240*0.0177696078431373</f>
        <v>39.803921568627551</v>
      </c>
      <c r="G68" s="3">
        <f>2240*0.0178571428571429</f>
        <v>40.000000000000099</v>
      </c>
      <c r="I68" s="3"/>
      <c r="J68" s="3"/>
      <c r="K68" s="3">
        <v>39.796328029375758</v>
      </c>
      <c r="L68" s="3">
        <f>2240*0.011436170212766</f>
        <v>25.617021276595839</v>
      </c>
      <c r="M68" s="3"/>
      <c r="N68" s="3">
        <v>26.666666666666668</v>
      </c>
      <c r="O68" s="3">
        <v>51.90243902439024</v>
      </c>
      <c r="P68" s="3">
        <v>63.478653085846688</v>
      </c>
      <c r="Q68" s="3"/>
      <c r="R68" s="3">
        <v>40</v>
      </c>
      <c r="S68" s="3"/>
      <c r="T68" s="3">
        <v>43.984375</v>
      </c>
      <c r="U68" s="3">
        <v>60.49343981745573</v>
      </c>
      <c r="V68" s="3"/>
      <c r="W68" s="3"/>
      <c r="X68" s="3">
        <f>20*2.23469079939668</f>
        <v>44.693815987933604</v>
      </c>
      <c r="Y68" s="3">
        <f>20*1.1980043265086</f>
        <v>23.960086530171999</v>
      </c>
      <c r="Z68" s="3"/>
      <c r="AA68" s="3"/>
      <c r="AB68" s="3"/>
      <c r="AC68" s="3"/>
      <c r="AD68" s="3"/>
      <c r="AE68" s="3"/>
      <c r="AF68" s="3">
        <v>39.714285714285715</v>
      </c>
      <c r="AG68" s="3">
        <v>42.627118644067792</v>
      </c>
      <c r="AH68" s="3"/>
      <c r="AI68" s="3"/>
      <c r="AJ68" s="3"/>
      <c r="AK68" s="3">
        <f>20*2</f>
        <v>40</v>
      </c>
      <c r="AL68" s="3"/>
      <c r="AM68" s="3">
        <v>43.656034038711823</v>
      </c>
      <c r="AN68" s="3">
        <v>31.64344468691435</v>
      </c>
      <c r="AO68" s="3">
        <v>33.381459402129018</v>
      </c>
      <c r="AP68" s="3">
        <v>61.647605939125789</v>
      </c>
      <c r="AQ68" s="16">
        <v>42.224170009389717</v>
      </c>
    </row>
    <row r="69" spans="1:43" x14ac:dyDescent="0.25">
      <c r="A69" s="9">
        <f t="shared" si="2"/>
        <v>1902</v>
      </c>
      <c r="C69" s="3">
        <v>70.093333333333334</v>
      </c>
      <c r="D69" s="3"/>
      <c r="E69" s="3">
        <f>2240*0.0208333333333333</f>
        <v>46.666666666666593</v>
      </c>
      <c r="F69" s="3">
        <f>2240*0.0183823529411765</f>
        <v>41.176470588235361</v>
      </c>
      <c r="G69" s="3">
        <f>2240*0.0178571428571429</f>
        <v>40.000000000000099</v>
      </c>
      <c r="I69" s="3"/>
      <c r="J69" s="3"/>
      <c r="K69" s="3">
        <v>40.851494845360826</v>
      </c>
      <c r="L69" s="3">
        <f>2240*0.0101538461538462</f>
        <v>22.744615384615489</v>
      </c>
      <c r="M69" s="3"/>
      <c r="N69" s="3">
        <v>23.469387755102041</v>
      </c>
      <c r="O69" s="3"/>
      <c r="P69" s="3"/>
      <c r="Q69" s="3"/>
      <c r="R69" s="3">
        <v>40.487804878048777</v>
      </c>
      <c r="S69" s="3"/>
      <c r="T69" s="3">
        <v>44.048780487804876</v>
      </c>
      <c r="U69" s="3">
        <v>58.371517027863725</v>
      </c>
      <c r="V69" s="3">
        <f>2240*0.0141546167463301</f>
        <v>31.706341511779424</v>
      </c>
      <c r="W69" s="3">
        <f>2240*0.0136239613096857</f>
        <v>30.517673333695967</v>
      </c>
      <c r="X69" s="3"/>
      <c r="Y69" s="3">
        <f>20*1.06823896644412</f>
        <v>21.364779328882403</v>
      </c>
      <c r="Z69" s="3"/>
      <c r="AA69" s="3"/>
      <c r="AB69" s="3"/>
      <c r="AC69" s="3">
        <f>2240*0.0077169752767146</f>
        <v>17.286024619840703</v>
      </c>
      <c r="AD69" s="3"/>
      <c r="AE69" s="3"/>
      <c r="AF69" s="3">
        <v>39.583333333333336</v>
      </c>
      <c r="AG69" s="3">
        <v>37.338403041825096</v>
      </c>
      <c r="AH69" s="3"/>
      <c r="AI69" s="3"/>
      <c r="AJ69" s="3"/>
      <c r="AK69" s="3">
        <f>20*1.32688011913626</f>
        <v>26.537602382725201</v>
      </c>
      <c r="AL69" s="3"/>
      <c r="AM69" s="3"/>
      <c r="AN69" s="3">
        <v>30.083655083655074</v>
      </c>
      <c r="AO69" s="3">
        <v>29.608877169852772</v>
      </c>
      <c r="AP69" s="3">
        <v>60.504724738192238</v>
      </c>
      <c r="AQ69" s="16">
        <v>40.065752330566696</v>
      </c>
    </row>
    <row r="70" spans="1:43" x14ac:dyDescent="0.25">
      <c r="A70" s="9">
        <f t="shared" si="2"/>
        <v>1903</v>
      </c>
      <c r="C70" s="3">
        <v>77.093333333333334</v>
      </c>
      <c r="D70" s="3"/>
      <c r="E70" s="3">
        <f>2240*0.0297619047619048</f>
        <v>66.666666666666742</v>
      </c>
      <c r="F70" s="3">
        <f>2240*0.0212009803921569</f>
        <v>47.490196078431453</v>
      </c>
      <c r="G70" s="3">
        <f>2240*0.0178571428571429</f>
        <v>40.000000000000099</v>
      </c>
      <c r="I70" s="3"/>
      <c r="J70" s="3"/>
      <c r="K70" s="3">
        <v>58.725825688073392</v>
      </c>
      <c r="L70" s="3">
        <f>2240*0.0140405616224649</f>
        <v>31.450858034321378</v>
      </c>
      <c r="M70" s="3"/>
      <c r="N70" s="3">
        <v>34.307692307692307</v>
      </c>
      <c r="O70" s="3"/>
      <c r="P70" s="3"/>
      <c r="Q70" s="3"/>
      <c r="R70" s="3">
        <v>40</v>
      </c>
      <c r="S70" s="3"/>
      <c r="T70" s="3">
        <v>47.376470588235293</v>
      </c>
      <c r="U70" s="3">
        <v>61.600357621814872</v>
      </c>
      <c r="V70" s="3">
        <f>2240*0.0278847851014536</f>
        <v>62.461918627256068</v>
      </c>
      <c r="W70" s="3">
        <f>2240*0.019016129005758</f>
        <v>42.596128972897922</v>
      </c>
      <c r="Y70" s="3">
        <f>20*1.53375226904958</f>
        <v>30.675045380991598</v>
      </c>
      <c r="Z70" s="3"/>
      <c r="AA70" s="3"/>
      <c r="AB70" s="3"/>
      <c r="AC70" s="3"/>
      <c r="AD70" s="3"/>
      <c r="AE70" s="3"/>
      <c r="AF70" s="3">
        <v>46.666666666666671</v>
      </c>
      <c r="AG70" s="3">
        <v>40</v>
      </c>
      <c r="AH70" s="3"/>
      <c r="AI70" s="3"/>
      <c r="AJ70" s="3"/>
      <c r="AK70" s="3"/>
      <c r="AL70" s="3"/>
      <c r="AM70" s="3">
        <v>43.26112063150768</v>
      </c>
      <c r="AN70" s="3">
        <v>25.482625482618552</v>
      </c>
      <c r="AO70" s="3">
        <v>32.573443008216756</v>
      </c>
      <c r="AP70" s="3">
        <v>62.389042544091332</v>
      </c>
      <c r="AQ70" s="16">
        <v>40.148370344975547</v>
      </c>
    </row>
    <row r="71" spans="1:43" x14ac:dyDescent="0.25">
      <c r="A71" s="9">
        <f t="shared" si="2"/>
        <v>1904</v>
      </c>
      <c r="C71" s="3">
        <v>81.199999999999989</v>
      </c>
      <c r="D71" s="3"/>
      <c r="E71" s="3">
        <f>2240*0.0297619047619048</f>
        <v>66.666666666666742</v>
      </c>
      <c r="F71" s="3">
        <f>2240*0.0225285947712418</f>
        <v>50.46405228758163</v>
      </c>
      <c r="G71" s="3">
        <f>2240*0.0178571428571429</f>
        <v>40.000000000000099</v>
      </c>
      <c r="I71" s="3"/>
      <c r="J71" s="3"/>
      <c r="K71" s="3">
        <v>68.590912462908008</v>
      </c>
      <c r="L71" s="3">
        <f>2240*0.0227220630372493</f>
        <v>50.897421203438434</v>
      </c>
      <c r="M71" s="3"/>
      <c r="N71" s="3">
        <v>40</v>
      </c>
      <c r="O71" s="3"/>
      <c r="P71" s="3"/>
      <c r="Q71" s="3"/>
      <c r="R71" s="3">
        <v>40</v>
      </c>
      <c r="S71" s="3"/>
      <c r="T71" s="3">
        <v>39.412017167381975</v>
      </c>
      <c r="U71" s="3">
        <v>61.626168224299015</v>
      </c>
      <c r="V71" s="3">
        <f>2240*0.0235702438078109</f>
        <v>52.797346129496411</v>
      </c>
      <c r="W71" s="3">
        <f>2240*0.0175139795825256</f>
        <v>39.231314264857346</v>
      </c>
      <c r="X71" s="3">
        <f>20*3.36713833326652</f>
        <v>67.342766665330402</v>
      </c>
      <c r="Y71" s="3">
        <f>20*1.98207735236702</f>
        <v>39.641547047340403</v>
      </c>
      <c r="Z71" s="3"/>
      <c r="AA71" s="3"/>
      <c r="AB71" s="3"/>
      <c r="AC71" s="3"/>
      <c r="AD71" s="3"/>
      <c r="AE71" s="3"/>
      <c r="AF71" s="3">
        <v>26.666666666666664</v>
      </c>
      <c r="AG71" s="3">
        <v>41.299638989169679</v>
      </c>
      <c r="AH71" s="3"/>
      <c r="AI71" s="3"/>
      <c r="AJ71" s="3"/>
      <c r="AK71" s="3"/>
      <c r="AL71" s="3"/>
      <c r="AM71" s="3">
        <v>47.560027117180624</v>
      </c>
      <c r="AN71" s="3">
        <v>26.609436183975038</v>
      </c>
      <c r="AO71" s="3">
        <v>40.650640261542357</v>
      </c>
      <c r="AP71" s="3">
        <v>61.890335048153631</v>
      </c>
      <c r="AQ71" s="16">
        <v>43.050137164557007</v>
      </c>
    </row>
    <row r="72" spans="1:43" x14ac:dyDescent="0.25">
      <c r="A72" s="9">
        <f t="shared" ref="A72:A135" si="3">A71+1</f>
        <v>1905</v>
      </c>
      <c r="C72" s="3">
        <v>86.706666666666663</v>
      </c>
      <c r="D72" s="3"/>
      <c r="E72" s="3">
        <f>2240*0.0312179385127008</f>
        <v>69.928182268449788</v>
      </c>
      <c r="F72" s="3">
        <f>2240*0.0232843137254902</f>
        <v>52.156862745098046</v>
      </c>
      <c r="G72" s="3">
        <f>2240*0.0186204645396964</f>
        <v>41.70984056891993</v>
      </c>
      <c r="I72" s="3"/>
      <c r="J72" s="3"/>
      <c r="K72" s="3">
        <v>75.850954861111106</v>
      </c>
      <c r="L72" s="3">
        <f>2240*0.0164641885766092</f>
        <v>36.879782411604609</v>
      </c>
      <c r="M72" s="3"/>
      <c r="N72" s="3">
        <v>42.2</v>
      </c>
      <c r="O72" s="3"/>
      <c r="P72" s="3"/>
      <c r="Q72" s="3"/>
      <c r="R72" s="3">
        <v>40</v>
      </c>
      <c r="S72" s="3"/>
      <c r="T72" s="3">
        <v>32.578486554096308</v>
      </c>
      <c r="U72" s="3">
        <v>62.630331753554444</v>
      </c>
      <c r="V72" s="3">
        <f>2240*0.0232299346223397</f>
        <v>52.035053554040928</v>
      </c>
      <c r="W72" s="3">
        <f>2240*0.0219961769368892</f>
        <v>49.271436338631808</v>
      </c>
      <c r="X72" s="3">
        <f>20*2.16456808199122</f>
        <v>43.291361639824402</v>
      </c>
      <c r="Y72" s="3">
        <f>20*1.87040095291492</f>
        <v>37.4080190582984</v>
      </c>
      <c r="Z72" s="3"/>
      <c r="AA72" s="3"/>
      <c r="AB72" s="3"/>
      <c r="AC72" s="3"/>
      <c r="AD72" s="3"/>
      <c r="AE72" s="3"/>
      <c r="AF72" s="3">
        <v>28.402366863905325</v>
      </c>
      <c r="AG72" s="3">
        <v>38.400900900900908</v>
      </c>
      <c r="AH72" s="3"/>
      <c r="AI72" s="3"/>
      <c r="AJ72" s="3"/>
      <c r="AK72" s="3"/>
      <c r="AL72" s="3"/>
      <c r="AM72" s="3">
        <v>47.995753952101637</v>
      </c>
      <c r="AN72" s="3"/>
      <c r="AO72" s="3">
        <v>48.51456822688462</v>
      </c>
      <c r="AP72" s="3">
        <v>73.237119765317658</v>
      </c>
      <c r="AQ72" s="16">
        <v>60.875843996101139</v>
      </c>
    </row>
    <row r="73" spans="1:43" x14ac:dyDescent="0.25">
      <c r="A73" s="9">
        <f t="shared" si="3"/>
        <v>1906</v>
      </c>
      <c r="C73" s="3">
        <v>95.106666666666669</v>
      </c>
      <c r="D73" s="3"/>
      <c r="E73" s="3">
        <f>2240*0.0325997826516499</f>
        <v>73.02351313969578</v>
      </c>
      <c r="F73" s="3">
        <f>2240*0.028921568627451</f>
        <v>64.784313725490236</v>
      </c>
      <c r="G73" s="3">
        <f>2240*0.0187499400656401</f>
        <v>41.999865747033823</v>
      </c>
      <c r="I73" s="3"/>
      <c r="J73" s="3"/>
      <c r="K73" s="3">
        <v>56.868470149253731</v>
      </c>
      <c r="L73" s="3">
        <f>2240*0.0199216192082548</f>
        <v>44.62442702649075</v>
      </c>
      <c r="M73" s="3"/>
      <c r="N73" s="3">
        <v>50</v>
      </c>
      <c r="O73" s="3"/>
      <c r="P73" s="3"/>
      <c r="Q73" s="3"/>
      <c r="R73" s="3">
        <v>38.095238095238095</v>
      </c>
      <c r="S73" s="3"/>
      <c r="T73" s="3">
        <v>23.272964169381108</v>
      </c>
      <c r="U73" s="3">
        <v>62.572595281306668</v>
      </c>
      <c r="V73" s="3">
        <f>2240*0.0215231449489698</f>
        <v>48.211844685692348</v>
      </c>
      <c r="W73" s="3">
        <f>2240*0.022989318237081</f>
        <v>51.496072851061435</v>
      </c>
      <c r="Y73" s="3"/>
      <c r="Z73" s="3"/>
      <c r="AA73" s="3"/>
      <c r="AB73" s="3"/>
      <c r="AC73" s="3">
        <f>2240*0.0149919379738585</f>
        <v>33.58194106144304</v>
      </c>
      <c r="AD73" s="3"/>
      <c r="AE73" s="3">
        <f>2240*0.0202421914907606</f>
        <v>45.342508939303741</v>
      </c>
      <c r="AF73" s="3">
        <v>62.666666666666671</v>
      </c>
      <c r="AG73" s="3">
        <v>56.000000000000007</v>
      </c>
      <c r="AH73" s="3"/>
      <c r="AI73" s="3"/>
      <c r="AJ73" s="3"/>
      <c r="AK73" s="3"/>
      <c r="AL73" s="3"/>
      <c r="AM73" s="3">
        <v>47.161073149294076</v>
      </c>
      <c r="AN73" s="3"/>
      <c r="AO73" s="3">
        <v>44.346617127004151</v>
      </c>
      <c r="AP73" s="3">
        <v>74.279723242400649</v>
      </c>
      <c r="AQ73" s="16">
        <v>59.3131701847024</v>
      </c>
    </row>
    <row r="74" spans="1:43" x14ac:dyDescent="0.25">
      <c r="A74" s="9">
        <f t="shared" si="3"/>
        <v>1907</v>
      </c>
      <c r="C74" s="3">
        <v>96.413333333333327</v>
      </c>
      <c r="D74" s="3"/>
      <c r="E74" s="3">
        <f>2240*0.0297619047619048</f>
        <v>66.666666666666742</v>
      </c>
      <c r="F74" s="3">
        <f>2240*0.023457908496732</f>
        <v>52.545715032679681</v>
      </c>
      <c r="G74" s="3">
        <f>2240*0.0193452380952381</f>
        <v>43.333333333333343</v>
      </c>
      <c r="I74" s="3"/>
      <c r="J74" s="3"/>
      <c r="K74" s="3">
        <v>56.903177167474418</v>
      </c>
      <c r="L74" s="3">
        <f>2240*0.0228377294389657</f>
        <v>51.156513943283173</v>
      </c>
      <c r="M74" s="3"/>
      <c r="N74" s="3"/>
      <c r="O74" s="3"/>
      <c r="P74" s="3">
        <v>42.25352112676056</v>
      </c>
      <c r="Q74" s="3">
        <v>165.07936507936509</v>
      </c>
      <c r="R74" s="3"/>
      <c r="S74" s="3"/>
      <c r="T74" s="3">
        <v>30.116625310173696</v>
      </c>
      <c r="U74" s="3">
        <v>62.35795454545449</v>
      </c>
      <c r="V74" s="3">
        <f>2240*0.0216557000881379</f>
        <v>48.508768197428893</v>
      </c>
      <c r="W74" s="3">
        <f>2240*0.0260568672700312</f>
        <v>58.367382684869888</v>
      </c>
      <c r="X74" s="3">
        <f>20*2.9375</f>
        <v>58.75</v>
      </c>
      <c r="Y74" s="3">
        <f>20*2.38758801375471</f>
        <v>47.751760275094199</v>
      </c>
      <c r="Z74" s="3">
        <f>2240*0.019047619047619</f>
        <v>42.666666666666565</v>
      </c>
      <c r="AA74" s="3"/>
      <c r="AB74" s="3"/>
      <c r="AC74" s="3">
        <f>2240*0.0159535689601303</f>
        <v>35.735994470691871</v>
      </c>
      <c r="AD74" s="3"/>
      <c r="AE74" s="3">
        <f>2240*0.0177767027418809</f>
        <v>39.819814141813211</v>
      </c>
      <c r="AF74" s="3">
        <v>74.421199442119942</v>
      </c>
      <c r="AG74" s="3"/>
      <c r="AH74" s="3">
        <f>20*0.903225806451613</f>
        <v>18.06451612903226</v>
      </c>
      <c r="AI74" s="3">
        <f>20*10.0434782608696</f>
        <v>200.86956521739199</v>
      </c>
      <c r="AJ74" s="3">
        <f>20*1.33098591549296</f>
        <v>26.619718309859199</v>
      </c>
      <c r="AK74" s="3"/>
      <c r="AL74" s="3"/>
      <c r="AM74" s="3">
        <v>52.666437394670531</v>
      </c>
      <c r="AN74" s="3"/>
      <c r="AO74" s="3">
        <v>43.683322347829062</v>
      </c>
      <c r="AP74" s="3">
        <v>78.929071025163253</v>
      </c>
      <c r="AQ74" s="16">
        <v>61.306196686496158</v>
      </c>
    </row>
    <row r="75" spans="1:43" x14ac:dyDescent="0.25">
      <c r="A75" s="9">
        <f t="shared" si="3"/>
        <v>1908</v>
      </c>
      <c r="C75" s="3">
        <v>87.173333333333332</v>
      </c>
      <c r="D75" s="3"/>
      <c r="E75" s="3">
        <f>2240*0.0260418286626647</f>
        <v>58.333696204368927</v>
      </c>
      <c r="F75" s="3">
        <f>2240*0.0194852941176471</f>
        <v>43.647058823529505</v>
      </c>
      <c r="G75" s="3">
        <f>2240*0.0208333333333333</f>
        <v>46.666666666666593</v>
      </c>
      <c r="I75" s="3"/>
      <c r="J75" s="3"/>
      <c r="K75" s="3">
        <v>45.990528080469403</v>
      </c>
      <c r="L75" s="3">
        <f>2240*0.0207474226804124</f>
        <v>46.474226804123781</v>
      </c>
      <c r="M75" s="3"/>
      <c r="N75" s="3">
        <v>50</v>
      </c>
      <c r="O75" s="3"/>
      <c r="P75" s="3"/>
      <c r="Q75" s="3"/>
      <c r="R75" s="3"/>
      <c r="S75" s="3"/>
      <c r="T75" s="3">
        <v>6.8016528925619832</v>
      </c>
      <c r="U75" s="3">
        <v>80.713266761768821</v>
      </c>
      <c r="V75" s="3">
        <f>2240*0.0176375847129504</f>
        <v>39.5081897570089</v>
      </c>
      <c r="W75" s="3">
        <f>2240*0.0204803076603427</f>
        <v>45.875889159167649</v>
      </c>
      <c r="X75" s="3">
        <f>20*3.225</f>
        <v>64.5</v>
      </c>
      <c r="Y75" s="3">
        <f>20*2.01419800460476</f>
        <v>40.283960092095199</v>
      </c>
      <c r="Z75" s="3">
        <f>2240*0.0142857142857143</f>
        <v>32.000000000000028</v>
      </c>
      <c r="AA75" s="3"/>
      <c r="AB75" s="3"/>
      <c r="AC75" s="3">
        <f>2240*0.0137404519854341</f>
        <v>30.778612447372382</v>
      </c>
      <c r="AD75" s="3"/>
      <c r="AE75" s="3">
        <f>2240*0.0131931163315858</f>
        <v>29.552580582752192</v>
      </c>
      <c r="AF75" s="3">
        <v>80</v>
      </c>
      <c r="AG75" s="3"/>
      <c r="AH75" s="3">
        <f>20*1.69230769230769</f>
        <v>33.846153846153804</v>
      </c>
      <c r="AI75" s="3"/>
      <c r="AJ75" s="3">
        <f>20*1.61507936507937</f>
        <v>32.301587301587404</v>
      </c>
      <c r="AK75" s="3"/>
      <c r="AL75" s="3"/>
      <c r="AM75" s="3">
        <v>57.61245526701336</v>
      </c>
      <c r="AN75" s="3"/>
      <c r="AO75" s="3">
        <v>33.523938004838847</v>
      </c>
      <c r="AP75" s="3">
        <v>78.977043384617019</v>
      </c>
      <c r="AQ75" s="16">
        <v>56.25049069472793</v>
      </c>
    </row>
    <row r="76" spans="1:43" x14ac:dyDescent="0.25">
      <c r="A76" s="9">
        <f t="shared" si="3"/>
        <v>1909</v>
      </c>
      <c r="C76" s="3">
        <v>88.946666666666658</v>
      </c>
      <c r="D76" s="3"/>
      <c r="E76" s="3">
        <f>2240*0.0327380952380952</f>
        <v>73.333333333333243</v>
      </c>
      <c r="F76" s="3">
        <f>2240*0.0196078431372549</f>
        <v>43.921568627450981</v>
      </c>
      <c r="G76" s="3">
        <f>2240*0.0208333333333333</f>
        <v>46.666666666666593</v>
      </c>
      <c r="I76" s="3"/>
      <c r="J76" s="3"/>
      <c r="K76" s="3">
        <v>37.069817578772799</v>
      </c>
      <c r="L76" s="3">
        <f>2240*0.037580015912376</f>
        <v>84.179235643722251</v>
      </c>
      <c r="M76" s="3"/>
      <c r="N76" s="3">
        <v>48</v>
      </c>
      <c r="O76" s="3">
        <v>93.476599999999991</v>
      </c>
      <c r="P76" s="3"/>
      <c r="R76" s="3">
        <v>39.852941176470587</v>
      </c>
      <c r="S76" s="3"/>
      <c r="T76" s="3"/>
      <c r="U76" s="3">
        <v>99.659781287970745</v>
      </c>
      <c r="V76" s="3">
        <f>2240*0.020072758629258</f>
        <v>44.962979329537916</v>
      </c>
      <c r="W76" s="3">
        <f>2240*0.0182650868103287</f>
        <v>40.913794455136291</v>
      </c>
      <c r="X76" s="3"/>
      <c r="Y76" s="3">
        <f>20*1.99683830171635</f>
        <v>39.936766034327</v>
      </c>
      <c r="Z76" s="3"/>
      <c r="AA76" s="3"/>
      <c r="AB76" s="3"/>
      <c r="AC76" s="3">
        <f>2240*0.0225357773407783</f>
        <v>50.480141243343397</v>
      </c>
      <c r="AD76" s="3"/>
      <c r="AE76" s="3">
        <f>2240*0.017961567933231</f>
        <v>40.233912170437442</v>
      </c>
      <c r="AF76" s="3">
        <v>96</v>
      </c>
      <c r="AG76" s="3"/>
      <c r="AH76" s="3"/>
      <c r="AI76" s="3"/>
      <c r="AJ76" s="3">
        <f>20*1.34090909090909</f>
        <v>26.818181818181799</v>
      </c>
      <c r="AK76" s="3"/>
      <c r="AL76" s="3"/>
      <c r="AM76" s="3">
        <v>46.397074490023705</v>
      </c>
      <c r="AN76" s="3"/>
      <c r="AO76" s="3">
        <v>35.023071852340145</v>
      </c>
      <c r="AP76" s="3">
        <v>71.754571348455556</v>
      </c>
      <c r="AQ76" s="16">
        <v>53.388821600397847</v>
      </c>
    </row>
    <row r="77" spans="1:43" x14ac:dyDescent="0.25">
      <c r="A77" s="9">
        <f t="shared" si="3"/>
        <v>1910</v>
      </c>
      <c r="C77" s="3">
        <v>95.013333333333335</v>
      </c>
      <c r="D77" s="3"/>
      <c r="E77" s="3">
        <f>2240*0.0334814597074402</f>
        <v>74.998469744666053</v>
      </c>
      <c r="F77" s="3">
        <f>2240*0.0260110294117647</f>
        <v>58.264705882352928</v>
      </c>
      <c r="G77" s="3">
        <f>2240*0.0208407280036494</f>
        <v>46.683230728174657</v>
      </c>
      <c r="I77" s="3"/>
      <c r="J77" s="3"/>
      <c r="K77" s="3">
        <v>54.394595959595954</v>
      </c>
      <c r="L77" s="3">
        <f>2240*0.0140650959949893</f>
        <v>31.505815028776034</v>
      </c>
      <c r="M77" s="3"/>
      <c r="N77" s="3">
        <v>48</v>
      </c>
      <c r="O77" s="3"/>
      <c r="P77" s="3">
        <f>2240*0.025</f>
        <v>56</v>
      </c>
      <c r="Q77" s="3">
        <v>113.63636363636364</v>
      </c>
      <c r="R77" s="3"/>
      <c r="S77" s="3"/>
      <c r="T77" s="3"/>
      <c r="U77" s="3">
        <v>99.396396396396312</v>
      </c>
      <c r="V77" s="3">
        <f>2240*0.0199110675421213</f>
        <v>44.600791294351716</v>
      </c>
      <c r="W77" s="3">
        <f>2240*0.0210506611848591</f>
        <v>47.153481054084381</v>
      </c>
      <c r="X77" s="3"/>
      <c r="Y77" s="3">
        <f>20*1.89770433905146</f>
        <v>37.954086781029204</v>
      </c>
      <c r="Z77" s="3"/>
      <c r="AA77" s="3">
        <f>2240*0.0120030007501875</f>
        <v>26.886721680420003</v>
      </c>
      <c r="AB77" s="3"/>
      <c r="AC77" s="3">
        <f>2240*0.019546149393728</f>
        <v>43.783374641950722</v>
      </c>
      <c r="AD77" s="3"/>
      <c r="AE77" s="3">
        <f>2240*0.0216484237188475</f>
        <v>48.492469130218396</v>
      </c>
      <c r="AF77" s="3"/>
      <c r="AG77" s="3"/>
      <c r="AH77" s="3">
        <f>20*2</f>
        <v>40</v>
      </c>
      <c r="AI77" s="3">
        <f>20*0.411764705882353</f>
        <v>8.2352941176470598</v>
      </c>
      <c r="AJ77" s="3">
        <f>20*1.5375</f>
        <v>30.75</v>
      </c>
      <c r="AK77" s="3"/>
      <c r="AL77" s="3"/>
      <c r="AM77" s="3">
        <v>62.513037244023423</v>
      </c>
      <c r="AN77" s="3"/>
      <c r="AO77" s="3">
        <v>34.921367271306622</v>
      </c>
      <c r="AP77" s="3">
        <v>71.332173959089644</v>
      </c>
      <c r="AQ77" s="16">
        <v>53.126770615198133</v>
      </c>
    </row>
    <row r="78" spans="1:43" x14ac:dyDescent="0.25">
      <c r="A78" s="9">
        <f t="shared" si="3"/>
        <v>1911</v>
      </c>
      <c r="C78" s="3">
        <v>92.960000000000008</v>
      </c>
      <c r="D78" s="3"/>
      <c r="E78" s="3">
        <f>2240*0.0297619047619048</f>
        <v>66.666666666666742</v>
      </c>
      <c r="F78" s="3">
        <f>2240*0.0242647058823529</f>
        <v>54.352941176470495</v>
      </c>
      <c r="G78" s="3">
        <f>2240*0.0208333333333333</f>
        <v>46.666666666666593</v>
      </c>
      <c r="I78" s="3"/>
      <c r="J78" s="3"/>
      <c r="K78" s="3">
        <v>54.297157475838539</v>
      </c>
      <c r="L78" s="3">
        <f>2240*0.0189732142857143</f>
        <v>42.500000000000036</v>
      </c>
      <c r="M78" s="3"/>
      <c r="N78" s="3">
        <v>60.952380952380949</v>
      </c>
      <c r="O78" s="3"/>
      <c r="P78" s="3">
        <f>AVERAGE(55.551500109497,2240*0.0260416666666667)</f>
        <v>56.942416721415199</v>
      </c>
      <c r="Q78" s="3"/>
      <c r="R78" s="3"/>
      <c r="S78" s="3"/>
      <c r="T78" s="3"/>
      <c r="U78" s="3">
        <v>106.06332378223496</v>
      </c>
      <c r="V78" s="3">
        <f>2240*0.0149497395598165</f>
        <v>33.487416613988962</v>
      </c>
      <c r="W78" s="3">
        <f>2240*0.0251208031457848</f>
        <v>56.270599046557955</v>
      </c>
      <c r="X78" s="3"/>
      <c r="Y78" s="3">
        <f>20*2.3005711565921</f>
        <v>46.011423131841994</v>
      </c>
      <c r="Z78" s="3"/>
      <c r="AA78" s="3">
        <f>2240*0.0225056264066016</f>
        <v>50.412603150787582</v>
      </c>
      <c r="AB78" s="3"/>
      <c r="AC78" s="3"/>
      <c r="AD78" s="3"/>
      <c r="AF78" s="3"/>
      <c r="AG78" s="3"/>
      <c r="AH78" s="3">
        <f>20*1.01075268817204</f>
        <v>20.2150537634408</v>
      </c>
      <c r="AI78" s="3">
        <f>20*0.980392156862745</f>
        <v>19.6078431372549</v>
      </c>
      <c r="AJ78" s="3">
        <f>20*1.9125</f>
        <v>38.25</v>
      </c>
      <c r="AK78" s="3"/>
      <c r="AL78" s="3"/>
      <c r="AM78" s="3">
        <v>76.609400251891984</v>
      </c>
      <c r="AN78" s="3"/>
      <c r="AO78" s="3">
        <v>38.633080407962602</v>
      </c>
      <c r="AP78" s="3">
        <v>72.643382028270295</v>
      </c>
      <c r="AQ78" s="16">
        <v>55.638231218116445</v>
      </c>
    </row>
    <row r="79" spans="1:43" x14ac:dyDescent="0.25">
      <c r="A79" s="9">
        <f t="shared" si="3"/>
        <v>1912</v>
      </c>
      <c r="C79" s="3">
        <v>92.306666666666672</v>
      </c>
      <c r="D79" s="3"/>
      <c r="E79" s="3">
        <f>2240*0.0372003262364319</f>
        <v>83.328730769607461</v>
      </c>
      <c r="F79" s="3">
        <f>2240*0.0262867647058823</f>
        <v>58.882352941176357</v>
      </c>
      <c r="G79" s="3">
        <f>2240*0.0208333333333333</f>
        <v>46.666666666666593</v>
      </c>
      <c r="I79" s="3"/>
      <c r="J79" s="3"/>
      <c r="K79" s="3">
        <v>60.585581622678397</v>
      </c>
      <c r="L79" s="3">
        <f>2240*0.00669642857142857</f>
        <v>14.999999999999996</v>
      </c>
      <c r="M79" s="3"/>
      <c r="N79" s="3"/>
      <c r="O79" s="3"/>
      <c r="P79" s="3"/>
      <c r="Q79" s="3"/>
      <c r="R79" s="3"/>
      <c r="S79" s="3"/>
      <c r="T79" s="3"/>
      <c r="U79" s="3">
        <v>105.69272727272728</v>
      </c>
      <c r="V79" s="3">
        <f>2240*0.0240200272522737</f>
        <v>53.804861045093091</v>
      </c>
      <c r="W79" s="3">
        <f>2240*0.0284220479650993</f>
        <v>63.665387441822432</v>
      </c>
      <c r="X79" s="3"/>
      <c r="Y79" s="3">
        <f>20*1.96096522356281</f>
        <v>39.219304471256194</v>
      </c>
      <c r="Z79" s="3"/>
      <c r="AA79" s="3">
        <f>2240*0.027435430286143</f>
        <v>61.455363840960317</v>
      </c>
      <c r="AB79" s="3"/>
      <c r="AC79" s="3"/>
      <c r="AD79" s="3"/>
      <c r="AE79" s="3"/>
      <c r="AF79" s="3"/>
      <c r="AG79" s="3"/>
      <c r="AH79" s="3"/>
      <c r="AI79" s="3"/>
      <c r="AJ79" s="3">
        <f>20*1.2125</f>
        <v>24.25</v>
      </c>
      <c r="AK79" s="3"/>
      <c r="AL79" s="3"/>
      <c r="AM79" s="3">
        <v>74.169329318845655</v>
      </c>
      <c r="AN79" s="3"/>
      <c r="AO79" s="3">
        <v>39.718459608218602</v>
      </c>
      <c r="AP79" s="3">
        <v>73.728090144083524</v>
      </c>
      <c r="AQ79" s="16">
        <v>56.723274876151066</v>
      </c>
    </row>
    <row r="80" spans="1:43" x14ac:dyDescent="0.25">
      <c r="A80" s="9">
        <f t="shared" si="3"/>
        <v>1913</v>
      </c>
      <c r="C80" s="3">
        <v>95.759999999999991</v>
      </c>
      <c r="D80" s="3"/>
      <c r="E80" s="3"/>
      <c r="F80" s="3"/>
      <c r="G80" s="3">
        <f>2240*0.0208333333333333</f>
        <v>46.666666666666593</v>
      </c>
      <c r="I80" s="3"/>
      <c r="J80" s="3"/>
      <c r="K80" s="3">
        <v>61.619676848162896</v>
      </c>
      <c r="L80" s="3">
        <f>2240*0.00446428571428571</f>
        <v>9.9999999999999893</v>
      </c>
      <c r="M80" s="3"/>
      <c r="N80" s="3"/>
      <c r="O80" s="3"/>
      <c r="P80" s="3"/>
      <c r="Q80" s="3"/>
      <c r="R80" s="3"/>
      <c r="S80" s="3"/>
      <c r="T80" s="3"/>
      <c r="U80" s="3">
        <v>104.78571428571429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>
        <v>80.938289886006132</v>
      </c>
      <c r="AN80" s="3"/>
      <c r="AO80" s="3">
        <v>41.481415749698456</v>
      </c>
      <c r="AP80" s="3">
        <v>73.642078600294894</v>
      </c>
      <c r="AQ80" s="16">
        <v>57.561747174996675</v>
      </c>
    </row>
    <row r="81" spans="1:43" x14ac:dyDescent="0.25">
      <c r="A81" s="9">
        <f t="shared" si="3"/>
        <v>1914</v>
      </c>
      <c r="C81" s="3">
        <v>98.093333333333334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>
        <v>79.392905693469444</v>
      </c>
      <c r="AN81" s="3"/>
      <c r="AO81" s="3">
        <v>29.195121951219512</v>
      </c>
      <c r="AP81" s="3">
        <v>76.448272283540959</v>
      </c>
      <c r="AQ81" s="16">
        <v>52.821697117380239</v>
      </c>
    </row>
    <row r="82" spans="1:43" x14ac:dyDescent="0.25">
      <c r="A82" s="9">
        <f t="shared" si="3"/>
        <v>1915</v>
      </c>
      <c r="C82" s="3">
        <v>101.64000000000001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>
        <v>74.007921002233502</v>
      </c>
      <c r="AN82" s="3"/>
      <c r="AO82" s="3">
        <v>30.219512195121954</v>
      </c>
      <c r="AP82" s="3">
        <v>79.30277068156947</v>
      </c>
      <c r="AQ82" s="16">
        <v>54.76114143834571</v>
      </c>
    </row>
    <row r="83" spans="1:43" x14ac:dyDescent="0.25">
      <c r="A83" s="9">
        <f t="shared" si="3"/>
        <v>1916</v>
      </c>
      <c r="C83" s="3">
        <v>135.89333333333335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>
        <v>73.722990693186929</v>
      </c>
      <c r="AN83" s="3"/>
      <c r="AO83" s="3">
        <v>39.951219512195124</v>
      </c>
      <c r="AP83" s="3">
        <v>87.062763157684273</v>
      </c>
      <c r="AQ83" s="16">
        <v>63.506991334939698</v>
      </c>
    </row>
    <row r="84" spans="1:43" x14ac:dyDescent="0.25">
      <c r="A84" s="9">
        <f t="shared" si="3"/>
        <v>1917</v>
      </c>
      <c r="C84" s="3">
        <v>177.89333333333332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>
        <v>91.767428485623512</v>
      </c>
      <c r="AN84" s="3"/>
      <c r="AO84" s="3">
        <v>37.902439024390247</v>
      </c>
      <c r="AP84" s="3">
        <v>117.85048814413481</v>
      </c>
      <c r="AQ84" s="16">
        <v>77.876463584262524</v>
      </c>
    </row>
    <row r="85" spans="1:43" x14ac:dyDescent="0.25">
      <c r="A85" s="9">
        <f t="shared" si="3"/>
        <v>1918</v>
      </c>
      <c r="C85" s="3">
        <v>196.83999999999997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>
        <v>71.998313134578439</v>
      </c>
      <c r="AN85" s="3"/>
      <c r="AO85" s="3">
        <v>38.41463414634147</v>
      </c>
      <c r="AP85" s="3">
        <v>142.84480533149375</v>
      </c>
      <c r="AQ85" s="16">
        <v>90.629719738917601</v>
      </c>
    </row>
    <row r="86" spans="1:43" x14ac:dyDescent="0.25">
      <c r="A86" s="9">
        <f t="shared" si="3"/>
        <v>1919</v>
      </c>
      <c r="C86" s="3">
        <v>208.13333333333335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>
        <v>57.143573540845757</v>
      </c>
      <c r="AN86" s="3"/>
      <c r="AO86" s="3">
        <v>38.926829268292686</v>
      </c>
      <c r="AP86" s="3">
        <v>169.97539627681539</v>
      </c>
      <c r="AQ86" s="16">
        <v>104.45111277255404</v>
      </c>
    </row>
    <row r="87" spans="1:43" x14ac:dyDescent="0.25">
      <c r="A87" s="9">
        <f t="shared" si="3"/>
        <v>1920</v>
      </c>
      <c r="C87" s="3">
        <v>224.84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>
        <v>127.18472358392346</v>
      </c>
      <c r="AN87" s="3"/>
      <c r="AO87" s="3">
        <v>32.780487804878049</v>
      </c>
      <c r="AP87" s="3">
        <v>247.4842021253485</v>
      </c>
      <c r="AQ87" s="16">
        <v>140.13234496511328</v>
      </c>
    </row>
    <row r="88" spans="1:43" x14ac:dyDescent="0.25">
      <c r="A88" s="9">
        <f t="shared" si="3"/>
        <v>1921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>
        <v>22.024390243902438</v>
      </c>
      <c r="AP88" s="3"/>
      <c r="AQ88" s="16">
        <v>22.024390243902438</v>
      </c>
    </row>
    <row r="89" spans="1:43" x14ac:dyDescent="0.25">
      <c r="A89" s="9">
        <f t="shared" si="3"/>
        <v>1922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>
        <v>23.304878048780488</v>
      </c>
      <c r="AP89" s="3"/>
      <c r="AQ89" s="16">
        <v>23.304878048780488</v>
      </c>
    </row>
    <row r="90" spans="1:43" x14ac:dyDescent="0.25">
      <c r="A90" s="9">
        <f t="shared" si="3"/>
        <v>1923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>
        <v>30.987804878048784</v>
      </c>
      <c r="AP90" s="3"/>
      <c r="AQ90" s="16">
        <v>30.987804878048784</v>
      </c>
    </row>
    <row r="91" spans="1:43" x14ac:dyDescent="0.25">
      <c r="A91" s="9">
        <f t="shared" si="3"/>
        <v>1924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>
        <v>39.439024390243901</v>
      </c>
      <c r="AP91" s="3"/>
      <c r="AQ91" s="16">
        <v>39.439024390243901</v>
      </c>
    </row>
    <row r="92" spans="1:43" x14ac:dyDescent="0.25">
      <c r="A92" s="9">
        <f t="shared" si="3"/>
        <v>1925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>
        <v>47.121951219512198</v>
      </c>
      <c r="AP92" s="3"/>
      <c r="AQ92" s="16">
        <v>47.121951219512198</v>
      </c>
    </row>
    <row r="93" spans="1:43" x14ac:dyDescent="0.25">
      <c r="A93" s="9">
        <f t="shared" si="3"/>
        <v>1926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>
        <v>36.878048780487809</v>
      </c>
      <c r="AP93" s="3"/>
      <c r="AQ93" s="16">
        <v>36.878048780487809</v>
      </c>
    </row>
    <row r="94" spans="1:43" x14ac:dyDescent="0.25">
      <c r="A94" s="9">
        <f t="shared" si="3"/>
        <v>1927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>
        <v>35.469512195121951</v>
      </c>
      <c r="AP94" s="3"/>
      <c r="AQ94" s="16">
        <v>35.469512195121951</v>
      </c>
    </row>
    <row r="95" spans="1:43" x14ac:dyDescent="0.25">
      <c r="A95" s="9">
        <f t="shared" si="3"/>
        <v>1928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>
        <v>35.59756097560976</v>
      </c>
      <c r="AP95" s="3"/>
      <c r="AQ95" s="16">
        <v>35.59756097560976</v>
      </c>
    </row>
    <row r="96" spans="1:43" x14ac:dyDescent="0.25">
      <c r="A96" s="9">
        <f t="shared" si="3"/>
        <v>1929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>
        <v>37.134146341463421</v>
      </c>
      <c r="AP96" s="3"/>
      <c r="AQ96" s="16">
        <v>37.134146341463421</v>
      </c>
    </row>
    <row r="97" spans="1:43" x14ac:dyDescent="0.25">
      <c r="A97" s="9">
        <f t="shared" si="3"/>
        <v>1930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>
        <v>26.031563845050211</v>
      </c>
      <c r="AP97" s="3"/>
      <c r="AQ97" s="16">
        <v>26.031563845050211</v>
      </c>
    </row>
    <row r="98" spans="1:43" x14ac:dyDescent="0.25">
      <c r="A98" s="9">
        <f t="shared" si="3"/>
        <v>1931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>
        <v>14.944045911047343</v>
      </c>
      <c r="AP98" s="3"/>
      <c r="AQ98" s="16">
        <v>14.944045911047343</v>
      </c>
    </row>
    <row r="99" spans="1:43" hidden="1" x14ac:dyDescent="0.25">
      <c r="A99" s="9">
        <f t="shared" si="3"/>
        <v>1932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3" hidden="1" x14ac:dyDescent="0.25">
      <c r="A100" s="9">
        <f t="shared" si="3"/>
        <v>1933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3" hidden="1" x14ac:dyDescent="0.25">
      <c r="A101" s="9">
        <f t="shared" si="3"/>
        <v>1934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3" hidden="1" x14ac:dyDescent="0.25">
      <c r="A102" s="9">
        <f t="shared" si="3"/>
        <v>1935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3" hidden="1" x14ac:dyDescent="0.25">
      <c r="A103" s="9">
        <f t="shared" si="3"/>
        <v>1936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3" hidden="1" x14ac:dyDescent="0.25">
      <c r="A104" s="9">
        <f t="shared" si="3"/>
        <v>1937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3" hidden="1" x14ac:dyDescent="0.25">
      <c r="A105" s="9">
        <f t="shared" si="3"/>
        <v>1938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3" hidden="1" x14ac:dyDescent="0.25">
      <c r="A106" s="9">
        <f t="shared" si="3"/>
        <v>1939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3" hidden="1" x14ac:dyDescent="0.25">
      <c r="A107" s="9">
        <f t="shared" si="3"/>
        <v>1940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3" hidden="1" x14ac:dyDescent="0.25">
      <c r="A108" s="9">
        <f t="shared" si="3"/>
        <v>1941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3" hidden="1" x14ac:dyDescent="0.25">
      <c r="A109" s="9">
        <f t="shared" si="3"/>
        <v>1942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3" hidden="1" x14ac:dyDescent="0.25">
      <c r="A110" s="9">
        <f t="shared" si="3"/>
        <v>1943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3" hidden="1" x14ac:dyDescent="0.25">
      <c r="A111" s="9">
        <f t="shared" si="3"/>
        <v>1944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3" hidden="1" x14ac:dyDescent="0.25">
      <c r="A112" s="9">
        <f t="shared" si="3"/>
        <v>1945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idden="1" x14ac:dyDescent="0.25">
      <c r="A113" s="9">
        <f t="shared" si="3"/>
        <v>1946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idden="1" x14ac:dyDescent="0.25">
      <c r="A114" s="9">
        <f t="shared" si="3"/>
        <v>1947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idden="1" x14ac:dyDescent="0.25">
      <c r="A115" s="9">
        <f t="shared" si="3"/>
        <v>1948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idden="1" x14ac:dyDescent="0.25">
      <c r="A116" s="9">
        <f t="shared" si="3"/>
        <v>1949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idden="1" x14ac:dyDescent="0.25">
      <c r="A117" s="9">
        <f t="shared" si="3"/>
        <v>1950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hidden="1" x14ac:dyDescent="0.25">
      <c r="A118" s="9">
        <f t="shared" si="3"/>
        <v>1951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hidden="1" x14ac:dyDescent="0.25">
      <c r="A119" s="9">
        <f t="shared" si="3"/>
        <v>1952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hidden="1" x14ac:dyDescent="0.25">
      <c r="A120" s="9">
        <f t="shared" si="3"/>
        <v>1953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hidden="1" x14ac:dyDescent="0.25">
      <c r="A121" s="9">
        <f t="shared" si="3"/>
        <v>1954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hidden="1" x14ac:dyDescent="0.25">
      <c r="A122" s="9">
        <f t="shared" si="3"/>
        <v>1955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hidden="1" x14ac:dyDescent="0.25">
      <c r="A123" s="9">
        <f t="shared" si="3"/>
        <v>1956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hidden="1" x14ac:dyDescent="0.25">
      <c r="A124" s="9">
        <f t="shared" si="3"/>
        <v>1957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idden="1" x14ac:dyDescent="0.25">
      <c r="A125" s="9">
        <f t="shared" si="3"/>
        <v>1958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idden="1" x14ac:dyDescent="0.25">
      <c r="A126" s="9">
        <f t="shared" si="3"/>
        <v>1959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hidden="1" x14ac:dyDescent="0.25">
      <c r="A127" s="9">
        <f t="shared" si="3"/>
        <v>1960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idden="1" x14ac:dyDescent="0.25">
      <c r="A128" s="9">
        <f t="shared" si="3"/>
        <v>1961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idden="1" x14ac:dyDescent="0.25">
      <c r="A129" s="9">
        <f t="shared" si="3"/>
        <v>1962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idden="1" x14ac:dyDescent="0.25">
      <c r="A130" s="9">
        <f t="shared" si="3"/>
        <v>1963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hidden="1" x14ac:dyDescent="0.25">
      <c r="A131" s="9">
        <f t="shared" si="3"/>
        <v>1964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idden="1" x14ac:dyDescent="0.25">
      <c r="A132" s="9">
        <f t="shared" si="3"/>
        <v>1965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idden="1" x14ac:dyDescent="0.25">
      <c r="A133" s="9">
        <f t="shared" si="3"/>
        <v>1966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idden="1" x14ac:dyDescent="0.25">
      <c r="A134" s="9">
        <f t="shared" si="3"/>
        <v>1967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hidden="1" x14ac:dyDescent="0.25">
      <c r="A135" s="9">
        <f t="shared" si="3"/>
        <v>1968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hidden="1" x14ac:dyDescent="0.25">
      <c r="A136" s="9">
        <f t="shared" ref="A136:A145" si="4">A135+1</f>
        <v>1969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hidden="1" x14ac:dyDescent="0.25">
      <c r="A137" s="9">
        <f t="shared" si="4"/>
        <v>1970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hidden="1" x14ac:dyDescent="0.25">
      <c r="A138" s="9">
        <f t="shared" si="4"/>
        <v>1971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hidden="1" x14ac:dyDescent="0.25">
      <c r="A139" s="9">
        <f t="shared" si="4"/>
        <v>1972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hidden="1" x14ac:dyDescent="0.25">
      <c r="A140" s="9">
        <f t="shared" si="4"/>
        <v>1973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idden="1" x14ac:dyDescent="0.25">
      <c r="A141" s="9">
        <f t="shared" si="4"/>
        <v>1974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idden="1" x14ac:dyDescent="0.25">
      <c r="A142" s="9">
        <f t="shared" si="4"/>
        <v>1975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idden="1" x14ac:dyDescent="0.25">
      <c r="A143" s="9">
        <f t="shared" si="4"/>
        <v>1976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idden="1" x14ac:dyDescent="0.25">
      <c r="A144" s="9">
        <f t="shared" si="4"/>
        <v>1977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idden="1" x14ac:dyDescent="0.25">
      <c r="A145" s="9">
        <f t="shared" si="4"/>
        <v>1978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C147" s="1"/>
      <c r="D147" s="1"/>
      <c r="E147" s="1"/>
      <c r="F147" s="1"/>
      <c r="G147" s="1"/>
      <c r="H147" s="1"/>
      <c r="I147" s="1"/>
      <c r="J147" s="1"/>
      <c r="K147" s="1"/>
      <c r="L147" t="s">
        <v>51</v>
      </c>
      <c r="M147" t="s">
        <v>51</v>
      </c>
      <c r="N147" s="1" t="s">
        <v>51</v>
      </c>
      <c r="O147" s="1" t="s">
        <v>51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42" x14ac:dyDescent="0.25">
      <c r="C148" s="1"/>
      <c r="D148" s="1"/>
      <c r="E148" s="1"/>
      <c r="F148" s="1"/>
      <c r="G148" s="1"/>
      <c r="H148" s="1"/>
      <c r="I148" s="1"/>
      <c r="J148" s="1"/>
      <c r="K148" s="1"/>
      <c r="L148" t="s">
        <v>51</v>
      </c>
      <c r="M148" t="s">
        <v>51</v>
      </c>
      <c r="N148" s="1" t="s">
        <v>51</v>
      </c>
      <c r="O148" s="1" t="s">
        <v>51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42" x14ac:dyDescent="0.25">
      <c r="C149" s="1"/>
      <c r="D149" s="1"/>
      <c r="E149" s="1"/>
      <c r="F149" s="1"/>
      <c r="G149" s="1"/>
      <c r="H149" s="1"/>
      <c r="I149" s="1"/>
      <c r="J149" s="1"/>
      <c r="K149" s="1"/>
      <c r="L149" t="s">
        <v>51</v>
      </c>
      <c r="M149" t="s">
        <v>51</v>
      </c>
      <c r="N149" s="1" t="s">
        <v>51</v>
      </c>
      <c r="O149" s="1" t="s">
        <v>51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42" x14ac:dyDescent="0.25">
      <c r="C150" s="1"/>
      <c r="D150" s="1"/>
      <c r="E150" s="1"/>
      <c r="F150" s="1"/>
      <c r="G150" s="1"/>
      <c r="H150" s="1"/>
      <c r="I150" s="1"/>
      <c r="J150" s="1"/>
      <c r="K150" s="1"/>
      <c r="L150" t="s">
        <v>51</v>
      </c>
      <c r="M150" t="s">
        <v>51</v>
      </c>
      <c r="N150" s="1" t="s">
        <v>51</v>
      </c>
      <c r="O150" s="1" t="s">
        <v>51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42" x14ac:dyDescent="0.25">
      <c r="C151" s="1"/>
      <c r="D151" s="1"/>
      <c r="E151" s="1"/>
      <c r="F151" s="1"/>
      <c r="G151" s="1"/>
      <c r="H151" s="1"/>
      <c r="I151" s="1"/>
      <c r="J151" s="1"/>
      <c r="K151" s="1"/>
      <c r="L151" t="s">
        <v>51</v>
      </c>
      <c r="M151" t="s">
        <v>51</v>
      </c>
      <c r="N151" s="1" t="s">
        <v>51</v>
      </c>
      <c r="O151" s="1" t="s">
        <v>51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42" x14ac:dyDescent="0.25">
      <c r="C152" s="1"/>
      <c r="D152" s="1"/>
      <c r="E152" s="1"/>
      <c r="F152" s="1"/>
      <c r="G152" s="1"/>
      <c r="H152" s="1"/>
      <c r="I152" s="1"/>
      <c r="J152" s="1"/>
      <c r="K152" s="1"/>
      <c r="L152" t="s">
        <v>51</v>
      </c>
      <c r="M152" t="s">
        <v>51</v>
      </c>
      <c r="N152" s="1" t="s">
        <v>51</v>
      </c>
      <c r="O152" s="1" t="s">
        <v>51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42" x14ac:dyDescent="0.25">
      <c r="C153" s="1"/>
      <c r="D153" s="1"/>
      <c r="E153" s="1"/>
      <c r="F153" s="1"/>
      <c r="G153" s="1"/>
      <c r="H153" s="1"/>
      <c r="I153" s="1"/>
      <c r="J153" s="1"/>
      <c r="K153" s="1"/>
      <c r="L153" t="s">
        <v>51</v>
      </c>
      <c r="M153" t="s">
        <v>51</v>
      </c>
      <c r="N153" s="1" t="s">
        <v>51</v>
      </c>
      <c r="O153" s="1" t="s">
        <v>51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42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42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42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42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42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42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42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3:3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3:3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3:3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3:3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3:3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3:3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3:3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3:3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3:3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3:3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3:3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3:3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3:3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3:3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3:3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3:3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3:3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3:3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3:3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3:3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3:3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3:3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3:3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3:3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3:3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3:3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3:3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3:3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3:3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3:3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3:3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3:3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3:3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3:3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3:3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3:3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3:3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3:3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3:3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3:3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3:3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3:3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3:3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3:3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3:37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3:37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3:37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3:37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3:37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3:37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3:37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3:37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3:37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3:37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3:37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3:37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3:37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3:37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3:37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3:37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3:37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3:37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3:37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3:37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3:37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3:37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3:37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3:37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3:37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3:37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3:37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3:37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3:37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U5" sqref="U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T4" sqref="T4"/>
    </sheetView>
  </sheetViews>
  <sheetFormatPr defaultRowHeight="13.2" x14ac:dyDescent="0.25"/>
  <sheetData>
    <row r="2" spans="2:2" x14ac:dyDescent="0.25">
      <c r="B2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I34" sqref="I34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T3" sqref="T3"/>
    </sheetView>
  </sheetViews>
  <sheetFormatPr defaultRowHeight="13.2" x14ac:dyDescent="0.25"/>
  <sheetData>
    <row r="1" spans="1:1" ht="15" x14ac:dyDescent="0.25">
      <c r="A1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Wool (All)</vt:lpstr>
      <vt:lpstr>Graphs (All)</vt:lpstr>
      <vt:lpstr>Collective Graph (All)</vt:lpstr>
      <vt:lpstr>Wool (Adjusted)</vt:lpstr>
      <vt:lpstr>Graph - 1</vt:lpstr>
      <vt:lpstr>Graph - 2</vt:lpstr>
      <vt:lpstr>Graph - 3</vt:lpstr>
      <vt:lpstr>Graph - 4</vt:lpstr>
      <vt:lpstr>Graph - 5</vt:lpstr>
      <vt:lpstr>Color Legend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2018-11-18T13:09:27Z</dcterms:modified>
</cp:coreProperties>
</file>