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tabRatio="952"/>
  </bookViews>
  <sheets>
    <sheet name="Intro" sheetId="34" r:id="rId1"/>
    <sheet name="Commodities" sheetId="36" r:id="rId2"/>
    <sheet name="Currencies" sheetId="37" r:id="rId3"/>
  </sheets>
  <definedNames>
    <definedName name="_xlnm._FilterDatabase" localSheetId="1" hidden="1">Commodities!$A$3:$N$482</definedName>
  </definedNames>
  <calcPr calcId="152511"/>
</workbook>
</file>

<file path=xl/calcChain.xml><?xml version="1.0" encoding="utf-8"?>
<calcChain xmlns="http://schemas.openxmlformats.org/spreadsheetml/2006/main">
  <c r="D138" i="37" l="1"/>
  <c r="F95" i="36" l="1"/>
  <c r="L274" i="37" l="1"/>
  <c r="L275" i="37"/>
  <c r="I275" i="37" s="1"/>
  <c r="L283" i="37"/>
  <c r="I283" i="37" s="1"/>
  <c r="C393" i="37"/>
  <c r="C392" i="37"/>
  <c r="C386" i="37"/>
  <c r="B386" i="37"/>
  <c r="B385" i="37"/>
  <c r="C384" i="37"/>
  <c r="C383" i="37"/>
  <c r="B383" i="37"/>
  <c r="B381" i="37"/>
  <c r="B380" i="37"/>
  <c r="B378" i="37"/>
  <c r="B377" i="37"/>
  <c r="B376" i="37"/>
  <c r="B373" i="37"/>
  <c r="C371" i="37"/>
  <c r="B370" i="37"/>
  <c r="Y302" i="37"/>
  <c r="R302" i="37"/>
  <c r="Y301" i="37"/>
  <c r="R301" i="37"/>
  <c r="Y300" i="37"/>
  <c r="R300" i="37"/>
  <c r="Y299" i="37"/>
  <c r="R299" i="37"/>
  <c r="Y298" i="37"/>
  <c r="R298" i="37"/>
  <c r="Y297" i="37"/>
  <c r="R297" i="37"/>
  <c r="Y296" i="37"/>
  <c r="R296" i="37"/>
  <c r="BU287" i="37"/>
  <c r="Y287" i="37"/>
  <c r="S287" i="37"/>
  <c r="R287" i="37"/>
  <c r="P287" i="37" s="1"/>
  <c r="Q287" i="37"/>
  <c r="L287" i="37" s="1"/>
  <c r="Y286" i="37"/>
  <c r="S286" i="37"/>
  <c r="R286" i="37"/>
  <c r="Q286" i="37"/>
  <c r="L286" i="37" s="1"/>
  <c r="Y285" i="37"/>
  <c r="S285" i="37"/>
  <c r="R285" i="37"/>
  <c r="P285" i="37" s="1"/>
  <c r="Q285" i="37"/>
  <c r="L285" i="37" s="1"/>
  <c r="I285" i="37" s="1"/>
  <c r="Y284" i="37"/>
  <c r="S284" i="37"/>
  <c r="R284" i="37"/>
  <c r="P284" i="37" s="1"/>
  <c r="Q284" i="37"/>
  <c r="L284" i="37" s="1"/>
  <c r="R283" i="37"/>
  <c r="P283" i="37" s="1"/>
  <c r="Y282" i="37"/>
  <c r="S282" i="37"/>
  <c r="R282" i="37"/>
  <c r="P282" i="37" s="1"/>
  <c r="Q282" i="37"/>
  <c r="L282" i="37" s="1"/>
  <c r="Y281" i="37"/>
  <c r="R281" i="37"/>
  <c r="P281" i="37" s="1"/>
  <c r="Q281" i="37"/>
  <c r="L281" i="37" s="1"/>
  <c r="I281" i="37" s="1"/>
  <c r="Y280" i="37"/>
  <c r="R280" i="37"/>
  <c r="P280" i="37" s="1"/>
  <c r="Q280" i="37"/>
  <c r="L280" i="37" s="1"/>
  <c r="BN279" i="37"/>
  <c r="Y279" i="37"/>
  <c r="R279" i="37"/>
  <c r="P279" i="37" s="1"/>
  <c r="Q279" i="37"/>
  <c r="L279" i="37" s="1"/>
  <c r="Y278" i="37"/>
  <c r="R278" i="37"/>
  <c r="P278" i="37" s="1"/>
  <c r="Q278" i="37"/>
  <c r="L278" i="37" s="1"/>
  <c r="Y277" i="37"/>
  <c r="R277" i="37"/>
  <c r="P277" i="37" s="1"/>
  <c r="Q277" i="37"/>
  <c r="L277" i="37" s="1"/>
  <c r="Y276" i="37"/>
  <c r="R276" i="37"/>
  <c r="P276" i="37" s="1"/>
  <c r="Q276" i="37"/>
  <c r="L276" i="37" s="1"/>
  <c r="Y275" i="37"/>
  <c r="R275" i="37"/>
  <c r="P275" i="37" s="1"/>
  <c r="Y274" i="37"/>
  <c r="R274" i="37"/>
  <c r="X273" i="37"/>
  <c r="Q273" i="37"/>
  <c r="P273" i="37" s="1"/>
  <c r="Q272" i="37"/>
  <c r="P272" i="37" s="1"/>
  <c r="X271" i="37"/>
  <c r="Q271" i="37"/>
  <c r="L271" i="37" s="1"/>
  <c r="I271" i="37" s="1"/>
  <c r="X270" i="37"/>
  <c r="Q270" i="37"/>
  <c r="L270" i="37" s="1"/>
  <c r="I270" i="37" s="1"/>
  <c r="K270" i="37"/>
  <c r="AS269" i="37"/>
  <c r="AL269" i="37"/>
  <c r="AK287" i="37" s="1"/>
  <c r="AE269" i="37"/>
  <c r="J269" i="37"/>
  <c r="I269" i="37" s="1"/>
  <c r="J268" i="37"/>
  <c r="I268" i="37" s="1"/>
  <c r="J267" i="37"/>
  <c r="I267" i="37" s="1"/>
  <c r="J245" i="37"/>
  <c r="I245" i="37" s="1"/>
  <c r="I249" i="37" s="1"/>
  <c r="H228" i="37"/>
  <c r="E161" i="37" s="1"/>
  <c r="H227" i="37"/>
  <c r="E175" i="37" s="1"/>
  <c r="B175" i="37" s="1"/>
  <c r="H226" i="37"/>
  <c r="H225" i="37"/>
  <c r="E172" i="37" s="1"/>
  <c r="B172" i="37" s="1"/>
  <c r="H224" i="37"/>
  <c r="E171" i="37" s="1"/>
  <c r="B171" i="37" s="1"/>
  <c r="H223" i="37"/>
  <c r="E170" i="37" s="1"/>
  <c r="B170" i="37" s="1"/>
  <c r="H222" i="37"/>
  <c r="E168" i="37" s="1"/>
  <c r="B168" i="37" s="1"/>
  <c r="H221" i="37"/>
  <c r="E167" i="37" s="1"/>
  <c r="B167" i="37" s="1"/>
  <c r="H220" i="37"/>
  <c r="E166" i="37" s="1"/>
  <c r="B166" i="37" s="1"/>
  <c r="H219" i="37"/>
  <c r="E165" i="37" s="1"/>
  <c r="B165" i="37" s="1"/>
  <c r="H218" i="37"/>
  <c r="E164" i="37" s="1"/>
  <c r="B164" i="37" s="1"/>
  <c r="H217" i="37"/>
  <c r="E173" i="37" s="1"/>
  <c r="B173" i="37" s="1"/>
  <c r="H216" i="37"/>
  <c r="L162" i="37" s="1"/>
  <c r="I162" i="37" s="1"/>
  <c r="H215" i="37"/>
  <c r="W181" i="37" s="1"/>
  <c r="U181" i="37" s="1"/>
  <c r="H214" i="37"/>
  <c r="E181" i="37" s="1"/>
  <c r="B181" i="37" s="1"/>
  <c r="H213" i="37"/>
  <c r="L181" i="37" s="1"/>
  <c r="I181" i="37" s="1"/>
  <c r="H212" i="37"/>
  <c r="W180" i="37" s="1"/>
  <c r="U180" i="37" s="1"/>
  <c r="H211" i="37"/>
  <c r="E180" i="37" s="1"/>
  <c r="B180" i="37" s="1"/>
  <c r="H210" i="37"/>
  <c r="L180" i="37" s="1"/>
  <c r="I180" i="37" s="1"/>
  <c r="H209" i="37"/>
  <c r="W179" i="37" s="1"/>
  <c r="U179" i="37" s="1"/>
  <c r="H208" i="37"/>
  <c r="E179" i="37" s="1"/>
  <c r="B179" i="37" s="1"/>
  <c r="H207" i="37"/>
  <c r="L179" i="37" s="1"/>
  <c r="I179" i="37" s="1"/>
  <c r="H206" i="37"/>
  <c r="W178" i="37" s="1"/>
  <c r="U178" i="37" s="1"/>
  <c r="H205" i="37"/>
  <c r="E178" i="37" s="1"/>
  <c r="B178" i="37" s="1"/>
  <c r="H204" i="37"/>
  <c r="L178" i="37" s="1"/>
  <c r="I178" i="37" s="1"/>
  <c r="H202" i="37"/>
  <c r="E177" i="37" s="1"/>
  <c r="B177" i="37" s="1"/>
  <c r="B176" i="37" s="1"/>
  <c r="H198" i="37"/>
  <c r="L177" i="37" s="1"/>
  <c r="I177" i="37" s="1"/>
  <c r="H197" i="37"/>
  <c r="H196" i="37"/>
  <c r="H195" i="37"/>
  <c r="I194" i="37"/>
  <c r="I193" i="37"/>
  <c r="I192" i="37"/>
  <c r="M176" i="37" s="1"/>
  <c r="I191" i="37"/>
  <c r="I190" i="37"/>
  <c r="I189" i="37"/>
  <c r="I188" i="37"/>
  <c r="I187" i="37"/>
  <c r="X181" i="37"/>
  <c r="X180" i="37"/>
  <c r="X179" i="37"/>
  <c r="X178" i="37"/>
  <c r="X177" i="37"/>
  <c r="I173" i="37"/>
  <c r="O172" i="37"/>
  <c r="I172" i="37"/>
  <c r="O171" i="37"/>
  <c r="O170" i="37"/>
  <c r="O169" i="37"/>
  <c r="O168" i="37" s="1"/>
  <c r="J169" i="37"/>
  <c r="I169" i="37" s="1"/>
  <c r="I168" i="37"/>
  <c r="J167" i="37"/>
  <c r="I167" i="37" s="1"/>
  <c r="I166" i="37"/>
  <c r="I165" i="37"/>
  <c r="B163" i="37"/>
  <c r="B162" i="37"/>
  <c r="B161" i="37"/>
  <c r="B160" i="37"/>
  <c r="C159" i="37"/>
  <c r="B159" i="37" s="1"/>
  <c r="E174" i="37" l="1"/>
  <c r="B174" i="37" s="1"/>
  <c r="P270" i="37"/>
  <c r="I274" i="37"/>
  <c r="P271" i="37"/>
  <c r="I243" i="37"/>
  <c r="I246" i="37"/>
  <c r="I259" i="37"/>
  <c r="AB162" i="37"/>
  <c r="I240" i="37"/>
  <c r="I264" i="37"/>
  <c r="I256" i="37"/>
  <c r="I248" i="37"/>
  <c r="I239" i="37"/>
  <c r="I263" i="37"/>
  <c r="I255" i="37"/>
  <c r="I247" i="37"/>
  <c r="I251" i="37"/>
  <c r="P274" i="37"/>
  <c r="I244" i="37"/>
  <c r="I236" i="37"/>
  <c r="I260" i="37"/>
  <c r="I252" i="37"/>
  <c r="O167" i="37"/>
  <c r="O166" i="37"/>
  <c r="I286" i="37"/>
  <c r="O165" i="37"/>
  <c r="I242" i="37"/>
  <c r="I238" i="37"/>
  <c r="I266" i="37"/>
  <c r="I262" i="37"/>
  <c r="I258" i="37"/>
  <c r="I254" i="37"/>
  <c r="I250" i="37"/>
  <c r="L273" i="37"/>
  <c r="I273" i="37" s="1"/>
  <c r="I279" i="37"/>
  <c r="P286" i="37"/>
  <c r="I235" i="37"/>
  <c r="I241" i="37"/>
  <c r="I237" i="37"/>
  <c r="I265" i="37"/>
  <c r="I261" i="37"/>
  <c r="I257" i="37"/>
  <c r="I253" i="37"/>
  <c r="L272" i="37"/>
  <c r="I272" i="37" s="1"/>
  <c r="I277" i="37"/>
  <c r="I276" i="37"/>
  <c r="I278" i="37"/>
  <c r="I284" i="37"/>
  <c r="I280" i="37"/>
  <c r="I282" i="37"/>
  <c r="I287" i="37"/>
  <c r="B169" i="37"/>
  <c r="D287" i="36" l="1"/>
  <c r="D314" i="36"/>
  <c r="D347" i="36"/>
  <c r="D299" i="36"/>
  <c r="D310" i="36"/>
  <c r="D311" i="36"/>
  <c r="D242" i="36"/>
  <c r="L219" i="36"/>
  <c r="L437" i="36"/>
  <c r="D267" i="36"/>
  <c r="D468" i="36" s="1"/>
  <c r="D253" i="36"/>
  <c r="D421" i="36"/>
  <c r="D298" i="36"/>
  <c r="D312" i="36"/>
  <c r="D290" i="36"/>
  <c r="D313" i="36" s="1"/>
  <c r="D331" i="36"/>
  <c r="D333" i="36" s="1"/>
  <c r="D218" i="36"/>
  <c r="D256" i="36"/>
  <c r="D254" i="36" s="1"/>
  <c r="D265" i="36"/>
  <c r="D266" i="36" s="1"/>
  <c r="D307" i="36"/>
  <c r="D305" i="36" s="1"/>
  <c r="D44" i="36"/>
  <c r="D47" i="36"/>
  <c r="D49" i="36"/>
  <c r="D51" i="36"/>
  <c r="D70" i="36"/>
  <c r="D82" i="36"/>
  <c r="D94" i="36"/>
  <c r="H173" i="36" l="1"/>
  <c r="D141" i="37"/>
  <c r="D140" i="37"/>
  <c r="D139" i="37"/>
  <c r="D134" i="37"/>
  <c r="D143" i="37"/>
  <c r="D53" i="37" l="1"/>
  <c r="H53" i="37" s="1"/>
  <c r="D52" i="37"/>
  <c r="G52" i="37" s="1"/>
  <c r="D51" i="37"/>
  <c r="G51" i="37" s="1"/>
  <c r="D50" i="37"/>
  <c r="H50" i="37" s="1"/>
  <c r="D49" i="37"/>
  <c r="G49" i="37" s="1"/>
  <c r="D48" i="37"/>
  <c r="H48" i="37" s="1"/>
  <c r="D47" i="37"/>
  <c r="H47" i="37" s="1"/>
  <c r="D46" i="37"/>
  <c r="H46" i="37" s="1"/>
  <c r="D45" i="37"/>
  <c r="H45" i="37" s="1"/>
  <c r="D44" i="37"/>
  <c r="G44" i="37" s="1"/>
  <c r="D43" i="37"/>
  <c r="H43" i="37" s="1"/>
  <c r="D42" i="37"/>
  <c r="H42" i="37" s="1"/>
  <c r="D41" i="37"/>
  <c r="G41" i="37" s="1"/>
  <c r="D40" i="37"/>
  <c r="G40" i="37" s="1"/>
  <c r="D39" i="37"/>
  <c r="G39" i="37" s="1"/>
  <c r="D38" i="37"/>
  <c r="H38" i="37" s="1"/>
  <c r="D37" i="37"/>
  <c r="H37" i="37" s="1"/>
  <c r="D36" i="37"/>
  <c r="G36" i="37" s="1"/>
  <c r="D35" i="37"/>
  <c r="G35" i="37" s="1"/>
  <c r="D34" i="37"/>
  <c r="H34" i="37" s="1"/>
  <c r="D33" i="37"/>
  <c r="G33" i="37" s="1"/>
  <c r="D32" i="37"/>
  <c r="H32" i="37" s="1"/>
  <c r="D31" i="37"/>
  <c r="H31" i="37" s="1"/>
  <c r="D30" i="37"/>
  <c r="H30" i="37" s="1"/>
  <c r="D29" i="37"/>
  <c r="H29" i="37" s="1"/>
  <c r="D28" i="37"/>
  <c r="G28" i="37" s="1"/>
  <c r="D27" i="37"/>
  <c r="H27" i="37" s="1"/>
  <c r="D26" i="37"/>
  <c r="H26" i="37" s="1"/>
  <c r="D25" i="37"/>
  <c r="G25" i="37" s="1"/>
  <c r="D24" i="37"/>
  <c r="G24" i="37" s="1"/>
  <c r="D23" i="37"/>
  <c r="G23" i="37" s="1"/>
  <c r="D22" i="37"/>
  <c r="H22" i="37" s="1"/>
  <c r="D21" i="37"/>
  <c r="H21" i="37" s="1"/>
  <c r="D20" i="37"/>
  <c r="G20" i="37" s="1"/>
  <c r="D19" i="37"/>
  <c r="G19" i="37" s="1"/>
  <c r="D18" i="37"/>
  <c r="H18" i="37" s="1"/>
  <c r="D17" i="37"/>
  <c r="G17" i="37" s="1"/>
  <c r="D16" i="37"/>
  <c r="H16" i="37" s="1"/>
  <c r="D15" i="37"/>
  <c r="H15" i="37" s="1"/>
  <c r="D14" i="37"/>
  <c r="G14" i="37" s="1"/>
  <c r="D13" i="37"/>
  <c r="G13" i="37" s="1"/>
  <c r="D12" i="37"/>
  <c r="G12" i="37" s="1"/>
  <c r="H35" i="37" l="1"/>
  <c r="H41" i="37"/>
  <c r="H49" i="37"/>
  <c r="H23" i="37"/>
  <c r="H17" i="37"/>
  <c r="H25" i="37"/>
  <c r="H33" i="37"/>
  <c r="H40" i="37"/>
  <c r="G21" i="37"/>
  <c r="G42" i="37"/>
  <c r="G26" i="37"/>
  <c r="G38" i="37"/>
  <c r="G22" i="37"/>
  <c r="H51" i="37"/>
  <c r="H19" i="37"/>
  <c r="G50" i="37"/>
  <c r="G34" i="37"/>
  <c r="H24" i="37"/>
  <c r="H39" i="37"/>
  <c r="G46" i="37"/>
  <c r="G30" i="37"/>
  <c r="G18" i="37"/>
  <c r="H20" i="37"/>
  <c r="H36" i="37"/>
  <c r="H52" i="37"/>
  <c r="G53" i="37"/>
  <c r="G45" i="37"/>
  <c r="G37" i="37"/>
  <c r="G29" i="37"/>
  <c r="H28" i="37"/>
  <c r="H44" i="37"/>
  <c r="G48" i="37"/>
  <c r="G32" i="37"/>
  <c r="G16" i="37"/>
  <c r="G47" i="37"/>
  <c r="G43" i="37"/>
  <c r="G31" i="37"/>
  <c r="G27" i="37"/>
  <c r="G15" i="37"/>
  <c r="F105" i="36"/>
  <c r="F27" i="36"/>
  <c r="F387" i="36" l="1"/>
  <c r="F159" i="36"/>
  <c r="F383" i="36"/>
  <c r="F228" i="36"/>
  <c r="F149" i="36"/>
  <c r="F141" i="36"/>
  <c r="H315" i="36"/>
  <c r="F315" i="36"/>
  <c r="F345" i="36"/>
  <c r="F304" i="36"/>
  <c r="F226" i="36"/>
  <c r="H226" i="36" s="1"/>
  <c r="F166" i="36"/>
  <c r="H166" i="36" s="1"/>
  <c r="F224" i="36"/>
  <c r="H224" i="36" s="1"/>
  <c r="F201" i="36"/>
  <c r="H201" i="36" s="1"/>
  <c r="F181" i="36"/>
  <c r="H181" i="36" s="1"/>
  <c r="F131" i="36"/>
  <c r="H131" i="36" s="1"/>
  <c r="F123" i="36"/>
  <c r="F124" i="36" s="1"/>
  <c r="F167" i="36"/>
  <c r="F390" i="36"/>
  <c r="H390" i="36" s="1"/>
  <c r="F161" i="36"/>
  <c r="F160" i="36"/>
  <c r="F162" i="36" s="1"/>
  <c r="F360" i="36"/>
  <c r="F237" i="36"/>
  <c r="F276" i="36"/>
  <c r="F275" i="36"/>
  <c r="F168" i="36"/>
  <c r="F104" i="36"/>
  <c r="H104" i="36" s="1"/>
  <c r="H16" i="36"/>
  <c r="F16" i="36"/>
  <c r="F146" i="36"/>
  <c r="H146" i="36" s="1"/>
  <c r="F135" i="36"/>
  <c r="F134" i="36"/>
  <c r="F119" i="36" s="1"/>
  <c r="F103" i="36"/>
  <c r="F142" i="36"/>
  <c r="F236" i="36"/>
  <c r="F170" i="36"/>
  <c r="F365" i="36"/>
  <c r="F100" i="36"/>
  <c r="F30" i="36"/>
  <c r="F3" i="36"/>
  <c r="D12" i="36"/>
  <c r="H15" i="36"/>
  <c r="F15" i="36"/>
  <c r="J4" i="36"/>
  <c r="J36" i="36" s="1"/>
  <c r="F8" i="36"/>
  <c r="H105" i="36" s="1"/>
  <c r="F7" i="36"/>
  <c r="F34" i="36" s="1"/>
  <c r="F11" i="36"/>
  <c r="F12" i="36" s="1"/>
  <c r="D150" i="37"/>
  <c r="D149" i="37"/>
  <c r="D146" i="37"/>
  <c r="D145" i="37"/>
  <c r="D121" i="37"/>
  <c r="D112" i="37"/>
  <c r="D104" i="37"/>
  <c r="D103" i="37"/>
  <c r="D102" i="37"/>
  <c r="D99" i="37"/>
  <c r="D98" i="37"/>
  <c r="D84" i="37"/>
  <c r="D83" i="37"/>
  <c r="F63" i="37"/>
  <c r="D78" i="37"/>
  <c r="D77" i="37"/>
  <c r="D374" i="36"/>
  <c r="F374" i="36" s="1"/>
  <c r="F358" i="36"/>
  <c r="H358" i="36" s="1"/>
  <c r="F378" i="36"/>
  <c r="F274" i="36"/>
  <c r="H130" i="36"/>
  <c r="H260" i="36"/>
  <c r="D372" i="36"/>
  <c r="F372" i="36" s="1"/>
  <c r="F14" i="36"/>
  <c r="F5" i="36"/>
  <c r="D32" i="36"/>
  <c r="D29" i="36"/>
  <c r="D28" i="36"/>
  <c r="H177" i="36"/>
  <c r="D22" i="36"/>
  <c r="D113" i="36"/>
  <c r="F113" i="36" s="1"/>
  <c r="D121" i="36"/>
  <c r="D392" i="36"/>
  <c r="D111" i="36"/>
  <c r="F111" i="36" s="1"/>
  <c r="F112" i="36" s="1"/>
  <c r="D6" i="36"/>
  <c r="H4" i="36" l="1"/>
  <c r="H5" i="36"/>
  <c r="F32" i="36"/>
  <c r="F33" i="36"/>
  <c r="H33" i="36" s="1"/>
  <c r="H149" i="36"/>
  <c r="D147" i="36"/>
  <c r="F147" i="36" s="1"/>
  <c r="F225" i="36"/>
  <c r="H225" i="36" s="1"/>
  <c r="F213" i="36"/>
  <c r="F248" i="36"/>
  <c r="H123" i="36"/>
  <c r="F31" i="36"/>
  <c r="H135" i="36"/>
  <c r="H34" i="36"/>
  <c r="H134" i="36"/>
  <c r="F238" i="36"/>
  <c r="F10" i="36"/>
  <c r="H10" i="36" s="1"/>
  <c r="F28" i="36"/>
  <c r="F185" i="36"/>
  <c r="F211" i="36"/>
  <c r="F193" i="36"/>
  <c r="F175" i="36"/>
</calcChain>
</file>

<file path=xl/comments1.xml><?xml version="1.0" encoding="utf-8"?>
<comments xmlns="http://schemas.openxmlformats.org/spreadsheetml/2006/main">
  <authors>
    <author>Author</author>
  </authors>
  <commentList>
    <comment ref="D22" authorId="0" shapeId="0">
      <text>
        <r>
          <rPr>
            <b/>
            <sz val="9"/>
            <color indexed="81"/>
            <rFont val="Tahoma"/>
            <family val="2"/>
          </rPr>
          <t>Author:</t>
        </r>
        <r>
          <rPr>
            <sz val="9"/>
            <color indexed="81"/>
            <rFont val="Tahoma"/>
            <family val="2"/>
          </rPr>
          <t xml:space="preserve">
Averaged from 1912-13 and 1911-12 reports.</t>
        </r>
      </text>
    </comment>
    <comment ref="D69" authorId="0" shapeId="0">
      <text>
        <r>
          <rPr>
            <b/>
            <sz val="9"/>
            <color indexed="81"/>
            <rFont val="Tahoma"/>
            <family val="2"/>
          </rPr>
          <t>Author:</t>
        </r>
        <r>
          <rPr>
            <sz val="9"/>
            <color indexed="81"/>
            <rFont val="Tahoma"/>
            <family val="2"/>
          </rPr>
          <t xml:space="preserve">
approx. 256 to 288 kg</t>
        </r>
      </text>
    </comment>
    <comment ref="D73" authorId="0" shapeId="0">
      <text>
        <r>
          <rPr>
            <b/>
            <sz val="9"/>
            <color indexed="81"/>
            <rFont val="Tahoma"/>
            <family val="2"/>
          </rPr>
          <t>Author:</t>
        </r>
        <r>
          <rPr>
            <sz val="9"/>
            <color indexed="81"/>
            <rFont val="Tahoma"/>
            <family val="2"/>
          </rPr>
          <t xml:space="preserve">
approx. 1/4 of an acre</t>
        </r>
      </text>
    </comment>
    <comment ref="C83" authorId="0" shapeId="0">
      <text>
        <r>
          <rPr>
            <b/>
            <sz val="9"/>
            <color indexed="81"/>
            <rFont val="Tahoma"/>
            <family val="2"/>
          </rPr>
          <t>Author:</t>
        </r>
        <r>
          <rPr>
            <sz val="9"/>
            <color indexed="81"/>
            <rFont val="Tahoma"/>
            <family val="2"/>
          </rPr>
          <t xml:space="preserve">
in Damascus.
</t>
        </r>
      </text>
    </comment>
    <comment ref="D83" authorId="0" shapeId="0">
      <text>
        <r>
          <rPr>
            <b/>
            <sz val="9"/>
            <color indexed="81"/>
            <rFont val="Tahoma"/>
            <family val="2"/>
          </rPr>
          <t>Author:</t>
        </r>
        <r>
          <rPr>
            <sz val="9"/>
            <color indexed="81"/>
            <rFont val="Tahoma"/>
            <family val="2"/>
          </rPr>
          <t xml:space="preserve">
or 288.4 kg</t>
        </r>
      </text>
    </comment>
    <comment ref="C84" authorId="0" shapeId="0">
      <text>
        <r>
          <rPr>
            <b/>
            <sz val="9"/>
            <color indexed="81"/>
            <rFont val="Tahoma"/>
            <family val="2"/>
          </rPr>
          <t>Author:</t>
        </r>
        <r>
          <rPr>
            <sz val="9"/>
            <color indexed="81"/>
            <rFont val="Tahoma"/>
            <family val="2"/>
          </rPr>
          <t xml:space="preserve">
in Hauran.
</t>
        </r>
      </text>
    </comment>
    <comment ref="D84" authorId="0" shapeId="0">
      <text>
        <r>
          <rPr>
            <b/>
            <sz val="9"/>
            <color indexed="81"/>
            <rFont val="Tahoma"/>
            <family val="2"/>
          </rPr>
          <t>Author:</t>
        </r>
        <r>
          <rPr>
            <sz val="9"/>
            <color indexed="81"/>
            <rFont val="Tahoma"/>
            <family val="2"/>
          </rPr>
          <t xml:space="preserve">
or 230 kg</t>
        </r>
      </text>
    </comment>
    <comment ref="C85" authorId="0" shapeId="0">
      <text>
        <r>
          <rPr>
            <b/>
            <sz val="9"/>
            <color indexed="81"/>
            <rFont val="Tahoma"/>
            <family val="2"/>
          </rPr>
          <t>Author:</t>
        </r>
        <r>
          <rPr>
            <sz val="9"/>
            <color indexed="81"/>
            <rFont val="Tahoma"/>
            <family val="2"/>
          </rPr>
          <t xml:space="preserve">
in Hauran.
</t>
        </r>
      </text>
    </comment>
    <comment ref="D85" authorId="0" shapeId="0">
      <text>
        <r>
          <rPr>
            <b/>
            <sz val="9"/>
            <color indexed="81"/>
            <rFont val="Tahoma"/>
            <family val="2"/>
          </rPr>
          <t>Author:</t>
        </r>
        <r>
          <rPr>
            <sz val="9"/>
            <color indexed="81"/>
            <rFont val="Tahoma"/>
            <family val="2"/>
          </rPr>
          <t xml:space="preserve">
or 256.8 kg</t>
        </r>
      </text>
    </comment>
    <comment ref="D121" authorId="0" shapeId="0">
      <text>
        <r>
          <rPr>
            <b/>
            <sz val="9"/>
            <color indexed="81"/>
            <rFont val="Tahoma"/>
            <family val="2"/>
          </rPr>
          <t>Author:</t>
        </r>
        <r>
          <rPr>
            <sz val="9"/>
            <color indexed="81"/>
            <rFont val="Tahoma"/>
            <family val="2"/>
          </rPr>
          <t xml:space="preserve">
Sourced from 1912-13 where both units and equivalent cwts. are listed.</t>
        </r>
      </text>
    </comment>
    <comment ref="D132" authorId="0" shapeId="0">
      <text>
        <r>
          <rPr>
            <b/>
            <sz val="9"/>
            <color indexed="81"/>
            <rFont val="Tahoma"/>
            <family val="2"/>
          </rPr>
          <t>Author:</t>
        </r>
        <r>
          <rPr>
            <sz val="9"/>
            <color indexed="81"/>
            <rFont val="Tahoma"/>
            <family val="2"/>
          </rPr>
          <t xml:space="preserve">
Averaged using values from reports in Smyrna, 1905 till 1908.
</t>
        </r>
      </text>
    </comment>
    <comment ref="D152" authorId="0" shapeId="0">
      <text>
        <r>
          <rPr>
            <b/>
            <sz val="9"/>
            <color indexed="81"/>
            <rFont val="Tahoma"/>
            <family val="2"/>
          </rPr>
          <t>Author:</t>
        </r>
        <r>
          <rPr>
            <sz val="9"/>
            <color indexed="81"/>
            <rFont val="Tahoma"/>
            <family val="2"/>
          </rPr>
          <t xml:space="preserve">
Averaged using values from reports in Smyrna, 1905 till 1908.
</t>
        </r>
      </text>
    </comment>
    <comment ref="D153" authorId="0" shapeId="0">
      <text>
        <r>
          <rPr>
            <b/>
            <sz val="9"/>
            <color indexed="81"/>
            <rFont val="Tahoma"/>
            <family val="2"/>
          </rPr>
          <t>Author:</t>
        </r>
        <r>
          <rPr>
            <sz val="9"/>
            <color indexed="81"/>
            <rFont val="Tahoma"/>
            <family val="2"/>
          </rPr>
          <t xml:space="preserve">
Averaged using values from reports in Smyrna, 1905 till 1908.
</t>
        </r>
      </text>
    </comment>
    <comment ref="D197" authorId="0" shapeId="0">
      <text>
        <r>
          <rPr>
            <b/>
            <sz val="9"/>
            <color indexed="81"/>
            <rFont val="Tahoma"/>
            <family val="2"/>
          </rPr>
          <t>Author:</t>
        </r>
        <r>
          <rPr>
            <sz val="9"/>
            <color indexed="81"/>
            <rFont val="Tahoma"/>
            <family val="2"/>
          </rPr>
          <t xml:space="preserve">
Averaged using values from reports in Smyrna, 1905 till 1908.
</t>
        </r>
      </text>
    </comment>
    <comment ref="D200" authorId="0" shapeId="0">
      <text>
        <r>
          <rPr>
            <b/>
            <sz val="9"/>
            <color indexed="81"/>
            <rFont val="Tahoma"/>
            <family val="2"/>
          </rPr>
          <t>Author:</t>
        </r>
        <r>
          <rPr>
            <sz val="9"/>
            <color indexed="81"/>
            <rFont val="Tahoma"/>
            <family val="2"/>
          </rPr>
          <t xml:space="preserve">
Averaged using values from reports in Smyrna, 1905 till 1908.
</t>
        </r>
      </text>
    </comment>
    <comment ref="D212" authorId="0" shapeId="0">
      <text>
        <r>
          <rPr>
            <b/>
            <sz val="9"/>
            <color indexed="81"/>
            <rFont val="Tahoma"/>
            <family val="2"/>
          </rPr>
          <t>Author:</t>
        </r>
        <r>
          <rPr>
            <sz val="9"/>
            <color indexed="81"/>
            <rFont val="Tahoma"/>
            <family val="2"/>
          </rPr>
          <t xml:space="preserve">
Averaged using values from reports in Smyrna, 1905 till 1908.
</t>
        </r>
      </text>
    </comment>
    <comment ref="C219" authorId="0" shapeId="0">
      <text>
        <r>
          <rPr>
            <b/>
            <sz val="9"/>
            <color indexed="81"/>
            <rFont val="Tahoma"/>
            <family val="2"/>
          </rPr>
          <t>Author:</t>
        </r>
        <r>
          <rPr>
            <sz val="9"/>
            <color indexed="81"/>
            <rFont val="Tahoma"/>
            <family val="2"/>
          </rPr>
          <t xml:space="preserve">
The imperial quarter is equal to 29077 hectolitres.</t>
        </r>
      </text>
    </comment>
    <comment ref="D219" authorId="0" shapeId="0">
      <text>
        <r>
          <rPr>
            <b/>
            <sz val="9"/>
            <color indexed="81"/>
            <rFont val="Tahoma"/>
            <family val="2"/>
          </rPr>
          <t>Author:</t>
        </r>
        <r>
          <rPr>
            <sz val="9"/>
            <color indexed="81"/>
            <rFont val="Tahoma"/>
            <family val="2"/>
          </rPr>
          <t xml:space="preserve">
these conversion are inferred from the informaition in the reports; i.e. from year 1875 </t>
        </r>
      </text>
    </comment>
    <comment ref="D230" authorId="0" shapeId="0">
      <text>
        <r>
          <rPr>
            <b/>
            <sz val="9"/>
            <color indexed="81"/>
            <rFont val="Tahoma"/>
            <family val="2"/>
          </rPr>
          <t>Author:</t>
        </r>
        <r>
          <rPr>
            <sz val="9"/>
            <color indexed="81"/>
            <rFont val="Tahoma"/>
            <family val="2"/>
          </rPr>
          <t xml:space="preserve">
Averaged using values from reports in Smyrna, 1905 till 1908.
</t>
        </r>
      </text>
    </comment>
    <comment ref="D231" authorId="0" shapeId="0">
      <text>
        <r>
          <rPr>
            <b/>
            <sz val="9"/>
            <color indexed="81"/>
            <rFont val="Tahoma"/>
            <family val="2"/>
          </rPr>
          <t>Author:</t>
        </r>
        <r>
          <rPr>
            <sz val="9"/>
            <color indexed="81"/>
            <rFont val="Tahoma"/>
            <family val="2"/>
          </rPr>
          <t xml:space="preserve">
Averaged using values from reports in Smyrna, 1905 till 1908.
</t>
        </r>
      </text>
    </comment>
    <comment ref="D258" authorId="0" shapeId="0">
      <text>
        <r>
          <rPr>
            <b/>
            <sz val="9"/>
            <color indexed="81"/>
            <rFont val="Tahoma"/>
            <family val="2"/>
          </rPr>
          <t>Author:</t>
        </r>
        <r>
          <rPr>
            <sz val="9"/>
            <color indexed="81"/>
            <rFont val="Tahoma"/>
            <family val="2"/>
          </rPr>
          <t xml:space="preserve">
Averaged using values from reports in Smyrna, 1905 till 1908.
</t>
        </r>
      </text>
    </comment>
    <comment ref="D259" authorId="0" shapeId="0">
      <text>
        <r>
          <rPr>
            <b/>
            <sz val="9"/>
            <color indexed="81"/>
            <rFont val="Tahoma"/>
            <family val="2"/>
          </rPr>
          <t>Author:</t>
        </r>
        <r>
          <rPr>
            <sz val="9"/>
            <color indexed="81"/>
            <rFont val="Tahoma"/>
            <family val="2"/>
          </rPr>
          <t xml:space="preserve">
Averaged using values from reports in Smyrna, 1905 till 1908.
</t>
        </r>
      </text>
    </comment>
    <comment ref="C299" authorId="0" shapeId="0">
      <text>
        <r>
          <rPr>
            <b/>
            <sz val="9"/>
            <color indexed="81"/>
            <rFont val="Tahoma"/>
            <family val="2"/>
          </rPr>
          <t>Author:</t>
        </r>
        <r>
          <rPr>
            <sz val="9"/>
            <color indexed="81"/>
            <rFont val="Tahoma"/>
            <family val="2"/>
          </rPr>
          <t xml:space="preserve">
same as kileh (as stated in 1863)</t>
        </r>
      </text>
    </comment>
    <comment ref="D301" authorId="0" shapeId="0">
      <text>
        <r>
          <rPr>
            <b/>
            <sz val="9"/>
            <color indexed="81"/>
            <rFont val="Tahoma"/>
            <family val="2"/>
          </rPr>
          <t>Author:</t>
        </r>
        <r>
          <rPr>
            <sz val="9"/>
            <color indexed="81"/>
            <rFont val="Tahoma"/>
            <family val="2"/>
          </rPr>
          <t xml:space="preserve">
Averaged using values from reports in Smyrna, 1905 till 1908.
</t>
        </r>
      </text>
    </comment>
    <comment ref="D317" authorId="0" shapeId="0">
      <text>
        <r>
          <rPr>
            <b/>
            <sz val="9"/>
            <color indexed="81"/>
            <rFont val="Tahoma"/>
            <family val="2"/>
          </rPr>
          <t>Author:</t>
        </r>
        <r>
          <rPr>
            <sz val="9"/>
            <color indexed="81"/>
            <rFont val="Tahoma"/>
            <family val="2"/>
          </rPr>
          <t xml:space="preserve">
Averaged using values from reports in Smyrna, 1905 till 1908.
</t>
        </r>
      </text>
    </comment>
    <comment ref="F358" authorId="0" shapeId="0">
      <text>
        <r>
          <rPr>
            <b/>
            <sz val="9"/>
            <color indexed="81"/>
            <rFont val="Tahoma"/>
            <family val="2"/>
          </rPr>
          <t>Author:</t>
        </r>
        <r>
          <rPr>
            <sz val="9"/>
            <color indexed="81"/>
            <rFont val="Tahoma"/>
            <family val="2"/>
          </rPr>
          <t xml:space="preserve">
Sourced from 1912-13 where both units and equivalent cwts. are listed.</t>
        </r>
      </text>
    </comment>
    <comment ref="D359" authorId="0" shapeId="0">
      <text>
        <r>
          <rPr>
            <b/>
            <sz val="9"/>
            <color indexed="81"/>
            <rFont val="Tahoma"/>
            <family val="2"/>
          </rPr>
          <t>Author:</t>
        </r>
        <r>
          <rPr>
            <sz val="9"/>
            <color indexed="81"/>
            <rFont val="Tahoma"/>
            <family val="2"/>
          </rPr>
          <t xml:space="preserve">
Averaged using values from reports in Smyrna, 1905 till 1908.
</t>
        </r>
      </text>
    </comment>
    <comment ref="D367" authorId="0" shapeId="0">
      <text>
        <r>
          <rPr>
            <b/>
            <sz val="9"/>
            <color indexed="81"/>
            <rFont val="Tahoma"/>
            <family val="2"/>
          </rPr>
          <t>Author:</t>
        </r>
        <r>
          <rPr>
            <sz val="9"/>
            <color indexed="81"/>
            <rFont val="Tahoma"/>
            <family val="2"/>
          </rPr>
          <t xml:space="preserve">
Averaged using values from reports in Smyrna, 1905 till 1908.
</t>
        </r>
      </text>
    </comment>
    <comment ref="D369" authorId="0" shapeId="0">
      <text>
        <r>
          <rPr>
            <b/>
            <sz val="9"/>
            <color indexed="81"/>
            <rFont val="Tahoma"/>
            <family val="2"/>
          </rPr>
          <t>Author:</t>
        </r>
        <r>
          <rPr>
            <sz val="9"/>
            <color indexed="81"/>
            <rFont val="Tahoma"/>
            <family val="2"/>
          </rPr>
          <t xml:space="preserve">
Averaged using values from reports in Smyrna, 1905 till 1908.
</t>
        </r>
      </text>
    </comment>
    <comment ref="D370" authorId="0" shapeId="0">
      <text>
        <r>
          <rPr>
            <b/>
            <sz val="9"/>
            <color indexed="81"/>
            <rFont val="Tahoma"/>
            <family val="2"/>
          </rPr>
          <t>Author:</t>
        </r>
        <r>
          <rPr>
            <sz val="9"/>
            <color indexed="81"/>
            <rFont val="Tahoma"/>
            <family val="2"/>
          </rPr>
          <t xml:space="preserve">
Averaged using values from reports in Smyrna, 1905 till 1908.
</t>
        </r>
      </text>
    </comment>
    <comment ref="D372" authorId="0" shapeId="0">
      <text>
        <r>
          <rPr>
            <b/>
            <sz val="9"/>
            <color indexed="81"/>
            <rFont val="Tahoma"/>
            <family val="2"/>
          </rPr>
          <t>Author:</t>
        </r>
        <r>
          <rPr>
            <sz val="9"/>
            <color indexed="81"/>
            <rFont val="Tahoma"/>
            <family val="2"/>
          </rPr>
          <t xml:space="preserve">
Sourced from 1912-13 where both units and equivalent cwts. are listed.</t>
        </r>
      </text>
    </comment>
    <comment ref="D373" authorId="0" shapeId="0">
      <text>
        <r>
          <rPr>
            <b/>
            <sz val="9"/>
            <color indexed="81"/>
            <rFont val="Tahoma"/>
            <family val="2"/>
          </rPr>
          <t>Author:</t>
        </r>
        <r>
          <rPr>
            <sz val="9"/>
            <color indexed="81"/>
            <rFont val="Tahoma"/>
            <family val="2"/>
          </rPr>
          <t xml:space="preserve">
Averaged using values from reports in Smyrna, 1905 till 1908.
</t>
        </r>
      </text>
    </comment>
    <comment ref="D374" authorId="0" shapeId="0">
      <text>
        <r>
          <rPr>
            <b/>
            <sz val="9"/>
            <color indexed="81"/>
            <rFont val="Tahoma"/>
            <family val="2"/>
          </rPr>
          <t>Author:</t>
        </r>
        <r>
          <rPr>
            <sz val="9"/>
            <color indexed="81"/>
            <rFont val="Tahoma"/>
            <family val="2"/>
          </rPr>
          <t xml:space="preserve">
Sourced from 1912-13 where both units and equivalent cwts. are listed.</t>
        </r>
      </text>
    </comment>
    <comment ref="D376" authorId="0" shapeId="0">
      <text>
        <r>
          <rPr>
            <b/>
            <sz val="9"/>
            <color indexed="81"/>
            <rFont val="Tahoma"/>
            <family val="2"/>
          </rPr>
          <t>Author:</t>
        </r>
        <r>
          <rPr>
            <sz val="9"/>
            <color indexed="81"/>
            <rFont val="Tahoma"/>
            <family val="2"/>
          </rPr>
          <t xml:space="preserve">
Averaged using values from reports in Smyrna, 1905 till 1908.
</t>
        </r>
      </text>
    </comment>
    <comment ref="D380" authorId="0" shapeId="0">
      <text>
        <r>
          <rPr>
            <b/>
            <sz val="9"/>
            <color indexed="81"/>
            <rFont val="Tahoma"/>
            <family val="2"/>
          </rPr>
          <t>Author:</t>
        </r>
        <r>
          <rPr>
            <sz val="9"/>
            <color indexed="81"/>
            <rFont val="Tahoma"/>
            <family val="2"/>
          </rPr>
          <t xml:space="preserve">
Averaged using values from reports in Smyrna, 1905 till 1908.
</t>
        </r>
      </text>
    </comment>
    <comment ref="D382" authorId="0" shapeId="0">
      <text>
        <r>
          <rPr>
            <b/>
            <sz val="9"/>
            <color indexed="81"/>
            <rFont val="Tahoma"/>
            <family val="2"/>
          </rPr>
          <t>Author:</t>
        </r>
        <r>
          <rPr>
            <sz val="9"/>
            <color indexed="81"/>
            <rFont val="Tahoma"/>
            <family val="2"/>
          </rPr>
          <t xml:space="preserve">
Averaged using values from reports in Smyrna, 1905 till 1908.
</t>
        </r>
      </text>
    </comment>
    <comment ref="D384" authorId="0" shapeId="0">
      <text>
        <r>
          <rPr>
            <b/>
            <sz val="9"/>
            <color indexed="81"/>
            <rFont val="Tahoma"/>
            <family val="2"/>
          </rPr>
          <t>Author:</t>
        </r>
        <r>
          <rPr>
            <sz val="9"/>
            <color indexed="81"/>
            <rFont val="Tahoma"/>
            <family val="2"/>
          </rPr>
          <t xml:space="preserve">
Averaged using values from reports in Smyrna, 1905 till 1908.
</t>
        </r>
      </text>
    </comment>
    <comment ref="D387" authorId="0" shapeId="0">
      <text>
        <r>
          <rPr>
            <b/>
            <sz val="9"/>
            <color indexed="81"/>
            <rFont val="Tahoma"/>
            <family val="2"/>
          </rPr>
          <t>Author:</t>
        </r>
        <r>
          <rPr>
            <sz val="9"/>
            <color indexed="81"/>
            <rFont val="Tahoma"/>
            <family val="2"/>
          </rPr>
          <t xml:space="preserve">
There are also instances of 1 bag equalling 200 or 150 lbs.</t>
        </r>
      </text>
    </comment>
    <comment ref="D388" authorId="0" shapeId="0">
      <text>
        <r>
          <rPr>
            <b/>
            <sz val="9"/>
            <color indexed="81"/>
            <rFont val="Tahoma"/>
            <family val="2"/>
          </rPr>
          <t>Author:</t>
        </r>
        <r>
          <rPr>
            <sz val="9"/>
            <color indexed="81"/>
            <rFont val="Tahoma"/>
            <family val="2"/>
          </rPr>
          <t xml:space="preserve">
Averaged using values from reports in Smyrna, 1905 till 1908.
</t>
        </r>
      </text>
    </comment>
    <comment ref="D392" authorId="0" shapeId="0">
      <text>
        <r>
          <rPr>
            <b/>
            <sz val="9"/>
            <color indexed="81"/>
            <rFont val="Tahoma"/>
            <family val="2"/>
          </rPr>
          <t>Author:</t>
        </r>
        <r>
          <rPr>
            <sz val="9"/>
            <color indexed="81"/>
            <rFont val="Tahoma"/>
            <family val="2"/>
          </rPr>
          <t xml:space="preserve">
Sourced from 1912-13 where both units and equivalent cwts. are listed.</t>
        </r>
      </text>
    </comment>
    <comment ref="D393" authorId="0" shapeId="0">
      <text>
        <r>
          <rPr>
            <b/>
            <sz val="9"/>
            <color indexed="81"/>
            <rFont val="Tahoma"/>
            <family val="2"/>
          </rPr>
          <t>Author:</t>
        </r>
        <r>
          <rPr>
            <sz val="9"/>
            <color indexed="81"/>
            <rFont val="Tahoma"/>
            <family val="2"/>
          </rPr>
          <t xml:space="preserve">
Averaged using values from reports in Smyrna, 1905 till 1908.
</t>
        </r>
      </text>
    </comment>
    <comment ref="D398" authorId="0" shapeId="0">
      <text>
        <r>
          <rPr>
            <b/>
            <sz val="9"/>
            <color indexed="81"/>
            <rFont val="Tahoma"/>
            <family val="2"/>
          </rPr>
          <t>Author:</t>
        </r>
        <r>
          <rPr>
            <sz val="9"/>
            <color indexed="81"/>
            <rFont val="Tahoma"/>
            <family val="2"/>
          </rPr>
          <t xml:space="preserve">
Averaged using values from reports in Smyrna, 1905 till 1908.
</t>
        </r>
      </text>
    </comment>
    <comment ref="D399" authorId="0" shapeId="0">
      <text>
        <r>
          <rPr>
            <b/>
            <sz val="9"/>
            <color indexed="81"/>
            <rFont val="Tahoma"/>
            <family val="2"/>
          </rPr>
          <t>Author:</t>
        </r>
        <r>
          <rPr>
            <sz val="9"/>
            <color indexed="81"/>
            <rFont val="Tahoma"/>
            <family val="2"/>
          </rPr>
          <t xml:space="preserve">
Averaged using values from reports in Smyrna, 1905 till 1908.
</t>
        </r>
      </text>
    </comment>
    <comment ref="D437" authorId="0" shapeId="0">
      <text>
        <r>
          <rPr>
            <b/>
            <sz val="9"/>
            <color indexed="81"/>
            <rFont val="Tahoma"/>
            <family val="2"/>
          </rPr>
          <t>Author:</t>
        </r>
        <r>
          <rPr>
            <sz val="9"/>
            <color indexed="81"/>
            <rFont val="Tahoma"/>
            <family val="2"/>
          </rPr>
          <t xml:space="preserve">
These conversion are inferred from the informaition in the reports; i.e. from year 1875
</t>
        </r>
      </text>
    </comment>
    <comment ref="D473" authorId="0" shapeId="0">
      <text>
        <r>
          <rPr>
            <b/>
            <sz val="9"/>
            <color indexed="81"/>
            <rFont val="Tahoma"/>
            <family val="2"/>
          </rPr>
          <t>Author:</t>
        </r>
        <r>
          <rPr>
            <sz val="9"/>
            <color indexed="81"/>
            <rFont val="Tahoma"/>
            <family val="2"/>
          </rPr>
          <t xml:space="preserve">
for transporting coal.</t>
        </r>
      </text>
    </comment>
    <comment ref="D481" authorId="0" shapeId="0">
      <text>
        <r>
          <rPr>
            <b/>
            <sz val="9"/>
            <color indexed="81"/>
            <rFont val="Tahoma"/>
            <family val="2"/>
          </rPr>
          <t>Author:</t>
        </r>
        <r>
          <rPr>
            <sz val="9"/>
            <color indexed="81"/>
            <rFont val="Tahoma"/>
            <family val="2"/>
          </rPr>
          <t xml:space="preserve">
for transporting wood.
</t>
        </r>
      </text>
    </comment>
    <comment ref="D482" authorId="0" shapeId="0">
      <text>
        <r>
          <rPr>
            <b/>
            <sz val="9"/>
            <color indexed="81"/>
            <rFont val="Tahoma"/>
            <family val="2"/>
          </rPr>
          <t>Author:</t>
        </r>
        <r>
          <rPr>
            <sz val="9"/>
            <color indexed="81"/>
            <rFont val="Tahoma"/>
            <family val="2"/>
          </rPr>
          <t xml:space="preserve">
for transporting  water.
</t>
        </r>
      </text>
    </comment>
  </commentList>
</comments>
</file>

<file path=xl/comments2.xml><?xml version="1.0" encoding="utf-8"?>
<comments xmlns="http://schemas.openxmlformats.org/spreadsheetml/2006/main">
  <authors>
    <author>Author</author>
  </authors>
  <commentList>
    <comment ref="D73" authorId="0" shapeId="0">
      <text>
        <r>
          <rPr>
            <b/>
            <sz val="9"/>
            <color indexed="81"/>
            <rFont val="Tahoma"/>
            <family val="2"/>
          </rPr>
          <t>Author:</t>
        </r>
        <r>
          <rPr>
            <sz val="9"/>
            <color indexed="81"/>
            <rFont val="Tahoma"/>
            <family val="2"/>
          </rPr>
          <t xml:space="preserve">
Using the same as 1902-03 due to no-mention.
</t>
        </r>
      </text>
    </comment>
    <comment ref="D94" authorId="0" shapeId="0">
      <text>
        <r>
          <rPr>
            <b/>
            <sz val="9"/>
            <color indexed="81"/>
            <rFont val="Tahoma"/>
            <family val="2"/>
          </rPr>
          <t>Author:</t>
        </r>
        <r>
          <rPr>
            <sz val="9"/>
            <color indexed="81"/>
            <rFont val="Tahoma"/>
            <family val="2"/>
          </rPr>
          <t xml:space="preserve">
Using the same as 1902-03 due to no-mention.
</t>
        </r>
      </text>
    </comment>
    <comment ref="D130" authorId="0" shapeId="0">
      <text>
        <r>
          <rPr>
            <b/>
            <sz val="9"/>
            <color indexed="81"/>
            <rFont val="Tahoma"/>
            <family val="2"/>
          </rPr>
          <t>Author:</t>
        </r>
        <r>
          <rPr>
            <sz val="9"/>
            <color indexed="81"/>
            <rFont val="Tahoma"/>
            <family val="2"/>
          </rPr>
          <t xml:space="preserve">
Sourced from Cement price in 1903-04.</t>
        </r>
      </text>
    </comment>
    <comment ref="D139" authorId="0" shapeId="0">
      <text>
        <r>
          <rPr>
            <b/>
            <sz val="9"/>
            <color indexed="81"/>
            <rFont val="Tahoma"/>
            <family val="2"/>
          </rPr>
          <t>Author:</t>
        </r>
        <r>
          <rPr>
            <sz val="9"/>
            <color indexed="81"/>
            <rFont val="Tahoma"/>
            <family val="2"/>
          </rPr>
          <t xml:space="preserve">
Sourced from the report: 1884 - Constantinople, Turkey</t>
        </r>
      </text>
    </comment>
    <comment ref="D145" authorId="0" shapeId="0">
      <text>
        <r>
          <rPr>
            <b/>
            <sz val="9"/>
            <color indexed="81"/>
            <rFont val="Tahoma"/>
            <family val="2"/>
          </rPr>
          <t>Author:</t>
        </r>
        <r>
          <rPr>
            <sz val="9"/>
            <color indexed="81"/>
            <rFont val="Tahoma"/>
            <family val="2"/>
          </rPr>
          <t xml:space="preserve">
Sourced from the report: 1884 - Constantinople, Turkey</t>
        </r>
      </text>
    </comment>
    <comment ref="D146" authorId="0" shapeId="0">
      <text>
        <r>
          <rPr>
            <b/>
            <sz val="9"/>
            <color indexed="81"/>
            <rFont val="Tahoma"/>
            <family val="2"/>
          </rPr>
          <t>Author:</t>
        </r>
        <r>
          <rPr>
            <sz val="9"/>
            <color indexed="81"/>
            <rFont val="Tahoma"/>
            <family val="2"/>
          </rPr>
          <t xml:space="preserve">
Sourced from the report: 1884 - Constantinople, Turkey</t>
        </r>
      </text>
    </comment>
    <comment ref="D149" authorId="0" shapeId="0">
      <text>
        <r>
          <rPr>
            <b/>
            <sz val="9"/>
            <color indexed="81"/>
            <rFont val="Tahoma"/>
            <family val="2"/>
          </rPr>
          <t>Author:</t>
        </r>
        <r>
          <rPr>
            <sz val="9"/>
            <color indexed="81"/>
            <rFont val="Tahoma"/>
            <family val="2"/>
          </rPr>
          <t xml:space="preserve">
Sourced from the report: 1884 - Constantinople, Turkey</t>
        </r>
      </text>
    </comment>
    <comment ref="D150" authorId="0" shapeId="0">
      <text>
        <r>
          <rPr>
            <b/>
            <sz val="9"/>
            <color indexed="81"/>
            <rFont val="Tahoma"/>
            <family val="2"/>
          </rPr>
          <t>Author:</t>
        </r>
        <r>
          <rPr>
            <sz val="9"/>
            <color indexed="81"/>
            <rFont val="Tahoma"/>
            <family val="2"/>
          </rPr>
          <t xml:space="preserve">
Sourced from the report: 1884 - Constantinople, Turkey</t>
        </r>
      </text>
    </comment>
    <comment ref="O165" authorId="0" shapeId="0">
      <text>
        <r>
          <rPr>
            <b/>
            <sz val="9"/>
            <color indexed="81"/>
            <rFont val="Tahoma"/>
            <family val="2"/>
          </rPr>
          <t>Author:</t>
        </r>
        <r>
          <rPr>
            <sz val="9"/>
            <color indexed="81"/>
            <rFont val="Tahoma"/>
            <family val="2"/>
          </rPr>
          <t xml:space="preserve">
interpolated FX rates!!!</t>
        </r>
      </text>
    </comment>
    <comment ref="J166" authorId="0" shapeId="0">
      <text>
        <r>
          <rPr>
            <b/>
            <sz val="9"/>
            <color indexed="81"/>
            <rFont val="Tahoma"/>
            <family val="2"/>
          </rPr>
          <t>Author:</t>
        </r>
        <r>
          <rPr>
            <sz val="9"/>
            <color indexed="81"/>
            <rFont val="Tahoma"/>
            <family val="2"/>
          </rPr>
          <t xml:space="preserve">
as stated in the table, "basically as in 1874"</t>
        </r>
      </text>
    </comment>
    <comment ref="O166" authorId="0" shapeId="0">
      <text>
        <r>
          <rPr>
            <b/>
            <sz val="9"/>
            <color indexed="81"/>
            <rFont val="Tahoma"/>
            <family val="2"/>
          </rPr>
          <t>Author:</t>
        </r>
        <r>
          <rPr>
            <sz val="9"/>
            <color indexed="81"/>
            <rFont val="Tahoma"/>
            <family val="2"/>
          </rPr>
          <t xml:space="preserve">
interpolated FX rates!!!</t>
        </r>
      </text>
    </comment>
    <comment ref="O167" authorId="0" shapeId="0">
      <text>
        <r>
          <rPr>
            <b/>
            <sz val="9"/>
            <color indexed="81"/>
            <rFont val="Tahoma"/>
            <family val="2"/>
          </rPr>
          <t>Author:</t>
        </r>
        <r>
          <rPr>
            <sz val="9"/>
            <color indexed="81"/>
            <rFont val="Tahoma"/>
            <family val="2"/>
          </rPr>
          <t xml:space="preserve">
interpolated FX rates!!!</t>
        </r>
      </text>
    </comment>
    <comment ref="O168" authorId="0" shapeId="0">
      <text>
        <r>
          <rPr>
            <b/>
            <sz val="9"/>
            <color indexed="81"/>
            <rFont val="Tahoma"/>
            <family val="2"/>
          </rPr>
          <t>Author:</t>
        </r>
        <r>
          <rPr>
            <sz val="9"/>
            <color indexed="81"/>
            <rFont val="Tahoma"/>
            <family val="2"/>
          </rPr>
          <t xml:space="preserve">
interpolated FX rates!!!</t>
        </r>
      </text>
    </comment>
    <comment ref="B169" authorId="0" shapeId="0">
      <text>
        <r>
          <rPr>
            <b/>
            <sz val="9"/>
            <color indexed="81"/>
            <rFont val="Tahoma"/>
            <family val="2"/>
          </rPr>
          <t>Author:</t>
        </r>
        <r>
          <rPr>
            <sz val="9"/>
            <color indexed="81"/>
            <rFont val="Tahoma"/>
            <family val="2"/>
          </rPr>
          <t xml:space="preserve">
interpolated FX rates!!!</t>
        </r>
      </text>
    </comment>
    <comment ref="B176" authorId="0" shapeId="0">
      <text>
        <r>
          <rPr>
            <b/>
            <sz val="9"/>
            <color indexed="81"/>
            <rFont val="Tahoma"/>
            <family val="2"/>
          </rPr>
          <t>Author:</t>
        </r>
        <r>
          <rPr>
            <sz val="9"/>
            <color indexed="81"/>
            <rFont val="Tahoma"/>
            <family val="2"/>
          </rPr>
          <t xml:space="preserve">
interpolated FX rates!!!</t>
        </r>
      </text>
    </comment>
    <comment ref="Q232" authorId="0" shapeId="0">
      <text>
        <r>
          <rPr>
            <b/>
            <sz val="9"/>
            <color indexed="81"/>
            <rFont val="Tahoma"/>
            <family val="2"/>
          </rPr>
          <t>Author:</t>
        </r>
        <r>
          <rPr>
            <sz val="9"/>
            <color indexed="81"/>
            <rFont val="Tahoma"/>
            <family val="2"/>
          </rPr>
          <t xml:space="preserve">
Turkish lira???</t>
        </r>
      </text>
    </comment>
    <comment ref="X232" authorId="0" shapeId="0">
      <text>
        <r>
          <rPr>
            <b/>
            <sz val="9"/>
            <color indexed="81"/>
            <rFont val="Tahoma"/>
            <family val="2"/>
          </rPr>
          <t>Author:</t>
        </r>
        <r>
          <rPr>
            <sz val="9"/>
            <color indexed="81"/>
            <rFont val="Tahoma"/>
            <family val="2"/>
          </rPr>
          <t xml:space="preserve">
Turkish lira???</t>
        </r>
      </text>
    </comment>
    <comment ref="J245" authorId="0" shapeId="0">
      <text>
        <r>
          <rPr>
            <b/>
            <sz val="9"/>
            <color indexed="81"/>
            <rFont val="Tahoma"/>
            <family val="2"/>
          </rPr>
          <t>Author:</t>
        </r>
        <r>
          <rPr>
            <sz val="9"/>
            <color indexed="81"/>
            <rFont val="Tahoma"/>
            <family val="2"/>
          </rPr>
          <t xml:space="preserve">
"1871 - Baghdad, Turkey", p. 291</t>
        </r>
      </text>
    </comment>
    <comment ref="AM263" authorId="0" shapeId="0">
      <text>
        <r>
          <rPr>
            <b/>
            <sz val="9"/>
            <color indexed="81"/>
            <rFont val="Tahoma"/>
            <family val="2"/>
          </rPr>
          <t>Author:</t>
        </r>
        <r>
          <rPr>
            <sz val="9"/>
            <color indexed="81"/>
            <rFont val="Tahoma"/>
            <family val="2"/>
          </rPr>
          <t xml:space="preserve">
"Baghdad, 1887_88", p.2</t>
        </r>
      </text>
    </comment>
    <comment ref="AN263" authorId="0" shapeId="0">
      <text>
        <r>
          <rPr>
            <b/>
            <sz val="9"/>
            <color indexed="81"/>
            <rFont val="Tahoma"/>
            <family val="2"/>
          </rPr>
          <t>Author:</t>
        </r>
        <r>
          <rPr>
            <sz val="9"/>
            <color indexed="81"/>
            <rFont val="Tahoma"/>
            <family val="2"/>
          </rPr>
          <t xml:space="preserve">
"Baghdad, 1887_88", p.2</t>
        </r>
      </text>
    </comment>
    <comment ref="AT263" authorId="0" shapeId="0">
      <text>
        <r>
          <rPr>
            <b/>
            <sz val="9"/>
            <color indexed="81"/>
            <rFont val="Tahoma"/>
            <family val="2"/>
          </rPr>
          <t>Author:</t>
        </r>
        <r>
          <rPr>
            <sz val="9"/>
            <color indexed="81"/>
            <rFont val="Tahoma"/>
            <family val="2"/>
          </rPr>
          <t xml:space="preserve">
Teheran kran, "Baghdad, 1887_88", p.2</t>
        </r>
      </text>
    </comment>
    <comment ref="AU263" authorId="0" shapeId="0">
      <text>
        <r>
          <rPr>
            <b/>
            <sz val="9"/>
            <color indexed="81"/>
            <rFont val="Tahoma"/>
            <family val="2"/>
          </rPr>
          <t>Author:</t>
        </r>
        <r>
          <rPr>
            <sz val="9"/>
            <color indexed="81"/>
            <rFont val="Tahoma"/>
            <family val="2"/>
          </rPr>
          <t xml:space="preserve">
Teheran kran, "Baghdad, 1887_88", p.2</t>
        </r>
      </text>
    </comment>
    <comment ref="AV263" authorId="0" shapeId="0">
      <text>
        <r>
          <rPr>
            <b/>
            <sz val="9"/>
            <color indexed="81"/>
            <rFont val="Tahoma"/>
            <family val="2"/>
          </rPr>
          <t>Author:</t>
        </r>
        <r>
          <rPr>
            <sz val="9"/>
            <color indexed="81"/>
            <rFont val="Tahoma"/>
            <family val="2"/>
          </rPr>
          <t xml:space="preserve">
Chark kran, "Baghdad, 1887_88", p.2</t>
        </r>
      </text>
    </comment>
    <comment ref="AW263" authorId="0" shapeId="0">
      <text>
        <r>
          <rPr>
            <b/>
            <sz val="9"/>
            <color indexed="81"/>
            <rFont val="Tahoma"/>
            <family val="2"/>
          </rPr>
          <t>Author:</t>
        </r>
        <r>
          <rPr>
            <sz val="9"/>
            <color indexed="81"/>
            <rFont val="Tahoma"/>
            <family val="2"/>
          </rPr>
          <t xml:space="preserve">
Chark kran, "Baghdad, 1887_88", p.2</t>
        </r>
      </text>
    </comment>
    <comment ref="BA263" authorId="0" shapeId="0">
      <text>
        <r>
          <rPr>
            <b/>
            <sz val="9"/>
            <color indexed="81"/>
            <rFont val="Tahoma"/>
            <family val="2"/>
          </rPr>
          <t>Author:</t>
        </r>
        <r>
          <rPr>
            <sz val="9"/>
            <color indexed="81"/>
            <rFont val="Tahoma"/>
            <family val="2"/>
          </rPr>
          <t xml:space="preserve">
"Baghdad, 1887_88", p.2</t>
        </r>
      </text>
    </comment>
    <comment ref="BB263" authorId="0" shapeId="0">
      <text>
        <r>
          <rPr>
            <b/>
            <sz val="9"/>
            <color indexed="81"/>
            <rFont val="Tahoma"/>
            <family val="2"/>
          </rPr>
          <t>Author:</t>
        </r>
        <r>
          <rPr>
            <sz val="9"/>
            <color indexed="81"/>
            <rFont val="Tahoma"/>
            <family val="2"/>
          </rPr>
          <t xml:space="preserve">
"Baghdad, 1887_88", p.2</t>
        </r>
      </text>
    </comment>
    <comment ref="BH263" authorId="0" shapeId="0">
      <text>
        <r>
          <rPr>
            <b/>
            <sz val="9"/>
            <color indexed="81"/>
            <rFont val="Tahoma"/>
            <family val="2"/>
          </rPr>
          <t>Author:</t>
        </r>
        <r>
          <rPr>
            <sz val="9"/>
            <color indexed="81"/>
            <rFont val="Tahoma"/>
            <family val="2"/>
          </rPr>
          <t xml:space="preserve">
"Baghdad, 1887_88", p.2</t>
        </r>
      </text>
    </comment>
    <comment ref="BI263" authorId="0" shapeId="0">
      <text>
        <r>
          <rPr>
            <b/>
            <sz val="9"/>
            <color indexed="81"/>
            <rFont val="Tahoma"/>
            <family val="2"/>
          </rPr>
          <t>Author:</t>
        </r>
        <r>
          <rPr>
            <sz val="9"/>
            <color indexed="81"/>
            <rFont val="Tahoma"/>
            <family val="2"/>
          </rPr>
          <t xml:space="preserve">
"Baghdad, 1887_88", p.2</t>
        </r>
      </text>
    </comment>
    <comment ref="J267" authorId="0" shapeId="0">
      <text>
        <r>
          <rPr>
            <b/>
            <sz val="9"/>
            <color indexed="81"/>
            <rFont val="Tahoma"/>
            <family val="2"/>
          </rPr>
          <t>Author:</t>
        </r>
        <r>
          <rPr>
            <sz val="9"/>
            <color indexed="81"/>
            <rFont val="Tahoma"/>
            <family val="2"/>
          </rPr>
          <t xml:space="preserve">
"Exchange on London at four motnhs' sight was 114.25 Government piastres per 1l. In January, but rose to 115.25 in May, fell again to 113 in September and October, and at the close of the year again stood at 115.25." "Baghdad and Bussorah, 1893 1894", p.2</t>
        </r>
      </text>
    </comment>
    <comment ref="AE267" authorId="0" shapeId="0">
      <text>
        <r>
          <rPr>
            <b/>
            <sz val="9"/>
            <color indexed="81"/>
            <rFont val="Tahoma"/>
            <family val="2"/>
          </rPr>
          <t>Author:</t>
        </r>
        <r>
          <rPr>
            <sz val="9"/>
            <color indexed="81"/>
            <rFont val="Tahoma"/>
            <family val="2"/>
          </rPr>
          <t xml:space="preserve">
"Baghdad and Bussorah, 1893 1894", p.2</t>
        </r>
      </text>
    </comment>
    <comment ref="J268" authorId="0" shapeId="0">
      <text>
        <r>
          <rPr>
            <b/>
            <sz val="9"/>
            <color indexed="81"/>
            <rFont val="Tahoma"/>
            <family val="2"/>
          </rPr>
          <t>Author:</t>
        </r>
        <r>
          <rPr>
            <sz val="9"/>
            <color indexed="81"/>
            <rFont val="Tahoma"/>
            <family val="2"/>
          </rPr>
          <t xml:space="preserve">
"&lt;…&gt; having ranged between 113 Grand Segnior pias. To 115.25 Grand Segnior pias. Per 1l. For 4 months' date bills." "Baghdad and Bussorah, 1894", p.3</t>
        </r>
      </text>
    </comment>
    <comment ref="AE268" authorId="0" shapeId="0">
      <text>
        <r>
          <rPr>
            <b/>
            <sz val="9"/>
            <color indexed="81"/>
            <rFont val="Tahoma"/>
            <family val="2"/>
          </rPr>
          <t>Author:</t>
        </r>
        <r>
          <rPr>
            <sz val="9"/>
            <color indexed="81"/>
            <rFont val="Tahoma"/>
            <family val="2"/>
          </rPr>
          <t xml:space="preserve">
"Baghdad and Bussorah, 1894", p.3</t>
        </r>
      </text>
    </comment>
    <comment ref="AL268" authorId="0" shapeId="0">
      <text>
        <r>
          <rPr>
            <b/>
            <sz val="9"/>
            <color indexed="81"/>
            <rFont val="Tahoma"/>
            <family val="2"/>
          </rPr>
          <t>Author:</t>
        </r>
        <r>
          <rPr>
            <sz val="9"/>
            <color indexed="81"/>
            <rFont val="Tahoma"/>
            <family val="2"/>
          </rPr>
          <t xml:space="preserve">
"Baghdad and Bussorah, 1894", p.3</t>
        </r>
      </text>
    </comment>
    <comment ref="AS268" authorId="0" shapeId="0">
      <text>
        <r>
          <rPr>
            <b/>
            <sz val="9"/>
            <color indexed="81"/>
            <rFont val="Tahoma"/>
            <family val="2"/>
          </rPr>
          <t>Author:</t>
        </r>
        <r>
          <rPr>
            <sz val="9"/>
            <color indexed="81"/>
            <rFont val="Tahoma"/>
            <family val="2"/>
          </rPr>
          <t xml:space="preserve">
"The Persian kran fell some 25 per cent. In value…" "Baghdad and Bussorah, 1894", p.2</t>
        </r>
      </text>
    </comment>
    <comment ref="J269" authorId="0" shapeId="0">
      <text>
        <r>
          <rPr>
            <b/>
            <sz val="9"/>
            <color indexed="81"/>
            <rFont val="Tahoma"/>
            <family val="2"/>
          </rPr>
          <t>Author:</t>
        </r>
        <r>
          <rPr>
            <sz val="9"/>
            <color indexed="81"/>
            <rFont val="Tahoma"/>
            <family val="2"/>
          </rPr>
          <t xml:space="preserve">
"&lt;…&gt; 2.465 grand segnior pias. (about 4.75 d.); in February 2.20 grand segnior pias. (about 4.25 d.) &lt;…&gt; 2 grand segnior pias. (about 4d.)" "Baghdad and Busrah, 1895", p.4</t>
        </r>
      </text>
    </comment>
    <comment ref="AE269" authorId="0" shapeId="0">
      <text>
        <r>
          <rPr>
            <b/>
            <sz val="9"/>
            <color indexed="81"/>
            <rFont val="Tahoma"/>
            <family val="2"/>
          </rPr>
          <t>Author:</t>
        </r>
        <r>
          <rPr>
            <sz val="9"/>
            <color indexed="81"/>
            <rFont val="Tahoma"/>
            <family val="2"/>
          </rPr>
          <t xml:space="preserve">
"Baghdad and Busrah, 1895", p.3</t>
        </r>
      </text>
    </comment>
    <comment ref="AL269" authorId="0" shapeId="0">
      <text>
        <r>
          <rPr>
            <b/>
            <sz val="9"/>
            <color indexed="81"/>
            <rFont val="Tahoma"/>
            <family val="2"/>
          </rPr>
          <t>Author:</t>
        </r>
        <r>
          <rPr>
            <sz val="9"/>
            <color indexed="81"/>
            <rFont val="Tahoma"/>
            <family val="2"/>
          </rPr>
          <t xml:space="preserve">
"Baghdad and Busrah, 1895", p.3</t>
        </r>
      </text>
    </comment>
    <comment ref="AS269" authorId="0" shapeId="0">
      <text>
        <r>
          <rPr>
            <b/>
            <sz val="9"/>
            <color indexed="81"/>
            <rFont val="Tahoma"/>
            <family val="2"/>
          </rPr>
          <t>Author:</t>
        </r>
        <r>
          <rPr>
            <sz val="9"/>
            <color indexed="81"/>
            <rFont val="Tahoma"/>
            <family val="2"/>
          </rPr>
          <t xml:space="preserve">
"Baghdad and Busrah, 1895", p.4</t>
        </r>
      </text>
    </comment>
    <comment ref="K270" authorId="0" shapeId="0">
      <text>
        <r>
          <rPr>
            <b/>
            <sz val="9"/>
            <color indexed="81"/>
            <rFont val="Tahoma"/>
            <family val="2"/>
          </rPr>
          <t>Author:</t>
        </r>
        <r>
          <rPr>
            <sz val="9"/>
            <color indexed="81"/>
            <rFont val="Tahoma"/>
            <family val="2"/>
          </rPr>
          <t xml:space="preserve">
"Exchange on London opened at 111.375 grand segnior pias. Per 1l. For demand bills, advanced to 113 grand segnior pias. In February, declined until June last, when the lowest point of the year was touched at 111.125 grand segnior pias., but then steadily advanced under pressure of the import season. The year closed with an upward tendency at 113 grand segnior pias." "Baghdad and Busrah, 1895", p. 3</t>
        </r>
      </text>
    </comment>
    <comment ref="Q270" authorId="0" shapeId="0">
      <text>
        <r>
          <rPr>
            <b/>
            <sz val="9"/>
            <color indexed="81"/>
            <rFont val="Tahoma"/>
            <family val="2"/>
          </rPr>
          <t>Author:</t>
        </r>
        <r>
          <rPr>
            <sz val="9"/>
            <color indexed="81"/>
            <rFont val="Tahoma"/>
            <family val="2"/>
          </rPr>
          <t xml:space="preserve">
"Baghdad and Basrah, 1896", p. 3</t>
        </r>
      </text>
    </comment>
    <comment ref="X270" authorId="0" shapeId="0">
      <text>
        <r>
          <rPr>
            <b/>
            <sz val="9"/>
            <color indexed="81"/>
            <rFont val="Tahoma"/>
            <family val="2"/>
          </rPr>
          <t>Author:</t>
        </r>
        <r>
          <rPr>
            <sz val="9"/>
            <color indexed="81"/>
            <rFont val="Tahoma"/>
            <family val="2"/>
          </rPr>
          <t xml:space="preserve">
"Baghdad and Basrah, 1896", p. 3</t>
        </r>
      </text>
    </comment>
    <comment ref="AE270" authorId="0" shapeId="0">
      <text>
        <r>
          <rPr>
            <b/>
            <sz val="9"/>
            <color indexed="81"/>
            <rFont val="Tahoma"/>
            <family val="2"/>
          </rPr>
          <t>Author:</t>
        </r>
        <r>
          <rPr>
            <sz val="9"/>
            <color indexed="81"/>
            <rFont val="Tahoma"/>
            <family val="2"/>
          </rPr>
          <t xml:space="preserve">
"The specie values did not undergo any change, the Turkish lira standing at 103.5 grand segnior piastres during the whole year." "Baghdad and Basrah, 1896", p. 3</t>
        </r>
      </text>
    </comment>
    <comment ref="C271" authorId="0" shapeId="0">
      <text>
        <r>
          <rPr>
            <b/>
            <sz val="9"/>
            <color indexed="81"/>
            <rFont val="Tahoma"/>
            <family val="2"/>
          </rPr>
          <t>Author:</t>
        </r>
        <r>
          <rPr>
            <sz val="9"/>
            <color indexed="81"/>
            <rFont val="Tahoma"/>
            <family val="2"/>
          </rPr>
          <t xml:space="preserve">
"Baghdad and Basrah 1897 Finance", p. 13</t>
        </r>
      </text>
    </comment>
    <comment ref="Q271" authorId="0" shapeId="0">
      <text>
        <r>
          <rPr>
            <b/>
            <sz val="9"/>
            <color indexed="81"/>
            <rFont val="Tahoma"/>
            <family val="2"/>
          </rPr>
          <t>Author:</t>
        </r>
        <r>
          <rPr>
            <sz val="9"/>
            <color indexed="81"/>
            <rFont val="Tahoma"/>
            <family val="2"/>
          </rPr>
          <t xml:space="preserve">
Exchange on London at the commencement of the year for four months' draft was 109.5 l.T. per 100l. Sterling. In May it dropped to 104l.T. per 100l.sterling, and towards the end of the year rose again to 108.75l.T. per 100l. Sterling.
"Baghdad and Basrah 1897 Finance", p. 3</t>
        </r>
      </text>
    </comment>
    <comment ref="X271" authorId="0" shapeId="0">
      <text>
        <r>
          <rPr>
            <b/>
            <sz val="9"/>
            <color indexed="81"/>
            <rFont val="Tahoma"/>
            <family val="2"/>
          </rPr>
          <t>Author:</t>
        </r>
        <r>
          <rPr>
            <sz val="9"/>
            <color indexed="81"/>
            <rFont val="Tahoma"/>
            <family val="2"/>
          </rPr>
          <t xml:space="preserve">
Demand drafts on Bombay in January cost 63.5l.T. per 1,000 rs., steadily declined until June when the rate was 61 l.T. per 1,000 rs., and then advanced until December, when the highest rate of the year was reached, viz., 68.5 l.T. per 1,000 rs. 
"Baghdad and Basrah 1897 Finance", p. 3</t>
        </r>
      </text>
    </comment>
    <comment ref="Q272" authorId="0" shapeId="0">
      <text>
        <r>
          <rPr>
            <b/>
            <sz val="9"/>
            <color indexed="81"/>
            <rFont val="Tahoma"/>
            <family val="2"/>
          </rPr>
          <t>Author:</t>
        </r>
        <r>
          <rPr>
            <sz val="9"/>
            <color indexed="81"/>
            <rFont val="Tahoma"/>
            <family val="2"/>
          </rPr>
          <t xml:space="preserve">
"In the early part of the year the price of four months' drafts on London was 110 l.T. per 100 l. The lowest point touched during the year was 107 l.T. per 100 l., and from that rate it rose with little fluctuation to the end of the year when it reached 111.5 l.T. per 100 l."
"Baghdad and Basrah, 1897", p.3</t>
        </r>
      </text>
    </comment>
    <comment ref="Q273" authorId="0" shapeId="0">
      <text>
        <r>
          <rPr>
            <b/>
            <sz val="9"/>
            <color indexed="81"/>
            <rFont val="Tahoma"/>
            <family val="2"/>
          </rPr>
          <t>Author:</t>
        </r>
        <r>
          <rPr>
            <sz val="9"/>
            <color indexed="81"/>
            <rFont val="Tahoma"/>
            <family val="2"/>
          </rPr>
          <t xml:space="preserve">
"Baghdad and Bussorah, 1898", p. 3</t>
        </r>
      </text>
    </comment>
    <comment ref="X273" authorId="0" shapeId="0">
      <text>
        <r>
          <rPr>
            <b/>
            <sz val="9"/>
            <color indexed="81"/>
            <rFont val="Tahoma"/>
            <family val="2"/>
          </rPr>
          <t>Author:</t>
        </r>
        <r>
          <rPr>
            <sz val="9"/>
            <color indexed="81"/>
            <rFont val="Tahoma"/>
            <family val="2"/>
          </rPr>
          <t xml:space="preserve">
"Baghdad and Bussorah, 1898", p. 3</t>
        </r>
      </text>
    </comment>
    <comment ref="R274" authorId="0" shapeId="0">
      <text>
        <r>
          <rPr>
            <b/>
            <sz val="9"/>
            <color indexed="81"/>
            <rFont val="Tahoma"/>
            <family val="2"/>
          </rPr>
          <t>Author:</t>
        </r>
        <r>
          <rPr>
            <sz val="9"/>
            <color indexed="81"/>
            <rFont val="Tahoma"/>
            <family val="2"/>
          </rPr>
          <t xml:space="preserve">
"The price of sight drafts on London varied during the year from 109.75 Turkish liras to 112.5 Turkish liras per 100l., while the price of sight drafts on Bombay was from 72 to 75.25 Turkish liras per 1,000 rs." "Baghdad, 1899", p. 3</t>
        </r>
      </text>
    </comment>
    <comment ref="Y274" authorId="0" shapeId="0">
      <text>
        <r>
          <rPr>
            <b/>
            <sz val="9"/>
            <color indexed="81"/>
            <rFont val="Tahoma"/>
            <family val="2"/>
          </rPr>
          <t>Author:</t>
        </r>
        <r>
          <rPr>
            <sz val="9"/>
            <color indexed="81"/>
            <rFont val="Tahoma"/>
            <family val="2"/>
          </rPr>
          <t xml:space="preserve">
"The price of sight drafts on London varied during the year from 109.75 Turkish liras to 112.5 Turkish liras per 100l., while the price of sight drafts on Bombay was from 72 to 75.25 Turkish liras per 1,000 rs." "Baghdad, 1899", p. 3</t>
        </r>
      </text>
    </comment>
    <comment ref="R275" authorId="0" shapeId="0">
      <text>
        <r>
          <rPr>
            <b/>
            <sz val="9"/>
            <color indexed="81"/>
            <rFont val="Tahoma"/>
            <family val="2"/>
          </rPr>
          <t>Author:</t>
        </r>
        <r>
          <rPr>
            <sz val="9"/>
            <color indexed="81"/>
            <rFont val="Tahoma"/>
            <family val="2"/>
          </rPr>
          <t xml:space="preserve">
"The price of sight drafts on London varied during the year from 107.25 Turkish liras per 100l., while the price of sight drafts on Bombay was from 70.75 to 73.625 Turkish liras per 1,000 rs." "Baghdad, 1900", p. 3</t>
        </r>
      </text>
    </comment>
    <comment ref="Y275" authorId="0" shapeId="0">
      <text>
        <r>
          <rPr>
            <b/>
            <sz val="9"/>
            <color indexed="81"/>
            <rFont val="Tahoma"/>
            <family val="2"/>
          </rPr>
          <t>Author:</t>
        </r>
        <r>
          <rPr>
            <sz val="9"/>
            <color indexed="81"/>
            <rFont val="Tahoma"/>
            <family val="2"/>
          </rPr>
          <t xml:space="preserve">
"The price of sight drafts on London varied during the year from 107.25 Turkish liras per 100l., while the price of sight drafts on Bombay was from 70.75 to 73.625 Turkish liras per 1,000 rs." "Baghdad, 1900", p. 3</t>
        </r>
      </text>
    </comment>
    <comment ref="Q276" authorId="0" shapeId="0">
      <text>
        <r>
          <rPr>
            <b/>
            <sz val="9"/>
            <color indexed="81"/>
            <rFont val="Tahoma"/>
            <family val="2"/>
          </rPr>
          <t>Author:</t>
        </r>
        <r>
          <rPr>
            <sz val="9"/>
            <color indexed="81"/>
            <rFont val="Tahoma"/>
            <family val="2"/>
          </rPr>
          <t xml:space="preserve">
"Four months' drafts on London varied from 108.25l.T. to 111l.T. per 100l., but without any violent fluctuations."  "Baghdad, 1901", p. 4</t>
        </r>
      </text>
    </comment>
    <comment ref="R276" authorId="0" shapeId="0">
      <text>
        <r>
          <rPr>
            <b/>
            <sz val="9"/>
            <color indexed="81"/>
            <rFont val="Tahoma"/>
            <family val="2"/>
          </rPr>
          <t>Author:</t>
        </r>
        <r>
          <rPr>
            <sz val="9"/>
            <color indexed="81"/>
            <rFont val="Tahoma"/>
            <family val="2"/>
          </rPr>
          <t xml:space="preserve">
"The price of drafts at sight on London varied from 109.25l.T. to 112.25l.T. per 100l." "Baghdad, 1901", p. 3</t>
        </r>
      </text>
    </comment>
    <comment ref="Y276" authorId="0" shapeId="0">
      <text>
        <r>
          <rPr>
            <b/>
            <sz val="9"/>
            <color indexed="81"/>
            <rFont val="Tahoma"/>
            <family val="2"/>
          </rPr>
          <t>Author:</t>
        </r>
        <r>
          <rPr>
            <sz val="9"/>
            <color indexed="81"/>
            <rFont val="Tahoma"/>
            <family val="2"/>
          </rPr>
          <t xml:space="preserve">
"Drafts on sight on Bombay varied per 1,000 rs. From 72l.T. to 74.5l.T. during the year." "Baghdad, 1901", p. 4</t>
        </r>
      </text>
    </comment>
    <comment ref="Q277" authorId="0" shapeId="0">
      <text>
        <r>
          <rPr>
            <b/>
            <sz val="9"/>
            <color indexed="81"/>
            <rFont val="Tahoma"/>
            <family val="2"/>
          </rPr>
          <t>Author:</t>
        </r>
        <r>
          <rPr>
            <sz val="9"/>
            <color indexed="81"/>
            <rFont val="Tahoma"/>
            <family val="2"/>
          </rPr>
          <t xml:space="preserve">
"&lt;…&gt; and four months' date drafts on London from 108.5 to 111.5 Turkish lira per 100l." "Baghdad, 1902", p. 3</t>
        </r>
      </text>
    </comment>
    <comment ref="R277" authorId="0" shapeId="0">
      <text>
        <r>
          <rPr>
            <b/>
            <sz val="9"/>
            <color indexed="81"/>
            <rFont val="Tahoma"/>
            <family val="2"/>
          </rPr>
          <t>Author:</t>
        </r>
        <r>
          <rPr>
            <sz val="9"/>
            <color indexed="81"/>
            <rFont val="Tahoma"/>
            <family val="2"/>
          </rPr>
          <t xml:space="preserve">
"The price of sight drafts on London varied during the year from 109.75 to 112.875 Turkish lira per 100l…." "Baghdad, 1902", p. 3</t>
        </r>
      </text>
    </comment>
    <comment ref="Y277" authorId="0" shapeId="0">
      <text>
        <r>
          <rPr>
            <b/>
            <sz val="9"/>
            <color indexed="81"/>
            <rFont val="Tahoma"/>
            <family val="2"/>
          </rPr>
          <t>Author:</t>
        </r>
        <r>
          <rPr>
            <sz val="9"/>
            <color indexed="81"/>
            <rFont val="Tahoma"/>
            <family val="2"/>
          </rPr>
          <t xml:space="preserve">
"Exchange on Bombay varied from 72.5 to 75.75 Turkish lira per 1,000 rs." "Baghdad, 1902", p. 3</t>
        </r>
      </text>
    </comment>
    <comment ref="Q278" authorId="0" shapeId="0">
      <text>
        <r>
          <rPr>
            <b/>
            <sz val="9"/>
            <color indexed="81"/>
            <rFont val="Tahoma"/>
            <family val="2"/>
          </rPr>
          <t>Author:</t>
        </r>
        <r>
          <rPr>
            <sz val="9"/>
            <color indexed="81"/>
            <rFont val="Tahoma"/>
            <family val="2"/>
          </rPr>
          <t xml:space="preserve">
"Four months' drafts on London varied from 105 to 109.75 Turkish lira per 100l." "Baghdad, 1903", p. 3</t>
        </r>
      </text>
    </comment>
    <comment ref="R278" authorId="0" shapeId="0">
      <text>
        <r>
          <rPr>
            <b/>
            <sz val="9"/>
            <color indexed="81"/>
            <rFont val="Tahoma"/>
            <family val="2"/>
          </rPr>
          <t>Author:</t>
        </r>
        <r>
          <rPr>
            <sz val="9"/>
            <color indexed="81"/>
            <rFont val="Tahoma"/>
            <family val="2"/>
          </rPr>
          <t xml:space="preserve">
"The price of sight drafts on London varied from 106.25 to 111.25 Turkish lira per 100l…." "Baghdad, 1903", p. 3</t>
        </r>
      </text>
    </comment>
    <comment ref="Y278" authorId="0" shapeId="0">
      <text>
        <r>
          <rPr>
            <b/>
            <sz val="9"/>
            <color indexed="81"/>
            <rFont val="Tahoma"/>
            <family val="2"/>
          </rPr>
          <t>Author:</t>
        </r>
        <r>
          <rPr>
            <sz val="9"/>
            <color indexed="81"/>
            <rFont val="Tahoma"/>
            <family val="2"/>
          </rPr>
          <t xml:space="preserve">
"Exchange on Bombay varied from 70.5 to 74.25 Turkish lira per 1,000 rs." "Baghdad, 1903", p. 3</t>
        </r>
      </text>
    </comment>
    <comment ref="Q279" authorId="0" shapeId="0">
      <text>
        <r>
          <rPr>
            <b/>
            <sz val="9"/>
            <color indexed="81"/>
            <rFont val="Tahoma"/>
            <family val="2"/>
          </rPr>
          <t>Author:</t>
        </r>
        <r>
          <rPr>
            <sz val="9"/>
            <color indexed="81"/>
            <rFont val="Tahoma"/>
            <family val="2"/>
          </rPr>
          <t xml:space="preserve">
"Four months' drafts on London varied from 105.125 to 109.125 Turkish lira per 100l." "Baghdad, 1904, p. 3</t>
        </r>
      </text>
    </comment>
    <comment ref="R279" authorId="0" shapeId="0">
      <text>
        <r>
          <rPr>
            <b/>
            <sz val="9"/>
            <color indexed="81"/>
            <rFont val="Tahoma"/>
            <family val="2"/>
          </rPr>
          <t>Author:</t>
        </r>
        <r>
          <rPr>
            <sz val="9"/>
            <color indexed="81"/>
            <rFont val="Tahoma"/>
            <family val="2"/>
          </rPr>
          <t xml:space="preserve">
"Sight drafts on London varied from 106.75 to 110.75 Turkish lira per 100l…." "Baghdad, 1904", p. 3</t>
        </r>
      </text>
    </comment>
    <comment ref="Y279" authorId="0" shapeId="0">
      <text>
        <r>
          <rPr>
            <b/>
            <sz val="9"/>
            <color indexed="81"/>
            <rFont val="Tahoma"/>
            <family val="2"/>
          </rPr>
          <t>Author:</t>
        </r>
        <r>
          <rPr>
            <sz val="9"/>
            <color indexed="81"/>
            <rFont val="Tahoma"/>
            <family val="2"/>
          </rPr>
          <t xml:space="preserve">
"Sight drafts on Bombay varied between 70.5 l.T. to 74 l.T. per 1,000 rs." "Baghdad, 1903", p. 3</t>
        </r>
      </text>
    </comment>
    <comment ref="BN279" authorId="0" shapeId="0">
      <text>
        <r>
          <rPr>
            <b/>
            <sz val="9"/>
            <color indexed="81"/>
            <rFont val="Tahoma"/>
            <family val="2"/>
          </rPr>
          <t>Author:</t>
        </r>
        <r>
          <rPr>
            <sz val="9"/>
            <color indexed="81"/>
            <rFont val="Tahoma"/>
            <family val="2"/>
          </rPr>
          <t xml:space="preserve">
"During the year the price of the kran in Persia fell from 54 to 64 per 1 l." "Baghdad, 1904", p. 6</t>
        </r>
      </text>
    </comment>
    <comment ref="Q280" authorId="0" shapeId="0">
      <text>
        <r>
          <rPr>
            <b/>
            <sz val="9"/>
            <color indexed="81"/>
            <rFont val="Tahoma"/>
            <family val="2"/>
          </rPr>
          <t>Author:</t>
        </r>
        <r>
          <rPr>
            <sz val="9"/>
            <color indexed="81"/>
            <rFont val="Tahoma"/>
            <family val="2"/>
          </rPr>
          <t xml:space="preserve">
"…four months' drafts for 100l. from 107.625 to 109.5 liras." "Baghdad, 1905, p. 3</t>
        </r>
      </text>
    </comment>
    <comment ref="R280" authorId="0" shapeId="0">
      <text>
        <r>
          <rPr>
            <b/>
            <sz val="9"/>
            <color indexed="81"/>
            <rFont val="Tahoma"/>
            <family val="2"/>
          </rPr>
          <t>Author:</t>
        </r>
        <r>
          <rPr>
            <sz val="9"/>
            <color indexed="81"/>
            <rFont val="Tahoma"/>
            <family val="2"/>
          </rPr>
          <t xml:space="preserve">
"Sight drafts for 100l. from 108.125 to 110.75..." "Baghdad, 1905", p. 3</t>
        </r>
      </text>
    </comment>
    <comment ref="Y280" authorId="0" shapeId="0">
      <text>
        <r>
          <rPr>
            <b/>
            <sz val="9"/>
            <color indexed="81"/>
            <rFont val="Tahoma"/>
            <family val="2"/>
          </rPr>
          <t>Author:</t>
        </r>
        <r>
          <rPr>
            <sz val="9"/>
            <color indexed="81"/>
            <rFont val="Tahoma"/>
            <family val="2"/>
          </rPr>
          <t xml:space="preserve">
"…sight drafts on Bombay varied from 72.25 to 74 liras for 1,000 rs." "Baghdad, 1905", p. 3</t>
        </r>
      </text>
    </comment>
    <comment ref="Q281" authorId="0" shapeId="0">
      <text>
        <r>
          <rPr>
            <b/>
            <sz val="9"/>
            <color indexed="81"/>
            <rFont val="Tahoma"/>
            <family val="2"/>
          </rPr>
          <t>Author:</t>
        </r>
        <r>
          <rPr>
            <sz val="9"/>
            <color indexed="81"/>
            <rFont val="Tahoma"/>
            <family val="2"/>
          </rPr>
          <t xml:space="preserve">
"…four months' drafts between 106.625 to 109.5 liras..." "Baghdad, 1906, p. 3</t>
        </r>
      </text>
    </comment>
    <comment ref="R281" authorId="0" shapeId="0">
      <text>
        <r>
          <rPr>
            <b/>
            <sz val="9"/>
            <color indexed="81"/>
            <rFont val="Tahoma"/>
            <family val="2"/>
          </rPr>
          <t>Author:</t>
        </r>
        <r>
          <rPr>
            <sz val="9"/>
            <color indexed="81"/>
            <rFont val="Tahoma"/>
            <family val="2"/>
          </rPr>
          <t xml:space="preserve">
"The rate for sight drafts on London fluctuated between 107.875 to 110.75..." "Baghdad, 1906", p. 3</t>
        </r>
      </text>
    </comment>
    <comment ref="Y281" authorId="0" shapeId="0">
      <text>
        <r>
          <rPr>
            <b/>
            <sz val="9"/>
            <color indexed="81"/>
            <rFont val="Tahoma"/>
            <family val="2"/>
          </rPr>
          <t>Author:</t>
        </r>
        <r>
          <rPr>
            <sz val="9"/>
            <color indexed="81"/>
            <rFont val="Tahoma"/>
            <family val="2"/>
          </rPr>
          <t xml:space="preserve">
"…sight drafts on Bombay between 71.25 to 74.25 liras per 1,000 rs." "Baghdad, 1906", p. 3</t>
        </r>
      </text>
    </comment>
    <comment ref="Q282" authorId="0" shapeId="0">
      <text>
        <r>
          <rPr>
            <b/>
            <sz val="9"/>
            <color indexed="81"/>
            <rFont val="Tahoma"/>
            <family val="2"/>
          </rPr>
          <t>Author:</t>
        </r>
        <r>
          <rPr>
            <sz val="9"/>
            <color indexed="81"/>
            <rFont val="Tahoma"/>
            <family val="2"/>
          </rPr>
          <t xml:space="preserve">
"…four months' drafts between 105.25 to 108.75 liras..." "Baghdad, 1907, p. 3</t>
        </r>
      </text>
    </comment>
    <comment ref="R282" authorId="0" shapeId="0">
      <text>
        <r>
          <rPr>
            <b/>
            <sz val="9"/>
            <color indexed="81"/>
            <rFont val="Tahoma"/>
            <family val="2"/>
          </rPr>
          <t>Author:</t>
        </r>
        <r>
          <rPr>
            <sz val="9"/>
            <color indexed="81"/>
            <rFont val="Tahoma"/>
            <family val="2"/>
          </rPr>
          <t xml:space="preserve">
"The rate for sight drafts on London ranged between 107.5 to 110.5..." "Baghdad, 1907", p. 3</t>
        </r>
      </text>
    </comment>
    <comment ref="S282" authorId="0" shapeId="0">
      <text>
        <r>
          <rPr>
            <b/>
            <sz val="9"/>
            <color indexed="81"/>
            <rFont val="Tahoma"/>
            <family val="2"/>
          </rPr>
          <t>Author:</t>
        </r>
        <r>
          <rPr>
            <sz val="9"/>
            <color indexed="81"/>
            <rFont val="Tahoma"/>
            <family val="2"/>
          </rPr>
          <t xml:space="preserve">
"…three months' drafts between 106 to 109.5 Turkish liras..." "Baghdad, 1907, p. 3</t>
        </r>
      </text>
    </comment>
    <comment ref="Y282" authorId="0" shapeId="0">
      <text>
        <r>
          <rPr>
            <b/>
            <sz val="9"/>
            <color indexed="81"/>
            <rFont val="Tahoma"/>
            <family val="2"/>
          </rPr>
          <t>Author:</t>
        </r>
        <r>
          <rPr>
            <sz val="9"/>
            <color indexed="81"/>
            <rFont val="Tahoma"/>
            <family val="2"/>
          </rPr>
          <t xml:space="preserve">
"…sight drafts on Bombay between 70.5 to 74.25 liras per 1,000 rs." "Baghdad, 1907", p. 3</t>
        </r>
      </text>
    </comment>
    <comment ref="R283" authorId="0" shapeId="0">
      <text>
        <r>
          <rPr>
            <b/>
            <sz val="9"/>
            <color indexed="81"/>
            <rFont val="Tahoma"/>
            <family val="2"/>
          </rPr>
          <t>Author:</t>
        </r>
        <r>
          <rPr>
            <sz val="9"/>
            <color indexed="81"/>
            <rFont val="Tahoma"/>
            <family val="2"/>
          </rPr>
          <t xml:space="preserve">
"…the exchange value of sight drafts on London…  "Baghdad, 1908", p. 4</t>
        </r>
      </text>
    </comment>
    <comment ref="Q284" authorId="0" shapeId="0">
      <text>
        <r>
          <rPr>
            <b/>
            <sz val="9"/>
            <color indexed="81"/>
            <rFont val="Tahoma"/>
            <family val="2"/>
          </rPr>
          <t>Author:</t>
        </r>
        <r>
          <rPr>
            <sz val="9"/>
            <color indexed="81"/>
            <rFont val="Tahoma"/>
            <family val="2"/>
          </rPr>
          <t xml:space="preserve">
"…four months' drafts on London..." "Baghdad, 1909, p. 4</t>
        </r>
      </text>
    </comment>
    <comment ref="R284" authorId="0" shapeId="0">
      <text>
        <r>
          <rPr>
            <b/>
            <sz val="9"/>
            <color indexed="81"/>
            <rFont val="Tahoma"/>
            <family val="2"/>
          </rPr>
          <t>Author:</t>
        </r>
        <r>
          <rPr>
            <sz val="9"/>
            <color indexed="81"/>
            <rFont val="Tahoma"/>
            <family val="2"/>
          </rPr>
          <t xml:space="preserve">
"…Sight drafts on London…  "Baghdad, 1909", p. 4</t>
        </r>
      </text>
    </comment>
    <comment ref="S284" authorId="0" shapeId="0">
      <text>
        <r>
          <rPr>
            <b/>
            <sz val="9"/>
            <color indexed="81"/>
            <rFont val="Tahoma"/>
            <family val="2"/>
          </rPr>
          <t>Author:</t>
        </r>
        <r>
          <rPr>
            <sz val="9"/>
            <color indexed="81"/>
            <rFont val="Tahoma"/>
            <family val="2"/>
          </rPr>
          <t xml:space="preserve">
"…three months' drafts between 106 to 109.5 Turkish liras..." "Baghdad, 1909, p. 4</t>
        </r>
      </text>
    </comment>
    <comment ref="Y284" authorId="0" shapeId="0">
      <text>
        <r>
          <rPr>
            <b/>
            <sz val="9"/>
            <color indexed="81"/>
            <rFont val="Tahoma"/>
            <family val="2"/>
          </rPr>
          <t>Author:</t>
        </r>
        <r>
          <rPr>
            <sz val="9"/>
            <color indexed="81"/>
            <rFont val="Tahoma"/>
            <family val="2"/>
          </rPr>
          <t xml:space="preserve">
"…sight drafts on Bombay..." "Baghdad, 1909", p. 4</t>
        </r>
      </text>
    </comment>
    <comment ref="Q285" authorId="0" shapeId="0">
      <text>
        <r>
          <rPr>
            <b/>
            <sz val="9"/>
            <color indexed="81"/>
            <rFont val="Tahoma"/>
            <family val="2"/>
          </rPr>
          <t>Author:</t>
        </r>
        <r>
          <rPr>
            <sz val="9"/>
            <color indexed="81"/>
            <rFont val="Tahoma"/>
            <family val="2"/>
          </rPr>
          <t xml:space="preserve">
"…four months' drafts on London..." "Baghdad, 1910, p. 4</t>
        </r>
      </text>
    </comment>
    <comment ref="R285" authorId="0" shapeId="0">
      <text>
        <r>
          <rPr>
            <b/>
            <sz val="9"/>
            <color indexed="81"/>
            <rFont val="Tahoma"/>
            <family val="2"/>
          </rPr>
          <t>Author:</t>
        </r>
        <r>
          <rPr>
            <sz val="9"/>
            <color indexed="81"/>
            <rFont val="Tahoma"/>
            <family val="2"/>
          </rPr>
          <t xml:space="preserve">
"…Sight drafts on London…  "Baghdad, 1910", p. 3</t>
        </r>
      </text>
    </comment>
    <comment ref="S285" authorId="0" shapeId="0">
      <text>
        <r>
          <rPr>
            <b/>
            <sz val="9"/>
            <color indexed="81"/>
            <rFont val="Tahoma"/>
            <family val="2"/>
          </rPr>
          <t>Author:</t>
        </r>
        <r>
          <rPr>
            <sz val="9"/>
            <color indexed="81"/>
            <rFont val="Tahoma"/>
            <family val="2"/>
          </rPr>
          <t xml:space="preserve">
"…three months' drafts on London..." "Baghdad, 1910, p. 3</t>
        </r>
      </text>
    </comment>
    <comment ref="Y285" authorId="0" shapeId="0">
      <text>
        <r>
          <rPr>
            <b/>
            <sz val="9"/>
            <color indexed="81"/>
            <rFont val="Tahoma"/>
            <family val="2"/>
          </rPr>
          <t>Author:</t>
        </r>
        <r>
          <rPr>
            <sz val="9"/>
            <color indexed="81"/>
            <rFont val="Tahoma"/>
            <family val="2"/>
          </rPr>
          <t xml:space="preserve">
"…sight drafts on Bombay..." "Baghdad, 1910", p. 3</t>
        </r>
      </text>
    </comment>
    <comment ref="Q286" authorId="0" shapeId="0">
      <text>
        <r>
          <rPr>
            <b/>
            <sz val="9"/>
            <color indexed="81"/>
            <rFont val="Tahoma"/>
            <family val="2"/>
          </rPr>
          <t>Author:</t>
        </r>
        <r>
          <rPr>
            <sz val="9"/>
            <color indexed="81"/>
            <rFont val="Tahoma"/>
            <family val="2"/>
          </rPr>
          <t xml:space="preserve">
"…four months' drafts on London..." "Baghdad, 1911, p. 4</t>
        </r>
      </text>
    </comment>
    <comment ref="R286" authorId="0" shapeId="0">
      <text>
        <r>
          <rPr>
            <b/>
            <sz val="9"/>
            <color indexed="81"/>
            <rFont val="Tahoma"/>
            <family val="2"/>
          </rPr>
          <t>Author:</t>
        </r>
        <r>
          <rPr>
            <sz val="9"/>
            <color indexed="81"/>
            <rFont val="Tahoma"/>
            <family val="2"/>
          </rPr>
          <t xml:space="preserve">
"…Sight drafts on London…  "Baghdad, 1911", p. 4</t>
        </r>
      </text>
    </comment>
    <comment ref="S286" authorId="0" shapeId="0">
      <text>
        <r>
          <rPr>
            <b/>
            <sz val="9"/>
            <color indexed="81"/>
            <rFont val="Tahoma"/>
            <family val="2"/>
          </rPr>
          <t>Author:</t>
        </r>
        <r>
          <rPr>
            <sz val="9"/>
            <color indexed="81"/>
            <rFont val="Tahoma"/>
            <family val="2"/>
          </rPr>
          <t xml:space="preserve">
"…three months' drafts on London..." "Baghdad, 1911, p. 4</t>
        </r>
      </text>
    </comment>
    <comment ref="Y286" authorId="0" shapeId="0">
      <text>
        <r>
          <rPr>
            <b/>
            <sz val="9"/>
            <color indexed="81"/>
            <rFont val="Tahoma"/>
            <family val="2"/>
          </rPr>
          <t>Author:</t>
        </r>
        <r>
          <rPr>
            <sz val="9"/>
            <color indexed="81"/>
            <rFont val="Tahoma"/>
            <family val="2"/>
          </rPr>
          <t xml:space="preserve">
"…sight drafts on Bombay..." "Baghdad, 1911", p. 3</t>
        </r>
      </text>
    </comment>
    <comment ref="Q287" authorId="0" shapeId="0">
      <text>
        <r>
          <rPr>
            <b/>
            <sz val="9"/>
            <color indexed="81"/>
            <rFont val="Tahoma"/>
            <family val="2"/>
          </rPr>
          <t>Author:</t>
        </r>
        <r>
          <rPr>
            <sz val="9"/>
            <color indexed="81"/>
            <rFont val="Tahoma"/>
            <family val="2"/>
          </rPr>
          <t xml:space="preserve">
"…four months' drafts on London..." "Baghdad, 1912, p. 10</t>
        </r>
      </text>
    </comment>
    <comment ref="R287" authorId="0" shapeId="0">
      <text>
        <r>
          <rPr>
            <b/>
            <sz val="9"/>
            <color indexed="81"/>
            <rFont val="Tahoma"/>
            <family val="2"/>
          </rPr>
          <t>Author:</t>
        </r>
        <r>
          <rPr>
            <sz val="9"/>
            <color indexed="81"/>
            <rFont val="Tahoma"/>
            <family val="2"/>
          </rPr>
          <t xml:space="preserve">
"…Sight drafts on London…  "Baghdad, 1912", p. 10</t>
        </r>
      </text>
    </comment>
    <comment ref="S287" authorId="0" shapeId="0">
      <text>
        <r>
          <rPr>
            <b/>
            <sz val="9"/>
            <color indexed="81"/>
            <rFont val="Tahoma"/>
            <family val="2"/>
          </rPr>
          <t>Author:</t>
        </r>
        <r>
          <rPr>
            <sz val="9"/>
            <color indexed="81"/>
            <rFont val="Tahoma"/>
            <family val="2"/>
          </rPr>
          <t xml:space="preserve">
"…three months' drafts on London..." "Baghdad, 1912, p. 10</t>
        </r>
      </text>
    </comment>
    <comment ref="Y287" authorId="0" shapeId="0">
      <text>
        <r>
          <rPr>
            <b/>
            <sz val="9"/>
            <color indexed="81"/>
            <rFont val="Tahoma"/>
            <family val="2"/>
          </rPr>
          <t>Author:</t>
        </r>
        <r>
          <rPr>
            <sz val="9"/>
            <color indexed="81"/>
            <rFont val="Tahoma"/>
            <family val="2"/>
          </rPr>
          <t xml:space="preserve">
"…sight drafts on Bombay..." "Baghdad, 1912", p. 10</t>
        </r>
      </text>
    </comment>
    <comment ref="BU287" authorId="0" shapeId="0">
      <text>
        <r>
          <rPr>
            <b/>
            <sz val="9"/>
            <color indexed="81"/>
            <rFont val="Tahoma"/>
            <family val="2"/>
          </rPr>
          <t>Author:</t>
        </r>
        <r>
          <rPr>
            <sz val="9"/>
            <color indexed="81"/>
            <rFont val="Tahoma"/>
            <family val="2"/>
          </rPr>
          <t xml:space="preserve">
"… 26 majidis (about 4l. 6s. 8d.)…" "Baghdad, 1912", p.3</t>
        </r>
      </text>
    </comment>
    <comment ref="B367" authorId="0" shapeId="0">
      <text>
        <r>
          <rPr>
            <b/>
            <sz val="9"/>
            <color indexed="81"/>
            <rFont val="Tahoma"/>
            <family val="2"/>
          </rPr>
          <t>Author:</t>
        </r>
        <r>
          <rPr>
            <sz val="9"/>
            <color indexed="81"/>
            <rFont val="Tahoma"/>
            <family val="2"/>
          </rPr>
          <t xml:space="preserve">
the fraction is difficult to see, so it might be different from 1/4</t>
        </r>
      </text>
    </comment>
    <comment ref="D392" authorId="0" shapeId="0">
      <text>
        <r>
          <rPr>
            <b/>
            <sz val="9"/>
            <color indexed="81"/>
            <rFont val="Tahoma"/>
            <family val="2"/>
          </rPr>
          <t>Author:</t>
        </r>
        <r>
          <rPr>
            <sz val="9"/>
            <color indexed="81"/>
            <rFont val="Tahoma"/>
            <family val="2"/>
          </rPr>
          <t xml:space="preserve">
fractional value is difficult to see</t>
        </r>
      </text>
    </comment>
  </commentList>
</comments>
</file>

<file path=xl/sharedStrings.xml><?xml version="1.0" encoding="utf-8"?>
<sst xmlns="http://schemas.openxmlformats.org/spreadsheetml/2006/main" count="2857" uniqueCount="830">
  <si>
    <t>Source</t>
  </si>
  <si>
    <t>cwt</t>
  </si>
  <si>
    <t>MT$</t>
  </si>
  <si>
    <t>sterling</t>
  </si>
  <si>
    <t>pence</t>
  </si>
  <si>
    <t>Rice</t>
  </si>
  <si>
    <t>bag</t>
  </si>
  <si>
    <t>Wheat</t>
  </si>
  <si>
    <t>Opium</t>
  </si>
  <si>
    <t>case</t>
  </si>
  <si>
    <t>Salt</t>
  </si>
  <si>
    <t>bahr</t>
  </si>
  <si>
    <t>United Nations. Department of Economic and Social Affairs. Statistical Office of the United Nations.
World Weights and Measures. Handbook for Statisticians.
Statistical Papers. Series M no. 21 Revision 1. (ST/STAT/SER.M/21/rev.1)
New York: United Nations, 1966.</t>
  </si>
  <si>
    <t>Cotton</t>
  </si>
  <si>
    <t>bale</t>
  </si>
  <si>
    <t>Cloth</t>
  </si>
  <si>
    <t>Ghee</t>
  </si>
  <si>
    <t>gallon</t>
  </si>
  <si>
    <t>Sugar</t>
  </si>
  <si>
    <t>Gunpowder</t>
  </si>
  <si>
    <t>Maund</t>
  </si>
  <si>
    <t>Barley</t>
  </si>
  <si>
    <t>Coffee</t>
  </si>
  <si>
    <t>Oil seeds</t>
  </si>
  <si>
    <t>Wine</t>
  </si>
  <si>
    <t>Year</t>
  </si>
  <si>
    <t>Price of sterling silver--pence per ounce troy--std</t>
  </si>
  <si>
    <t>Grams of pure silver per d. (penny)</t>
  </si>
  <si>
    <t xml:space="preserve">Grams of pure silver per sterling </t>
  </si>
  <si>
    <t>Grams of pure silver per US$</t>
  </si>
  <si>
    <t>Grams of pure silver per rupee</t>
  </si>
  <si>
    <t>Price of sterling in MT$</t>
  </si>
  <si>
    <t>Price of sterling in Rupee</t>
  </si>
  <si>
    <t>Tea</t>
  </si>
  <si>
    <t>box</t>
  </si>
  <si>
    <t>lbs.</t>
  </si>
  <si>
    <t>cwts.</t>
  </si>
  <si>
    <t>box, bale, halfload</t>
  </si>
  <si>
    <t>load</t>
  </si>
  <si>
    <t>man (Astarabad)</t>
  </si>
  <si>
    <t>pood</t>
  </si>
  <si>
    <t>Skins</t>
  </si>
  <si>
    <t>Wool</t>
  </si>
  <si>
    <t>£</t>
  </si>
  <si>
    <t>s.</t>
  </si>
  <si>
    <t>d.</t>
  </si>
  <si>
    <t>lbs</t>
  </si>
  <si>
    <t>l.</t>
  </si>
  <si>
    <t>krans</t>
  </si>
  <si>
    <t>shahis</t>
  </si>
  <si>
    <t>tomans</t>
  </si>
  <si>
    <t>toman</t>
  </si>
  <si>
    <t>kran</t>
  </si>
  <si>
    <t>panabuts</t>
  </si>
  <si>
    <t>metric ton</t>
  </si>
  <si>
    <t>kuti</t>
  </si>
  <si>
    <t>1897-98</t>
  </si>
  <si>
    <t>1898-99</t>
  </si>
  <si>
    <t>Flour</t>
  </si>
  <si>
    <t>Tobacco</t>
  </si>
  <si>
    <t>Paper</t>
  </si>
  <si>
    <t>cwt.</t>
  </si>
  <si>
    <t>drum / tin</t>
  </si>
  <si>
    <t>Candles</t>
  </si>
  <si>
    <t>Spices</t>
  </si>
  <si>
    <t xml:space="preserve">Glass, window </t>
  </si>
  <si>
    <t>Matches</t>
  </si>
  <si>
    <t>tin</t>
  </si>
  <si>
    <t>bundle</t>
  </si>
  <si>
    <t>piece</t>
  </si>
  <si>
    <t>man</t>
  </si>
  <si>
    <t>ton</t>
  </si>
  <si>
    <t>shahi</t>
  </si>
  <si>
    <t>packet</t>
  </si>
  <si>
    <t>number</t>
  </si>
  <si>
    <t>ozs.</t>
  </si>
  <si>
    <t>kharvar</t>
  </si>
  <si>
    <t>Oil</t>
  </si>
  <si>
    <t>Almonds</t>
  </si>
  <si>
    <t>Carpets</t>
  </si>
  <si>
    <t>Gum</t>
  </si>
  <si>
    <t>chest</t>
  </si>
  <si>
    <t>Seeds</t>
  </si>
  <si>
    <t>Silk (all relevant)</t>
  </si>
  <si>
    <t>Silk, goods</t>
  </si>
  <si>
    <t>package</t>
  </si>
  <si>
    <t>Glass and wares</t>
  </si>
  <si>
    <t>Indigo</t>
  </si>
  <si>
    <t>Sterling</t>
  </si>
  <si>
    <t>Rupee</t>
  </si>
  <si>
    <t>yard</t>
  </si>
  <si>
    <t>sq inches</t>
  </si>
  <si>
    <t>zar</t>
  </si>
  <si>
    <t>Tin, in plates</t>
  </si>
  <si>
    <t>Silk</t>
  </si>
  <si>
    <t>long ton</t>
  </si>
  <si>
    <t>Thread, cotton</t>
  </si>
  <si>
    <t>tons</t>
  </si>
  <si>
    <t>rotols</t>
  </si>
  <si>
    <t>kgs</t>
  </si>
  <si>
    <t>kilo</t>
  </si>
  <si>
    <t>rotol</t>
  </si>
  <si>
    <t>cantar</t>
  </si>
  <si>
    <t>bales</t>
  </si>
  <si>
    <t>Cotton, goods</t>
  </si>
  <si>
    <t>barrel</t>
  </si>
  <si>
    <t>bag/sack</t>
  </si>
  <si>
    <t>Leather</t>
  </si>
  <si>
    <t>Drugs</t>
  </si>
  <si>
    <t>Glassware</t>
  </si>
  <si>
    <t>Pepper</t>
  </si>
  <si>
    <t>Piece-goods</t>
  </si>
  <si>
    <t>Copper</t>
  </si>
  <si>
    <t>kilos</t>
  </si>
  <si>
    <t>kile</t>
  </si>
  <si>
    <t>oke</t>
  </si>
  <si>
    <t>piastre</t>
  </si>
  <si>
    <t>cwts</t>
  </si>
  <si>
    <t>quarter</t>
  </si>
  <si>
    <t>quintal</t>
  </si>
  <si>
    <t>Rags</t>
  </si>
  <si>
    <t/>
  </si>
  <si>
    <t>kg</t>
  </si>
  <si>
    <t>ardeb</t>
  </si>
  <si>
    <t>litre</t>
  </si>
  <si>
    <t>Alcohol</t>
  </si>
  <si>
    <t>Bicycle</t>
  </si>
  <si>
    <t xml:space="preserve">Books, account </t>
  </si>
  <si>
    <t>Boots and shoes</t>
  </si>
  <si>
    <t>Canvas</t>
  </si>
  <si>
    <t>Caviar, black</t>
  </si>
  <si>
    <t>Cheese</t>
  </si>
  <si>
    <t>Cigar</t>
  </si>
  <si>
    <t>Cochineal</t>
  </si>
  <si>
    <t>Fish</t>
  </si>
  <si>
    <t>Furniture</t>
  </si>
  <si>
    <t>Glass, window</t>
  </si>
  <si>
    <t>Potash</t>
  </si>
  <si>
    <t>Potatoes</t>
  </si>
  <si>
    <t>Steel</t>
  </si>
  <si>
    <t>Zinc</t>
  </si>
  <si>
    <t>Silk, raw and goods</t>
  </si>
  <si>
    <t>quarters</t>
  </si>
  <si>
    <t>quarts</t>
  </si>
  <si>
    <t>long tons</t>
  </si>
  <si>
    <t>Hazelnuts</t>
  </si>
  <si>
    <t>Gall, nuts</t>
  </si>
  <si>
    <t>Root</t>
  </si>
  <si>
    <t>Linseed seeds</t>
  </si>
  <si>
    <t>Poppy seeds</t>
  </si>
  <si>
    <t>Mohair</t>
  </si>
  <si>
    <t>Sundries</t>
  </si>
  <si>
    <t>Cocoons</t>
  </si>
  <si>
    <t>Paste</t>
  </si>
  <si>
    <t>Oat</t>
  </si>
  <si>
    <t>Hemp seeds</t>
  </si>
  <si>
    <t>Sesame seeds</t>
  </si>
  <si>
    <t>Currency</t>
  </si>
  <si>
    <t>case/chest</t>
  </si>
  <si>
    <t>Drugs and medicines</t>
  </si>
  <si>
    <t>Beans</t>
  </si>
  <si>
    <t>Regions</t>
  </si>
  <si>
    <t>Jaffa</t>
  </si>
  <si>
    <t>Jerusalem</t>
  </si>
  <si>
    <t>Haifa/Acre</t>
  </si>
  <si>
    <t>Gaza</t>
  </si>
  <si>
    <t>Rates used</t>
  </si>
  <si>
    <t xml:space="preserve">piastre (rate at customs) </t>
  </si>
  <si>
    <t xml:space="preserve">piastre (spot rates) </t>
  </si>
  <si>
    <t>piastre (gov't currency)</t>
  </si>
  <si>
    <t>piastre (local currency)</t>
  </si>
  <si>
    <t>piastre (inferred FX rates from reports)</t>
  </si>
  <si>
    <t>References</t>
  </si>
  <si>
    <t>piastre (official rate)</t>
  </si>
  <si>
    <t>Schölch "Palestine in Transformation", 1993, p. 103</t>
  </si>
  <si>
    <t xml:space="preserve"> </t>
  </si>
  <si>
    <t>Interpolated FX rates!</t>
  </si>
  <si>
    <t xml:space="preserve">  </t>
  </si>
  <si>
    <t>1909 [Cd. 4446-46] No. 4222</t>
  </si>
  <si>
    <t>buying rates</t>
  </si>
  <si>
    <t>selling rates</t>
  </si>
  <si>
    <t>Country</t>
  </si>
  <si>
    <t>Consular district</t>
  </si>
  <si>
    <t>Region or town</t>
  </si>
  <si>
    <t>Paras</t>
  </si>
  <si>
    <t>Piastre</t>
  </si>
  <si>
    <t>Piastre (Govt.' currency)</t>
  </si>
  <si>
    <t>Piastre (local currency)</t>
  </si>
  <si>
    <t>Fr.</t>
  </si>
  <si>
    <t>c.</t>
  </si>
  <si>
    <t>Notes</t>
  </si>
  <si>
    <t>Quotation</t>
  </si>
  <si>
    <t>Reports</t>
  </si>
  <si>
    <t>Page No.</t>
  </si>
  <si>
    <t>Turkey</t>
  </si>
  <si>
    <t>"about 6/7 d."</t>
  </si>
  <si>
    <t>"The unit of the Turkish money is the piastre, but the value of a piastre varies in different places; it is only 2/5 of the piastre in the Government currency."</t>
  </si>
  <si>
    <t>A2</t>
  </si>
  <si>
    <t>beshlik</t>
  </si>
  <si>
    <t>mejidi</t>
  </si>
  <si>
    <t>Napoleon (French pound)</t>
  </si>
  <si>
    <t>1l.T.</t>
  </si>
  <si>
    <t xml:space="preserve">1l.  </t>
  </si>
  <si>
    <t>1 fr.</t>
  </si>
  <si>
    <t>1 s.</t>
  </si>
  <si>
    <t>medjidieh</t>
  </si>
  <si>
    <t>1910 [Cd. 4962-83] No. 4471 Annual Series. Diplomatic and Consular Reports. Turkey. Report for the year 1909 on the
trade of the Consular District of Jerusalem. Edited at the Foreign Office and the Board of Trade. Reference to previous
report, Annual Series No. 4222.</t>
  </si>
  <si>
    <t xml:space="preserve">Napoleon  </t>
  </si>
  <si>
    <t>1l.</t>
  </si>
  <si>
    <t>1912-13 [Cd. 6005-23] No. 4850 Annual Series. Diplomatic and Consular Reports. Turkey. Report for the year 1911 on
the trade of the Consular District of Jerusalem. Edited at the Foreign Office and the Board of Trade. Reference to
previous report, Annual Series No. 4697.</t>
  </si>
  <si>
    <t>"NOTE.-These piastres are, of course, fictitious units, as in other parts of the Turkish Empire."</t>
  </si>
  <si>
    <t>1914 [Cd. 7048-156] No. 5339 Annual Series. Diplomatic and Consular Reports. Turkey. Report for the Year 1913 on the
Trade of the Consular District of Jerusalem. Edited at the Foreign Office and the Board of Trade. Reference to Previous
Report, Annual Series No. 5107.</t>
  </si>
  <si>
    <t>Report of Mr. Consul Moore on the Trade and Commerce of Jerusalem for the Year 1863.</t>
  </si>
  <si>
    <t>Report by Mr. Consul Kayat, on the trade, Navigation, &amp;c., of the Port of Jaffa for the Year 1882 {"1882 - Jaffa, Turkey"}</t>
  </si>
  <si>
    <t>Report by Consular Agent Amralak on the trade and Commerce of Jaffa for the Year 1873</t>
  </si>
  <si>
    <t>Report by Consular Agent Amralak on the trade and Commerce of Jaffa for the Year 1874.</t>
  </si>
  <si>
    <t>Report by Consular Agent Amralak on the trade and Commerce of Jaffa for the Year 1875.</t>
  </si>
  <si>
    <t>"1875 - Jaffa, Turkey"</t>
  </si>
  <si>
    <t>Report by Vice-Consul Amazalak on the trade and Commerce of Jaffa for the Year 1876.</t>
  </si>
  <si>
    <t>"1876 - Jaffa, Turkey"</t>
  </si>
  <si>
    <t>Report by Consular Agent Amazalak on the trade and Commerce of Jaffa for the Year 1877.</t>
  </si>
  <si>
    <t>"1877 - Jaffa, Turkey"</t>
  </si>
  <si>
    <t>Report by Consular Agent Amzalak on the Trade and Commerce of Jaffa for the Year 1879.</t>
  </si>
  <si>
    <t>"1879 - Jaffa, Turkey"</t>
  </si>
  <si>
    <t>Report by Consular Agent Amzalak on the Trade and Commerce of Jaffa for the Year 1880.</t>
  </si>
  <si>
    <t>"1880 - Jaffa, Turkey"</t>
  </si>
  <si>
    <t>Report by Consular Agent Amzalak on the Trade and Commerce of Jaffa for the Year 1881.</t>
  </si>
  <si>
    <t>"1881 - Jaffa, Turkey"</t>
  </si>
  <si>
    <t>Report by Consular Agent Amzalak on the Trade and Commerce of Jaffa for the Year 1883.</t>
  </si>
  <si>
    <t>"1883 - Jaffa, Turkey"</t>
  </si>
  <si>
    <t>Report by Consular-Agent Amzalak on the Trade and Commerce of Jaffa for the Year 1884.</t>
  </si>
  <si>
    <t>"1884 - Jaffa, Turkey"</t>
  </si>
  <si>
    <t>"… the average rate of exchange for bills upon London has been 125 piastres per pound sterling. &lt;…&gt; But, nothwistanding the proclamation lately issued fixing the above rates, the English sovereign is received at 115 piastres, and the Turkish at 105 piastres here."</t>
  </si>
  <si>
    <t>Report by Mr. Consul Kayat, on the trade, Navigation, &amp;c., of the Port of Jaffa for the Year 1862.</t>
  </si>
  <si>
    <t>"1863 - Jaffa, Turkey"</t>
  </si>
  <si>
    <t>bushel</t>
  </si>
  <si>
    <t>rattle</t>
  </si>
  <si>
    <t>gallons</t>
  </si>
  <si>
    <t>cubic meters</t>
  </si>
  <si>
    <t>each</t>
  </si>
  <si>
    <t>http://www.wsdot.wa.gov/publications/manuals/fulltext/M22-23/T12T13.pdf</t>
  </si>
  <si>
    <t>barrels</t>
  </si>
  <si>
    <t>bottle</t>
  </si>
  <si>
    <t>https://www.unc.edu/~rowlett/units/scales/bushels.html</t>
  </si>
  <si>
    <t>kileh</t>
  </si>
  <si>
    <t>Imp. quarters</t>
  </si>
  <si>
    <t>kantar</t>
  </si>
  <si>
    <t>lb.</t>
  </si>
  <si>
    <t>rotl</t>
  </si>
  <si>
    <t>tumniya</t>
  </si>
  <si>
    <t>http://www.ers.usda.gov/media/935958/ah697_002.pdf</t>
  </si>
  <si>
    <t>https://smallfarmersjournal.com/weights-measures/</t>
  </si>
  <si>
    <t>https://sizes.com/units/bushel_US_as_mass.htm</t>
  </si>
  <si>
    <t>http://www.endmemo.com/cconvert/lbsgalus.php; http://www.metric-conversions.org/volume/uk-gallons-to-us-liquid-gallons.htm</t>
  </si>
  <si>
    <t>Sources</t>
  </si>
  <si>
    <t>Consular reports</t>
  </si>
  <si>
    <t>okka</t>
  </si>
  <si>
    <t>oke or occa</t>
  </si>
  <si>
    <t>dirham</t>
  </si>
  <si>
    <t>dirhem</t>
  </si>
  <si>
    <t>bushels</t>
  </si>
  <si>
    <t>litres</t>
  </si>
  <si>
    <t>quintal (quintar, qantar, cantar)</t>
  </si>
  <si>
    <t>ratl</t>
  </si>
  <si>
    <t>kontar</t>
  </si>
  <si>
    <t>kantar or cantaro</t>
  </si>
  <si>
    <t>okes</t>
  </si>
  <si>
    <t>qintar (cantar, quintal); in Hauran</t>
  </si>
  <si>
    <t>uqqa</t>
  </si>
  <si>
    <t>saah (sa')</t>
  </si>
  <si>
    <t>tumniyya</t>
  </si>
  <si>
    <t>uqia (Jerusalem)</t>
  </si>
  <si>
    <t>okije</t>
  </si>
  <si>
    <t>kele</t>
  </si>
  <si>
    <t>mudd (midd)</t>
  </si>
  <si>
    <t>rub'ije</t>
  </si>
  <si>
    <t>tumnije</t>
  </si>
  <si>
    <t>sa'</t>
  </si>
  <si>
    <t>dra'</t>
  </si>
  <si>
    <t>cm</t>
  </si>
  <si>
    <t>ba'</t>
  </si>
  <si>
    <t>m</t>
  </si>
  <si>
    <t>mil</t>
  </si>
  <si>
    <t>km</t>
  </si>
  <si>
    <t>q'Elle (dra' murabba')</t>
  </si>
  <si>
    <t>qm</t>
  </si>
  <si>
    <t>dunum</t>
  </si>
  <si>
    <t>square meters</t>
  </si>
  <si>
    <t>q'Ellen</t>
  </si>
  <si>
    <t>okieh</t>
  </si>
  <si>
    <t>rottol</t>
  </si>
  <si>
    <t>pik or draa</t>
  </si>
  <si>
    <t>inches</t>
  </si>
  <si>
    <t>deunum</t>
  </si>
  <si>
    <t>sq. piks</t>
  </si>
  <si>
    <t>acre</t>
  </si>
  <si>
    <t>Encyclopedia of the History of Science, Tech, &amp; Medicine in non-western cultures, 2008</t>
  </si>
  <si>
    <t>Alexandretta to Aleppo</t>
  </si>
  <si>
    <t>1864, Edirne</t>
  </si>
  <si>
    <t>1864, Bitlis</t>
  </si>
  <si>
    <t>rottel</t>
  </si>
  <si>
    <t>1 £ = x (local currency)</t>
  </si>
  <si>
    <t>G.S. piastres</t>
  </si>
  <si>
    <r>
      <rPr>
        <b/>
        <sz val="11"/>
        <color theme="1"/>
        <rFont val="Calibri"/>
        <family val="2"/>
        <scheme val="minor"/>
      </rPr>
      <t>1 £</t>
    </r>
    <r>
      <rPr>
        <sz val="11"/>
        <color theme="1"/>
        <rFont val="Calibri"/>
        <family val="2"/>
        <scheme val="minor"/>
      </rPr>
      <t xml:space="preserve"> = x (local currency)</t>
    </r>
  </si>
  <si>
    <t>The Turkish lira (l. T.)</t>
  </si>
  <si>
    <r>
      <rPr>
        <b/>
        <sz val="11"/>
        <color theme="1"/>
        <rFont val="Calibri"/>
        <family val="2"/>
        <scheme val="minor"/>
      </rPr>
      <t>1 rs</t>
    </r>
    <r>
      <rPr>
        <sz val="11"/>
        <color theme="1"/>
        <rFont val="Calibri"/>
        <family val="2"/>
        <scheme val="minor"/>
      </rPr>
      <t>. = x (local currency)</t>
    </r>
  </si>
  <si>
    <r>
      <rPr>
        <b/>
        <sz val="11"/>
        <color theme="1"/>
        <rFont val="Calibri"/>
        <family val="2"/>
        <scheme val="minor"/>
      </rPr>
      <t>1 l.T.</t>
    </r>
    <r>
      <rPr>
        <sz val="11"/>
        <color theme="1"/>
        <rFont val="Calibri"/>
        <family val="2"/>
        <scheme val="minor"/>
      </rPr>
      <t xml:space="preserve"> = x (local currency)</t>
    </r>
  </si>
  <si>
    <r>
      <rPr>
        <b/>
        <sz val="11"/>
        <color theme="1"/>
        <rFont val="Calibri"/>
        <family val="2"/>
        <scheme val="minor"/>
      </rPr>
      <t>1 mejidie</t>
    </r>
    <r>
      <rPr>
        <sz val="11"/>
        <color theme="1"/>
        <rFont val="Calibri"/>
        <family val="2"/>
        <scheme val="minor"/>
      </rPr>
      <t xml:space="preserve"> = x (local currency)</t>
    </r>
  </si>
  <si>
    <r>
      <rPr>
        <b/>
        <sz val="11"/>
        <color theme="1"/>
        <rFont val="Calibri"/>
        <family val="2"/>
        <scheme val="minor"/>
      </rPr>
      <t>1 keran</t>
    </r>
    <r>
      <rPr>
        <sz val="11"/>
        <color theme="1"/>
        <rFont val="Calibri"/>
        <family val="2"/>
        <scheme val="minor"/>
      </rPr>
      <t xml:space="preserve"> = x (local currency)</t>
    </r>
  </si>
  <si>
    <r>
      <rPr>
        <b/>
        <sz val="11"/>
        <color theme="1"/>
        <rFont val="Calibri"/>
        <family val="2"/>
        <scheme val="minor"/>
      </rPr>
      <t>1 Spanish dollar</t>
    </r>
    <r>
      <rPr>
        <sz val="11"/>
        <color theme="1"/>
        <rFont val="Calibri"/>
        <family val="2"/>
        <scheme val="minor"/>
      </rPr>
      <t xml:space="preserve"> = x (local currency)</t>
    </r>
  </si>
  <si>
    <t>Kran (in Persia)</t>
  </si>
  <si>
    <t>Mejidie</t>
  </si>
  <si>
    <t>Baghdad</t>
  </si>
  <si>
    <t>Rate# 1</t>
  </si>
  <si>
    <t>Rate# 2</t>
  </si>
  <si>
    <t>Rate# 3</t>
  </si>
  <si>
    <t>Rate# 4</t>
  </si>
  <si>
    <t>FX rate used</t>
  </si>
  <si>
    <t>Rate, before 03/04/1888</t>
  </si>
  <si>
    <t>Rate, after 03/04/1888</t>
  </si>
  <si>
    <t>Monthly rates, sight drafts sourced from: Baghdad, 1912, p. 10.</t>
  </si>
  <si>
    <t>June</t>
  </si>
  <si>
    <t>July</t>
  </si>
  <si>
    <t>August</t>
  </si>
  <si>
    <t>September</t>
  </si>
  <si>
    <t>October</t>
  </si>
  <si>
    <t>November</t>
  </si>
  <si>
    <t>December</t>
  </si>
  <si>
    <t>Currency system explained in: Baghdad and Bussorah, 1892, p. 12.</t>
  </si>
  <si>
    <t>The coins in use in Bussorah are:</t>
  </si>
  <si>
    <t>Lira</t>
  </si>
  <si>
    <t>The lira (182. sterling, i.e., 10% less than 1l.) is a gold coin, and is invariable.</t>
  </si>
  <si>
    <t>Medjidieh</t>
  </si>
  <si>
    <t>(5.25 medjidieh = 1 lira) is a silver coin, and is invariable.</t>
  </si>
  <si>
    <t>Keran</t>
  </si>
  <si>
    <t>(34.15 kerans = 1 lira) is likewise invariable; and all mercantile contracts and disbursements are made, as well as bills paid, in kerans-except for dates, when the piastre is used alone.</t>
  </si>
  <si>
    <t>There are three kinds of piastre, all invariable:</t>
  </si>
  <si>
    <t>1.</t>
  </si>
  <si>
    <t>The Government piastre, 100 of which = 1 lira.</t>
  </si>
  <si>
    <t>2.</t>
  </si>
  <si>
    <t>The local piastre, 153.75 of which = 1 lira.</t>
  </si>
  <si>
    <t>3.</t>
  </si>
  <si>
    <t>The piastre used for ordinary current expenses (i.e., small purchases of market or garden produce, &amp;c.), 170.75 of which = 1 lira.</t>
  </si>
  <si>
    <t>The rupee varies in value with the rise and fall of silver; 18s. Divided by the market rate of the rupee will thus give the number of rupees on any day that go to a lira.</t>
  </si>
  <si>
    <t>Dollar</t>
  </si>
  <si>
    <t>Similarly as regards dollars.</t>
  </si>
  <si>
    <t>Franc</t>
  </si>
  <si>
    <t>The franc is only used in paying for telegrams, and its value (22 fr. 50 c. equals 1 lira) is invariable.</t>
  </si>
  <si>
    <t>In paying customs dues and taxes the authorities allow 19 Government piastres per medjidieh; but the quarantine authorities take their fees at the rate of 20 Government piastres per medjidieh.</t>
  </si>
  <si>
    <t>In some old deeds the absolete "shami" is found. Dates, too, are often quoted in "shamis." One "shami" is equal to 10 Government piastres.</t>
  </si>
  <si>
    <t>Currency system explained in: Baghdad, Turkey, 1871, p. 295.</t>
  </si>
  <si>
    <t>Coins in circulation in Turkish Arabia</t>
  </si>
  <si>
    <t>Turkish Tariff Rates</t>
  </si>
  <si>
    <t>Present Authorized Rate</t>
  </si>
  <si>
    <t>Value in English Money</t>
  </si>
  <si>
    <t>G.S.P.</t>
  </si>
  <si>
    <t>p.</t>
  </si>
  <si>
    <t>Gold</t>
  </si>
  <si>
    <t>English, sovereign</t>
  </si>
  <si>
    <t>Turkish liras</t>
  </si>
  <si>
    <t>Russian, imperial (1/2)</t>
  </si>
  <si>
    <t>French, sovereign</t>
  </si>
  <si>
    <t>Persian tomans</t>
  </si>
  <si>
    <t>Dutch ducat</t>
  </si>
  <si>
    <t>Silver</t>
  </si>
  <si>
    <t>Spanish dollars</t>
  </si>
  <si>
    <t>German crown</t>
  </si>
  <si>
    <t>Cingo</t>
  </si>
  <si>
    <t>Mejidiyeh</t>
  </si>
  <si>
    <t>Manet</t>
  </si>
  <si>
    <t>Altelic</t>
  </si>
  <si>
    <t>Persian N.S. kerans</t>
  </si>
  <si>
    <t>Tungeers</t>
  </si>
  <si>
    <t>Florin</t>
  </si>
  <si>
    <t>Alloyed currencies</t>
  </si>
  <si>
    <t>Shamee</t>
  </si>
  <si>
    <t>Beshlick</t>
  </si>
  <si>
    <t>Cherkli</t>
  </si>
  <si>
    <t>Camarie (or 1/2 G.S. piastre)</t>
  </si>
  <si>
    <t>10-para pieces</t>
  </si>
  <si>
    <t>5-para pieces</t>
  </si>
  <si>
    <t>Notes from: Baghdad, Turkey, 1867, p. 279.</t>
  </si>
  <si>
    <t>The principal medium of circulation in Turkish Arabia is the Persian Keran. It forms as it were the standard of value, and being always at a premium, may be said to regulate the comparative values of other coins. Subjoined is a statement contrasting the Turkish Tariff and Currency Bazaar rates of the various monies in circulation at Bagdad.</t>
  </si>
  <si>
    <t>Turkish Tariff Rates in Grand Signor Piastres.</t>
  </si>
  <si>
    <t>Current Bazaar Rates in Grand Signor Piastres.</t>
  </si>
  <si>
    <t>English sovereign</t>
  </si>
  <si>
    <t>Turkish lirahs</t>
  </si>
  <si>
    <t>Russian imperial</t>
  </si>
  <si>
    <t>French sovereign</t>
  </si>
  <si>
    <t>Khayree (Gazee)</t>
  </si>
  <si>
    <t>Persian Nasr-deen Shah Kerans</t>
  </si>
  <si>
    <t>Persian Nasr-deen Panabad</t>
  </si>
  <si>
    <t>Tungeer (Swanzik)</t>
  </si>
  <si>
    <t>Intrinsic value in Grand Signor piastres</t>
  </si>
  <si>
    <t>Cherklee</t>
  </si>
  <si>
    <t>Notes from: Baghdad, 1908, p. 4.</t>
  </si>
  <si>
    <t>"Currency.-The principal coin is the gold lira usually called £T. Its intrinsic value is 18s. 0.75d. This is divided into 5.4 mejidies. The mejidi is a coin which exists and which is used for commercial transactions. The mejidi is again divided into coins of 1, 2, 5 and 10 piastres each, on the bases of 20 piastres to the mejidi, but these piastres are only used in petty transactions of daily life. The piastre in which business transactions are concluded is an entirely different thing. It does not, in fact, exist at all, and is merely an arbitrary fraction of a lira. The Ottoman Bank takes a lira to be worth 100 piastres, some Government departments take it to be worth  102.5 piastres, most merchants take it to be worth 103.5 piastres, while for ordinary retail payments of daily life in the market the lira is worth 108 piastres.
The only reliable statistics that can be given are the exchange value of sight drafts on London..."</t>
  </si>
  <si>
    <t>Cotton, yarns</t>
  </si>
  <si>
    <t>Silk, raw</t>
  </si>
  <si>
    <t>Dates</t>
  </si>
  <si>
    <t>Feathers</t>
  </si>
  <si>
    <t>Glass, wares and window</t>
  </si>
  <si>
    <t>Combs</t>
  </si>
  <si>
    <t>Arms and ammunitions</t>
  </si>
  <si>
    <t>Sulphur</t>
  </si>
  <si>
    <t>Sugar, loaf</t>
  </si>
  <si>
    <t>Sweetmeats</t>
  </si>
  <si>
    <t>Lead</t>
  </si>
  <si>
    <t>Beads</t>
  </si>
  <si>
    <t>Bitumen</t>
  </si>
  <si>
    <t>Cassia</t>
  </si>
  <si>
    <t>Copper, old</t>
  </si>
  <si>
    <t>Cummin seeds</t>
  </si>
  <si>
    <t>Dates, dry</t>
  </si>
  <si>
    <t>Fennel seeds</t>
  </si>
  <si>
    <t>Gawazaban</t>
  </si>
  <si>
    <t>Hoofs</t>
  </si>
  <si>
    <t>Horns</t>
  </si>
  <si>
    <t>Lintel</t>
  </si>
  <si>
    <t>Mahleb</t>
  </si>
  <si>
    <t>Millet seeds</t>
  </si>
  <si>
    <t>Quince</t>
  </si>
  <si>
    <t>Quince seeds</t>
  </si>
  <si>
    <t>Saleb</t>
  </si>
  <si>
    <t>Wood, sandal</t>
  </si>
  <si>
    <t>Simsim</t>
  </si>
  <si>
    <t>Sugar, crushed</t>
  </si>
  <si>
    <t>Sugar, crystal</t>
  </si>
  <si>
    <t>Sugar, loaf and crystal</t>
  </si>
  <si>
    <t>Fruits, dried</t>
  </si>
  <si>
    <t>Copra</t>
  </si>
  <si>
    <t>Cowries</t>
  </si>
  <si>
    <t>Galbanum</t>
  </si>
  <si>
    <t>Liquorice</t>
  </si>
  <si>
    <t>Liquorice, root</t>
  </si>
  <si>
    <t>Mash</t>
  </si>
  <si>
    <t>Fennel</t>
  </si>
  <si>
    <t>Soap</t>
  </si>
  <si>
    <t>Kernels</t>
  </si>
  <si>
    <t>Cloves</t>
  </si>
  <si>
    <t>Ginger</t>
  </si>
  <si>
    <t>Cardamom</t>
  </si>
  <si>
    <t>Guano</t>
  </si>
  <si>
    <t>Rose buds</t>
  </si>
  <si>
    <t>Sugar and sugar, candy</t>
  </si>
  <si>
    <t>Edra, dari</t>
  </si>
  <si>
    <t>Grains</t>
  </si>
  <si>
    <t>Grain, maize</t>
  </si>
  <si>
    <t>Grain, pulse</t>
  </si>
  <si>
    <t>Lentils</t>
  </si>
  <si>
    <t>Maize</t>
  </si>
  <si>
    <t>Manna</t>
  </si>
  <si>
    <t>Millet</t>
  </si>
  <si>
    <t>Peas</t>
  </si>
  <si>
    <t>Pistachios</t>
  </si>
  <si>
    <t>Sesame</t>
  </si>
  <si>
    <t>Apricot, kernels</t>
  </si>
  <si>
    <t>Cotton, yarns, twist</t>
  </si>
  <si>
    <t>Colocynth</t>
  </si>
  <si>
    <t>Linen, raw</t>
  </si>
  <si>
    <t>Merchandise</t>
  </si>
  <si>
    <t>Dari seeds</t>
  </si>
  <si>
    <t>Edra seeds</t>
  </si>
  <si>
    <t>Scrub, desert</t>
  </si>
  <si>
    <t>Logwood</t>
  </si>
  <si>
    <t>Cocoanuts</t>
  </si>
  <si>
    <t>Fruits</t>
  </si>
  <si>
    <t>Galls</t>
  </si>
  <si>
    <t>Cloth, cuttings</t>
  </si>
  <si>
    <t>Cloth, broad</t>
  </si>
  <si>
    <t>Linen, goods</t>
  </si>
  <si>
    <t>Wool, goods</t>
  </si>
  <si>
    <t>Piece-goods, cotton</t>
  </si>
  <si>
    <t>Paddy</t>
  </si>
  <si>
    <t>Tamarind</t>
  </si>
  <si>
    <t>Tobacco, cheroots</t>
  </si>
  <si>
    <t>Turmeric</t>
  </si>
  <si>
    <t>Dhall</t>
  </si>
  <si>
    <t>Arsenic</t>
  </si>
  <si>
    <t>Cement</t>
  </si>
  <si>
    <t>Coal, mineral</t>
  </si>
  <si>
    <t>Raisins</t>
  </si>
  <si>
    <t>Drugs and spices</t>
  </si>
  <si>
    <t>Dry blood</t>
  </si>
  <si>
    <t>Roots</t>
  </si>
  <si>
    <t>Sugar, candy</t>
  </si>
  <si>
    <t>Skins and hides</t>
  </si>
  <si>
    <t>Calico, dyed and printed chintz</t>
  </si>
  <si>
    <t>Liquors and spirits</t>
  </si>
  <si>
    <t>Hides, cow</t>
  </si>
  <si>
    <t>Iron</t>
  </si>
  <si>
    <t>Iron, chains</t>
  </si>
  <si>
    <t>Iron, galvanised, in sheets</t>
  </si>
  <si>
    <t>Iron, hoops</t>
  </si>
  <si>
    <t>Iron, miscellaneous</t>
  </si>
  <si>
    <t>Iron, safes</t>
  </si>
  <si>
    <t>Iron, wire</t>
  </si>
  <si>
    <t>Iron, wire nettings</t>
  </si>
  <si>
    <t>Ironware</t>
  </si>
  <si>
    <t>Iron and ironware</t>
  </si>
  <si>
    <t>Wool, Awasi, unwashed</t>
  </si>
  <si>
    <t>Lozenges</t>
  </si>
  <si>
    <t>Quicksilver</t>
  </si>
  <si>
    <t>Quinine</t>
  </si>
  <si>
    <t>Rosewater</t>
  </si>
  <si>
    <t>Snuff</t>
  </si>
  <si>
    <t>Silk, kej</t>
  </si>
  <si>
    <t>Limes, dried</t>
  </si>
  <si>
    <t>Hennah</t>
  </si>
  <si>
    <t>Wool, pickings</t>
  </si>
  <si>
    <t>Yarns</t>
  </si>
  <si>
    <t>Gum, tragacanth</t>
  </si>
  <si>
    <t>Intestines</t>
  </si>
  <si>
    <t>Thread, silk and cotton</t>
  </si>
  <si>
    <t>Stationery</t>
  </si>
  <si>
    <t>Gum, ammoniac and gulbanum</t>
  </si>
  <si>
    <t>Hair and mohair</t>
  </si>
  <si>
    <t>Eggs, yolk</t>
  </si>
  <si>
    <t>Yarn and twist</t>
  </si>
  <si>
    <t>Oilman's stores</t>
  </si>
  <si>
    <t>Soda</t>
  </si>
  <si>
    <t>Tartaric, acid</t>
  </si>
  <si>
    <t>Camphor</t>
  </si>
  <si>
    <t>rs</t>
  </si>
  <si>
    <t>Mosul</t>
  </si>
  <si>
    <t>Hair, goats</t>
  </si>
  <si>
    <t>1889-90</t>
  </si>
  <si>
    <t>1899-00</t>
  </si>
  <si>
    <t>1903-04</t>
  </si>
  <si>
    <t>1887-88</t>
  </si>
  <si>
    <t>1886-87</t>
  </si>
  <si>
    <t>1911-12</t>
  </si>
  <si>
    <t>Gold Piastres</t>
  </si>
  <si>
    <t>1881-82</t>
  </si>
  <si>
    <t>1862-63</t>
  </si>
  <si>
    <t>1910-11</t>
  </si>
  <si>
    <t>half load</t>
  </si>
  <si>
    <t>1880-81</t>
  </si>
  <si>
    <t>Middle East imports and exports, 1824-1913</t>
  </si>
  <si>
    <t>This spreadsheet was put together by Robert Allen in May 2016.</t>
  </si>
  <si>
    <t>Wool, cloth</t>
  </si>
  <si>
    <t>Rupees</t>
  </si>
  <si>
    <t>Reports of British consuls published in: the British House of Commons papers in the diplomatic &amp; consular reports on trade and finance and in the administration reports on the Persian Gulf Political Residency.</t>
  </si>
  <si>
    <t>Robert White Stevens, On the Stowage of Ships and their Cargoes, London, Longmans, Green, &amp; Co., 7th edition, 1894.</t>
  </si>
  <si>
    <t>Sources:</t>
  </si>
  <si>
    <t>The data were compiled by British consuls usually from figures collected by Ottoman customs houses that taxed trade and were published in the British House of Commons papers in the diplomatic &amp; consular reports</t>
  </si>
  <si>
    <t>on trade and finance as well as in the administration reports on the Persian Gulf Political Residency.</t>
  </si>
  <si>
    <t>men (shah)</t>
  </si>
  <si>
    <t>man (shah)</t>
  </si>
  <si>
    <t>man (Shiraz)</t>
  </si>
  <si>
    <t>case/cask</t>
  </si>
  <si>
    <t>Oil, of all kinds</t>
  </si>
  <si>
    <t>grams of silver</t>
  </si>
  <si>
    <t>Sterling to MT$ and Rupee</t>
  </si>
  <si>
    <t>1912-13</t>
  </si>
  <si>
    <t>1906-07</t>
  </si>
  <si>
    <t>1905-06</t>
  </si>
  <si>
    <t>1902-03</t>
  </si>
  <si>
    <t>1901-02</t>
  </si>
  <si>
    <t>1896-97</t>
  </si>
  <si>
    <t>1895-96</t>
  </si>
  <si>
    <t>1893-94</t>
  </si>
  <si>
    <t>1892-93</t>
  </si>
  <si>
    <t>1904-05</t>
  </si>
  <si>
    <t>1894-95</t>
  </si>
  <si>
    <t>1900-01</t>
  </si>
  <si>
    <t>cubic feet</t>
  </si>
  <si>
    <t>dozen</t>
  </si>
  <si>
    <t>gross</t>
  </si>
  <si>
    <t>taghar</t>
  </si>
  <si>
    <t>maund</t>
  </si>
  <si>
    <t>baskets</t>
  </si>
  <si>
    <t>wazna</t>
  </si>
  <si>
    <t>cask</t>
  </si>
  <si>
    <t>skin</t>
  </si>
  <si>
    <t>pig</t>
  </si>
  <si>
    <t>Cloaks (Abbas)</t>
  </si>
  <si>
    <t>Apricots</t>
  </si>
  <si>
    <t>Grain, flour</t>
  </si>
  <si>
    <t>Galls, white, blue and green</t>
  </si>
  <si>
    <t>Gunny, bags, hossians</t>
  </si>
  <si>
    <t>Iron, nettings</t>
  </si>
  <si>
    <t>Black seeds</t>
  </si>
  <si>
    <t>Castor seeds</t>
  </si>
  <si>
    <t>Corriander seeds</t>
  </si>
  <si>
    <t>Hortman seeds</t>
  </si>
  <si>
    <t>Teel seeds</t>
  </si>
  <si>
    <t>Ani seeds</t>
  </si>
  <si>
    <t>Baghdad and Basrah 1897 Finance, p. 5</t>
  </si>
  <si>
    <t>Ispahan, 1912-13</t>
  </si>
  <si>
    <t>Smyrna, 1905 till Smyrna 1908</t>
  </si>
  <si>
    <t>Wool, Karadi, unwashed</t>
  </si>
  <si>
    <t>Stevens on Stowage, pg. 388</t>
  </si>
  <si>
    <t>Stevens on Stowage, pg. 337</t>
  </si>
  <si>
    <t>1886 - Baghdad, Turkey, report for the year 1885, p. 110</t>
  </si>
  <si>
    <t>bags</t>
  </si>
  <si>
    <t>Stevens on Stowage, pg 173</t>
  </si>
  <si>
    <t>Baghdad and Basrah, 1897, p. 5</t>
  </si>
  <si>
    <t>Stevens on Stowage, p. 302</t>
  </si>
  <si>
    <t xml:space="preserve">Kerosene oil </t>
  </si>
  <si>
    <t>Stevens on Stowage, p. 471</t>
  </si>
  <si>
    <t>Stevens on Stowage, p. 717</t>
  </si>
  <si>
    <t>Stevens on Stowage, p. 388</t>
  </si>
  <si>
    <t>Stevens on  Stowage, p. 106, Stevens on Stowage, p. 135</t>
  </si>
  <si>
    <t>Stevens on  Stowage, p. 151</t>
  </si>
  <si>
    <t>Stevens on  Stowage, p. 598</t>
  </si>
  <si>
    <t>Stevens on  Stowage, p. 716</t>
  </si>
  <si>
    <t>Stevens on  Stowage, p. 303</t>
  </si>
  <si>
    <t>Stevens on Stowage, p. 208-13</t>
  </si>
  <si>
    <t>Stevens on Stowage, p. 213</t>
  </si>
  <si>
    <t>Baghdad and Basrah, 1895, p. 3</t>
  </si>
  <si>
    <t>Stevens on Stowage, p. 204</t>
  </si>
  <si>
    <t>Stevens on  Stowage, p. 145, Stevens on Stowage, p. 509</t>
  </si>
  <si>
    <t>Stevens on Stowage, p. 182</t>
  </si>
  <si>
    <t>Stevens on Stowage, p. 655</t>
  </si>
  <si>
    <t>Stevens on Stowage, p. 666</t>
  </si>
  <si>
    <t>Stevens on  Stowage, p. 522, Stevens on Stowage, p. 520</t>
  </si>
  <si>
    <t>Stevens on Stowage, p. 221</t>
  </si>
  <si>
    <t>Stevens on  Stowage, p. 222, Stevens on Stowage, p. 388</t>
  </si>
  <si>
    <t>Stevens on Stowage, p. 103</t>
  </si>
  <si>
    <t>Stevens on Stowage, p. 625, 640, 647, 648, 222, Stevens on Stowage II, p. 627, Stevens on Stowage III, p. 634</t>
  </si>
  <si>
    <t>Stevens on Stowage, p. 648</t>
  </si>
  <si>
    <t>Stevens on  Stowage, p. 630, Stevens on Stowage, p. 634</t>
  </si>
  <si>
    <t>Stevens on Stowage, p. 58</t>
  </si>
  <si>
    <t>Stevens on Stowage, p. 765</t>
  </si>
  <si>
    <t>Stevens on Stowage, p. 486</t>
  </si>
  <si>
    <t>Stevens on Stowage, p. 586, Stevens on Stowage II, p. 585, Stevens on Stowage III, p. 388</t>
  </si>
  <si>
    <t>Baghdad and Bussorah, 1898, p. 5</t>
  </si>
  <si>
    <t>Stevens on Stowage, p. 586, Stevens on Stowage II, p. 585</t>
  </si>
  <si>
    <t>Stevens on Stowage, p. 571</t>
  </si>
  <si>
    <t>Stevens on Stowage, p. 572</t>
  </si>
  <si>
    <t>Ispahan and Yezd, 1905-06</t>
  </si>
  <si>
    <t>Stevens on Stowage, p. 590</t>
  </si>
  <si>
    <t>Stevens on Stowage, p. 142</t>
  </si>
  <si>
    <t>Stevens on Stowage, p. 223, Stevens on Stowage II, p. 388</t>
  </si>
  <si>
    <t>Stevens on Stowage, p. 649</t>
  </si>
  <si>
    <t>Stevens on Stowage, p. 716</t>
  </si>
  <si>
    <t>Tin, in plates and sheets</t>
  </si>
  <si>
    <t>Stevens on Stowage, p. 343</t>
  </si>
  <si>
    <t>Stevens on Stowage, p. 273</t>
  </si>
  <si>
    <t>Stevens on Stowage</t>
  </si>
  <si>
    <t>Stevens on Stowage II, p. 298</t>
  </si>
  <si>
    <t>Stevens on Stowage, p. 478 &amp; 522</t>
  </si>
  <si>
    <t>Stevens on Stowage, p. 106</t>
  </si>
  <si>
    <t>Stevens on Stowage, p. 511</t>
  </si>
  <si>
    <t>Stevens on Stowage, p. 460</t>
  </si>
  <si>
    <t>Stevens on Stowage, p. 657</t>
  </si>
  <si>
    <t>Stevens on Stowage, p. 569</t>
  </si>
  <si>
    <t>Stevens on Stowage, p. 815</t>
  </si>
  <si>
    <t>Stevens on Stowage, p. 156</t>
  </si>
  <si>
    <t>Stevens on Stowage, p. 377</t>
  </si>
  <si>
    <t>Petroleum</t>
  </si>
  <si>
    <t>Bones</t>
  </si>
  <si>
    <t xml:space="preserve">cubic inches </t>
  </si>
  <si>
    <t>Stevens on Stowage, p.788</t>
  </si>
  <si>
    <t>Garments (Egypt)</t>
  </si>
  <si>
    <t>Cotton, manufactured</t>
  </si>
  <si>
    <t xml:space="preserve">Cotton, goods </t>
  </si>
  <si>
    <t>Jaffa, 1894</t>
  </si>
  <si>
    <t>Wine and spirits</t>
  </si>
  <si>
    <t>Palestine, 1907, p. 12</t>
  </si>
  <si>
    <t>http://www.ask.com/food/many-gallons-wine-barrel-bdffa3792e43bc30; http://www.aqua-calc.com/calculate/food-volume-to-weight</t>
  </si>
  <si>
    <t>cubic metres</t>
  </si>
  <si>
    <t>1893 &amp; 1894, Jaffa</t>
  </si>
  <si>
    <t>http://www.oliveoilsource.com/page/useful-number-conversions</t>
  </si>
  <si>
    <t>http://www.aqua-calc.com/calculate/volume-to-weight</t>
  </si>
  <si>
    <t>1875, Jaffa - Turkey, Stevens on Stowage, p. 556</t>
  </si>
  <si>
    <t>Ether, petroleum</t>
  </si>
  <si>
    <t>Beans, peas or lupins</t>
  </si>
  <si>
    <t>Wheat, dura, lentils or sesame</t>
  </si>
  <si>
    <t>Beans, peas or  lupins</t>
  </si>
  <si>
    <t>denoums</t>
  </si>
  <si>
    <t>Mule or cart</t>
  </si>
  <si>
    <t>Horse or mule</t>
  </si>
  <si>
    <t>Men</t>
  </si>
  <si>
    <t>Camel</t>
  </si>
  <si>
    <t>kgs.</t>
  </si>
  <si>
    <t>donkey's load</t>
  </si>
  <si>
    <t>Bauer, Das Palastinische Arabisch, p. 256</t>
  </si>
  <si>
    <t>Palestine in Transformation, p. XII</t>
  </si>
  <si>
    <t>ratl (rottoli)</t>
  </si>
  <si>
    <t>oqqa (uqqa)</t>
  </si>
  <si>
    <t>g.</t>
  </si>
  <si>
    <t xml:space="preserve"> lbs.</t>
  </si>
  <si>
    <t>g.ram</t>
  </si>
  <si>
    <t>g.rams</t>
  </si>
  <si>
    <t>g..</t>
  </si>
  <si>
    <t>bag.</t>
  </si>
  <si>
    <t>g.allon</t>
  </si>
  <si>
    <t>g.allons</t>
  </si>
  <si>
    <t>Commodity-specific weights &amp; measurements</t>
  </si>
  <si>
    <t>Cotton-goods and shirtings, grey</t>
  </si>
  <si>
    <t>Egg</t>
  </si>
  <si>
    <t>Orange</t>
  </si>
  <si>
    <t>Radish</t>
  </si>
  <si>
    <t>Cauliflower</t>
  </si>
  <si>
    <t>Pomegranate</t>
  </si>
  <si>
    <t>Chicken</t>
  </si>
  <si>
    <t>Dove</t>
  </si>
  <si>
    <t>Garlic</t>
  </si>
  <si>
    <t>Lemon</t>
  </si>
  <si>
    <t>Watermelon</t>
  </si>
  <si>
    <t>Oranges</t>
  </si>
  <si>
    <t>Dura</t>
  </si>
  <si>
    <t>Lupins</t>
  </si>
  <si>
    <t>Religious ornaments</t>
  </si>
  <si>
    <t>Timber</t>
  </si>
  <si>
    <t>Wheat, dura, lentils or sesame (and maize)</t>
  </si>
  <si>
    <t>Olive oil</t>
  </si>
  <si>
    <t>Duru</t>
  </si>
  <si>
    <t>Olives</t>
  </si>
  <si>
    <t>Mule</t>
  </si>
  <si>
    <t>Horse</t>
  </si>
  <si>
    <t>Ox</t>
  </si>
  <si>
    <t>Donkey</t>
  </si>
  <si>
    <t>Gum (Arabia)</t>
  </si>
  <si>
    <t>Snuff (India)</t>
  </si>
  <si>
    <t>Cement (Portland)</t>
  </si>
  <si>
    <t>Wheat, large grain (Sufra)</t>
  </si>
  <si>
    <t>Wheat, small grain (Kandahar)</t>
  </si>
  <si>
    <t>Wool, raw (Karadi)</t>
  </si>
  <si>
    <t>Bam, 1912-13</t>
  </si>
  <si>
    <t>Astarabad, 1892-93</t>
  </si>
  <si>
    <t>Astarabad, 1893-94</t>
  </si>
  <si>
    <t>Beyrout, Turkey, 1883</t>
  </si>
  <si>
    <t>Beyrout, Turkey, 1875</t>
  </si>
  <si>
    <t>Damascus, 1880</t>
  </si>
  <si>
    <t>1oqqa (uqqa)</t>
  </si>
  <si>
    <t>Damascus, 1884</t>
  </si>
  <si>
    <t>Egypt, 1885- 1913</t>
  </si>
  <si>
    <t>Sultanabad, 1912-13</t>
  </si>
  <si>
    <t>Kermanshah, 1904-05</t>
  </si>
  <si>
    <t>Kerman, 1912-13</t>
  </si>
  <si>
    <t>Ispahan, 1892-93 till 1898-99</t>
  </si>
  <si>
    <t>Muscat, consular reports.</t>
  </si>
  <si>
    <t>troy ounce (t. oz.)</t>
  </si>
  <si>
    <t>1871 - Jerusalem, Turkey</t>
  </si>
  <si>
    <t>1874 - Jaffa, Turkey, p. 1761, 1875 - Jaffa, Turkey, p. 1050</t>
  </si>
  <si>
    <t>Jerusalem, 1913, p. 180</t>
  </si>
  <si>
    <t>for Gaza; Jerusalem, 1913, p. 17</t>
  </si>
  <si>
    <t>Issawi The Fertile Crescent, p. 477</t>
  </si>
  <si>
    <t>Issawi The Fertile Crescent, p. 478</t>
  </si>
  <si>
    <t>Clarke Weights, measures, and money, of all nations, 1888, p. 76</t>
  </si>
  <si>
    <t>Clarke Weights, measures, and money, of all nations, 1888, p. 81</t>
  </si>
  <si>
    <t>Clarke Weights, measures, and money, of all nations, 1888, p. 82</t>
  </si>
  <si>
    <t>Clarke Weights, measures, and money, of all nations, 1888, p. 83</t>
  </si>
  <si>
    <t>Baghdad and Basrah, 1895, p. 10</t>
  </si>
  <si>
    <t>1881 - Jaffa, Turkey</t>
  </si>
  <si>
    <t>Baghdad, 1904, p.5</t>
  </si>
  <si>
    <t>Baghdad and Bussorah, 1898, p. 5; 1886 - Baghdad, Turkey, report for the year 1885, p. 110</t>
  </si>
  <si>
    <t>Baghdad, 1905, p.6</t>
  </si>
  <si>
    <t>Baghdad, 1901, p.4, Baghdad, 1908, p. 18</t>
  </si>
  <si>
    <t>1875 &amp; 1876 - Jaffa, Turkey</t>
  </si>
  <si>
    <t>1867 - Baghdad, Turkey, p. 274, table (965 bales = 24,125 oke)</t>
  </si>
  <si>
    <t>1886 - Baghdad, Turkey, report for the year 1885, p. 110, Baghdad and Basrah, 1897, p. 5, Baghdad and Bussorah, 1898, p. 5</t>
  </si>
  <si>
    <t>1886 - Baghdad, Turkey, report for the year 1885, p. 110, Baghdad and Basrah, 1897, p. 5,</t>
  </si>
  <si>
    <t>1867 - Baghdad, Turkey, p. 269</t>
  </si>
  <si>
    <t>Baghdad and Bussorah, 1898, p. 5Baghdad and Basrah, 1895, p. 10Baghdad and Basrah, 1897, p. 5</t>
  </si>
  <si>
    <t>Baghdad, 1899, p.4</t>
  </si>
  <si>
    <t>Baghdad, 1903, p.5</t>
  </si>
  <si>
    <t>Baghdad and Bussorah, 1898, p. 5, Baghdad and Basrah, 1897, p. 5</t>
  </si>
  <si>
    <t>1874 - Jaffa, Turkey, p. 1762</t>
  </si>
  <si>
    <t>Baghdad, 1909, p.7</t>
  </si>
  <si>
    <t xml:space="preserve">Baghdad and Bussorah, 1898, p. 5, Baghdad and Basrah, 1895, p. 10, </t>
  </si>
  <si>
    <t>Baghdad and Basrah 1897 Finance, p. 5 , 1886 - Baghdad, Turkey, report for the year 1885, p. 110</t>
  </si>
  <si>
    <t>Baghdad and Basrah, 1895, p. 3 ,Baghdad and Basrah, 1896, p.3</t>
  </si>
  <si>
    <t>1879 - Jaffa, Turkey; p. 1015,</t>
  </si>
  <si>
    <t>Stevens on Stowage, p. 173, 1884 - Busreh, Turkey.</t>
  </si>
  <si>
    <t>Baghdad, 1908, p. 18</t>
  </si>
  <si>
    <t>Baghdad, 1908, p.4</t>
  </si>
  <si>
    <t>Baghdad, 1908, p.4, Baghdad, 1905, p.5</t>
  </si>
  <si>
    <t>Baghdad and Bussorah, 1898, p. 5Baghdad and Basrah, 1897, p. 5</t>
  </si>
  <si>
    <t>1874 - Jaffa, Turkey, p. 1761</t>
  </si>
  <si>
    <t>1875 - Jaffa, Turkey, p. 1050</t>
  </si>
  <si>
    <t>Ossawi Turkey, p. 177</t>
  </si>
  <si>
    <t>Schölch Palestine in Transformation, 1993; p. 101</t>
  </si>
  <si>
    <t>Jerusalem, 1913, p. 17</t>
  </si>
  <si>
    <t xml:space="preserve">liters </t>
  </si>
  <si>
    <t>elle der bauleute</t>
  </si>
  <si>
    <t>qintar (cantar, quintal); in damascus</t>
  </si>
  <si>
    <t>box/dubba</t>
  </si>
  <si>
    <t>man (tabriz)</t>
  </si>
  <si>
    <t>box/dubba/tin</t>
  </si>
  <si>
    <t>Muscat; consular reports.</t>
  </si>
  <si>
    <t>Consular reports.</t>
  </si>
  <si>
    <t>1886 - Baghdad, Turkey, report for the year 1885, p. 110, Baghdad and Bussorah, 1898, p. 5, Baghdad and Basrah, 1897, p. 5, Baghdad and Basrah 1897 Finance, p. 5</t>
  </si>
  <si>
    <t>Converted from similar goods</t>
  </si>
  <si>
    <t>Converted from similar reports</t>
  </si>
  <si>
    <t>imp. quarters</t>
  </si>
  <si>
    <t>Baghdad and Basrah, 1896, p. 4, Baghdad, 1901, p. 5, Baghdad, 1904, p. 5</t>
  </si>
  <si>
    <t>Consular reports; Alexandretta to Aleppo</t>
  </si>
  <si>
    <t>Alexander Scholch, Palestine in Transformation 1856 - 1882, Institute for Palestine Studies, 1993.</t>
  </si>
  <si>
    <t>Charles Issawi, The Fertile Crescent 1800 - 1914, Oxford University Press, 1988.</t>
  </si>
  <si>
    <t>Leonhard Bauer, Das Palastinische Arabisch, Hinrich'sche Buchhandlung, 1913.</t>
  </si>
  <si>
    <t>Frank Wigglesworth Clarke, Weights, Measures, and Money, of all Nations, D. Appleton &amp; Company, 1891.</t>
  </si>
  <si>
    <t>1874-75</t>
  </si>
  <si>
    <t>gold piastres</t>
  </si>
  <si>
    <t>francs</t>
  </si>
  <si>
    <t>francs.</t>
  </si>
  <si>
    <t>piastres</t>
  </si>
  <si>
    <t>Bahrain - Imports; Consular reports</t>
  </si>
  <si>
    <t>Resht - Bazaar (Local) Prices; Consular reports</t>
  </si>
  <si>
    <t>Ghilan &amp; Tunekabun - Bazaar (Local) Prices; Consular reports</t>
  </si>
  <si>
    <t>Ispahan - Bazaar (Local) Prices; Consular reports</t>
  </si>
  <si>
    <t>Yezd - Exports Prices; Consular reports</t>
  </si>
  <si>
    <t>Bam - Imports; Consular reports</t>
  </si>
  <si>
    <t>Kerman - Bazaar (Local) Prices; Consular reports</t>
  </si>
  <si>
    <t>Kerman - Exports Prices; Consular reports</t>
  </si>
  <si>
    <t>Kermanshah - Imports; Consular reports</t>
  </si>
  <si>
    <t>Kermanshah - Bazaar (Local) ; Consular reports</t>
  </si>
  <si>
    <t>Beirut - Imports Prices; Consular reports</t>
  </si>
  <si>
    <t>Constantinople - Exports; Consular reports</t>
  </si>
  <si>
    <t>Constantinople - Imports Prices; Consular reports</t>
  </si>
  <si>
    <t>Constantinople - Exports Prices; Consular reports</t>
  </si>
  <si>
    <t>Constantinople - Bazaar (Local) Prices; Consular reports</t>
  </si>
  <si>
    <t>Turkey - Imports; Consular reports</t>
  </si>
  <si>
    <t>Sterling to Krans, Piastres, Francs, Lira and other currencies across various regions</t>
  </si>
  <si>
    <r>
      <t xml:space="preserve">The spreadsheet shows the </t>
    </r>
    <r>
      <rPr>
        <b/>
        <i/>
        <sz val="10"/>
        <rFont val="Arial"/>
        <family val="2"/>
      </rPr>
      <t>weights and measurements</t>
    </r>
    <r>
      <rPr>
        <sz val="10"/>
        <rFont val="Arial"/>
        <family val="2"/>
      </rPr>
      <t xml:space="preserve"> used for converting </t>
    </r>
    <r>
      <rPr>
        <b/>
        <i/>
        <sz val="10"/>
        <rFont val="Arial"/>
        <family val="2"/>
      </rPr>
      <t>imports, exports</t>
    </r>
    <r>
      <rPr>
        <i/>
        <sz val="10"/>
        <rFont val="Arial"/>
        <family val="2"/>
      </rPr>
      <t xml:space="preserve"> and </t>
    </r>
    <r>
      <rPr>
        <b/>
        <i/>
        <sz val="10"/>
        <rFont val="Arial"/>
        <family val="2"/>
      </rPr>
      <t xml:space="preserve">currencies </t>
    </r>
    <r>
      <rPr>
        <sz val="10"/>
        <rFont val="Arial"/>
        <family val="2"/>
      </rPr>
      <t xml:space="preserve">in leading </t>
    </r>
    <r>
      <rPr>
        <b/>
        <i/>
        <sz val="10"/>
        <rFont val="Arial"/>
        <family val="2"/>
      </rPr>
      <t>cities</t>
    </r>
    <r>
      <rPr>
        <sz val="10"/>
        <rFont val="Arial"/>
        <family val="2"/>
      </rPr>
      <t xml:space="preserve"> in the </t>
    </r>
    <r>
      <rPr>
        <b/>
        <i/>
        <sz val="10"/>
        <rFont val="Arial"/>
        <family val="2"/>
      </rPr>
      <t>middle east</t>
    </r>
    <r>
      <rPr>
        <sz val="10"/>
        <rFont val="Arial"/>
        <family val="2"/>
      </rPr>
      <t xml:space="preserve">. </t>
    </r>
  </si>
  <si>
    <t>1886 - Baghdad, Turkey, report for the year 1885, p. 110, Baghdad and Basrah 1897 Finance, p. 5, Baghdad and Basrah, 1895, p. 10</t>
  </si>
  <si>
    <t>1886 - Baghdad, Turkey, report for the year 1885, p. 110, Baghdad and Basrah, 1895, p. 10</t>
  </si>
  <si>
    <t>cases</t>
  </si>
  <si>
    <t>stone</t>
  </si>
  <si>
    <t>United States. National Bureau of Standards (1959). Research Highlights of the National Bureau of Standards. U.S. Department of Commerce, National Bureau of Standards. p. 13.</t>
  </si>
  <si>
    <t>Converted from similar goods; Izmir (Smyrna).</t>
  </si>
  <si>
    <t>1908-09</t>
  </si>
  <si>
    <t>Constantinople, 1908, Consular reports</t>
  </si>
  <si>
    <t>Constantinople, 1894, Consular reports</t>
  </si>
  <si>
    <t>Stevens on Stowage, p. 204, Consular reports</t>
  </si>
  <si>
    <t>Units of Weights &amp; Measures</t>
  </si>
  <si>
    <t>Units of Money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</si>
</sst>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9"/>
      <color indexed="81"/>
      <name val="Tahoma"/>
      <family val="2"/>
    </font>
    <font>
      <sz val="9"/>
      <color indexed="81"/>
      <name val="Tahoma"/>
      <family val="2"/>
    </font>
    <font>
      <sz val="11"/>
      <name val="Calibri"/>
      <family val="2"/>
    </font>
    <font>
      <sz val="11"/>
      <name val="Calibri"/>
      <family val="2"/>
      <charset val="204"/>
    </font>
    <font>
      <sz val="11"/>
      <color theme="1"/>
      <name val="Calibri"/>
      <family val="2"/>
    </font>
    <font>
      <sz val="11"/>
      <color theme="0"/>
      <name val="Calibri"/>
      <family val="2"/>
      <scheme val="minor"/>
    </font>
    <font>
      <b/>
      <sz val="12"/>
      <color theme="1"/>
      <name val="Calibri"/>
      <family val="2"/>
      <scheme val="minor"/>
    </font>
    <font>
      <b/>
      <i/>
      <sz val="11"/>
      <color theme="1"/>
      <name val="Calibri"/>
      <family val="2"/>
      <scheme val="minor"/>
    </font>
    <font>
      <i/>
      <sz val="11"/>
      <name val="Calibri"/>
      <family val="2"/>
      <scheme val="minor"/>
    </font>
    <font>
      <i/>
      <sz val="11"/>
      <color theme="1"/>
      <name val="Calibri"/>
      <family val="2"/>
    </font>
    <font>
      <sz val="10"/>
      <name val="Arial"/>
      <family val="2"/>
    </font>
    <font>
      <sz val="10"/>
      <name val="Arial"/>
      <family val="2"/>
    </font>
    <font>
      <sz val="11"/>
      <color rgb="FF000000"/>
      <name val="Calibri"/>
      <family val="2"/>
    </font>
    <font>
      <sz val="10"/>
      <name val="Courier"/>
    </font>
    <font>
      <b/>
      <i/>
      <sz val="10"/>
      <name val="Arial"/>
      <family val="2"/>
    </font>
    <font>
      <i/>
      <sz val="1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8" fillId="0" borderId="0">
      <alignment vertical="top"/>
    </xf>
    <xf numFmtId="0" fontId="7" fillId="0" borderId="0">
      <alignment vertical="top"/>
    </xf>
    <xf numFmtId="0" fontId="15" fillId="0" borderId="0">
      <alignment vertical="top"/>
    </xf>
    <xf numFmtId="0" fontId="17" fillId="0" borderId="0"/>
    <xf numFmtId="0" fontId="18" fillId="0" borderId="0">
      <alignment vertical="top"/>
    </xf>
    <xf numFmtId="0" fontId="16" fillId="0" borderId="0">
      <alignment vertical="top"/>
    </xf>
  </cellStyleXfs>
  <cellXfs count="220">
    <xf numFmtId="0" fontId="0" fillId="0" borderId="0" xfId="0"/>
    <xf numFmtId="0" fontId="0" fillId="0" borderId="0" xfId="0" applyFont="1" applyFill="1"/>
    <xf numFmtId="0" fontId="4" fillId="0" borderId="0" xfId="0" applyFont="1"/>
    <xf numFmtId="0" fontId="0" fillId="0" borderId="0" xfId="0" applyFont="1" applyFill="1" applyBorder="1"/>
    <xf numFmtId="0" fontId="0" fillId="0" borderId="0" xfId="0" applyBorder="1"/>
    <xf numFmtId="0" fontId="0" fillId="0" borderId="0" xfId="0" applyFont="1" applyFill="1" applyAlignment="1">
      <alignment horizontal="left"/>
    </xf>
    <xf numFmtId="0" fontId="1" fillId="0" borderId="0" xfId="0" applyFont="1" applyBorder="1" applyAlignment="1">
      <alignment horizontal="left"/>
    </xf>
    <xf numFmtId="0" fontId="1" fillId="0" borderId="0" xfId="0" applyFont="1" applyBorder="1"/>
    <xf numFmtId="0" fontId="1" fillId="0" borderId="0" xfId="0" applyFont="1" applyFill="1" applyBorder="1" applyAlignment="1">
      <alignment vertical="center"/>
    </xf>
    <xf numFmtId="0" fontId="1" fillId="0" borderId="0" xfId="0" applyFont="1" applyFill="1" applyBorder="1" applyAlignment="1"/>
    <xf numFmtId="0" fontId="0" fillId="0" borderId="0" xfId="0" applyFont="1" applyFill="1" applyBorder="1" applyAlignment="1"/>
    <xf numFmtId="0" fontId="1" fillId="0" borderId="0" xfId="0" applyFont="1" applyFill="1" applyBorder="1"/>
    <xf numFmtId="0" fontId="0" fillId="0" borderId="0" xfId="0" applyFont="1" applyBorder="1"/>
    <xf numFmtId="0" fontId="0" fillId="0" borderId="0" xfId="0" applyFont="1" applyAlignment="1">
      <alignment horizontal="left"/>
    </xf>
    <xf numFmtId="0" fontId="0" fillId="0" borderId="1" xfId="0" applyFont="1" applyFill="1" applyBorder="1" applyAlignment="1">
      <alignment horizontal="left" wrapText="1"/>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0" xfId="0" applyFont="1" applyFill="1" applyAlignment="1">
      <alignment horizontal="left" wrapText="1"/>
    </xf>
    <xf numFmtId="0" fontId="0" fillId="0" borderId="6" xfId="0" applyFont="1" applyBorder="1"/>
    <xf numFmtId="0" fontId="2" fillId="0" borderId="0" xfId="0" applyFont="1"/>
    <xf numFmtId="0" fontId="4" fillId="0" borderId="0" xfId="0" applyFont="1" applyBorder="1"/>
    <xf numFmtId="0" fontId="0" fillId="0" borderId="0" xfId="0" applyAlignment="1"/>
    <xf numFmtId="0" fontId="0" fillId="0" borderId="1" xfId="0" applyBorder="1"/>
    <xf numFmtId="0" fontId="0" fillId="0" borderId="0" xfId="0" applyAlignment="1">
      <alignment wrapText="1"/>
    </xf>
    <xf numFmtId="0" fontId="0" fillId="4" borderId="0" xfId="0" applyFill="1"/>
    <xf numFmtId="0" fontId="0" fillId="0" borderId="0" xfId="0" applyAlignment="1">
      <alignment horizontal="right"/>
    </xf>
    <xf numFmtId="0" fontId="0" fillId="0" borderId="0" xfId="0" applyAlignment="1">
      <alignment horizontal="center"/>
    </xf>
    <xf numFmtId="0" fontId="0" fillId="0" borderId="0" xfId="0" applyFill="1" applyBorder="1" applyAlignment="1"/>
    <xf numFmtId="0" fontId="0" fillId="0" borderId="7" xfId="0" applyBorder="1" applyAlignment="1">
      <alignment horizontal="center" wrapText="1"/>
    </xf>
    <xf numFmtId="0" fontId="3" fillId="0" borderId="0" xfId="0" applyFont="1" applyAlignment="1">
      <alignment horizontal="right"/>
    </xf>
    <xf numFmtId="0" fontId="0" fillId="0" borderId="0" xfId="0" quotePrefix="1" applyAlignment="1">
      <alignment horizontal="right"/>
    </xf>
    <xf numFmtId="0" fontId="0" fillId="0" borderId="0" xfId="0" applyBorder="1" applyAlignment="1">
      <alignment wrapText="1"/>
    </xf>
    <xf numFmtId="0" fontId="2" fillId="0" borderId="0" xfId="0" applyFont="1" applyAlignment="1">
      <alignment horizontal="right"/>
    </xf>
    <xf numFmtId="0" fontId="4" fillId="0" borderId="0" xfId="0" applyFont="1" applyFill="1" applyBorder="1" applyAlignment="1"/>
    <xf numFmtId="0" fontId="3" fillId="0" borderId="0" xfId="0" applyFont="1" applyFill="1" applyBorder="1" applyAlignment="1"/>
    <xf numFmtId="0" fontId="9" fillId="0" borderId="0" xfId="0" applyFont="1" applyFill="1" applyBorder="1" applyAlignment="1"/>
    <xf numFmtId="0" fontId="15" fillId="0" borderId="0" xfId="4" applyAlignment="1"/>
    <xf numFmtId="0" fontId="0" fillId="0" borderId="0" xfId="0" applyFill="1" applyBorder="1" applyAlignment="1">
      <alignment horizontal="right"/>
    </xf>
    <xf numFmtId="3" fontId="3" fillId="0" borderId="0" xfId="0" applyNumberFormat="1" applyFont="1" applyFill="1" applyBorder="1"/>
    <xf numFmtId="4" fontId="0" fillId="0" borderId="0" xfId="0" applyNumberFormat="1" applyFill="1" applyBorder="1"/>
    <xf numFmtId="0" fontId="3" fillId="0" borderId="0" xfId="0" applyFont="1" applyBorder="1"/>
    <xf numFmtId="2" fontId="0" fillId="0" borderId="0" xfId="0" applyNumberFormat="1" applyBorder="1"/>
    <xf numFmtId="0" fontId="3" fillId="0" borderId="0" xfId="0" applyFont="1" applyFill="1" applyBorder="1"/>
    <xf numFmtId="0" fontId="3" fillId="0" borderId="0" xfId="0" applyFont="1" applyBorder="1" applyAlignment="1"/>
    <xf numFmtId="2" fontId="1" fillId="0" borderId="0" xfId="0" applyNumberFormat="1" applyFont="1" applyBorder="1" applyAlignment="1"/>
    <xf numFmtId="2" fontId="1" fillId="0" borderId="0" xfId="0" applyNumberFormat="1" applyFont="1" applyFill="1" applyBorder="1" applyAlignment="1"/>
    <xf numFmtId="4" fontId="1" fillId="0" borderId="0" xfId="0" applyNumberFormat="1" applyFont="1" applyFill="1" applyBorder="1" applyAlignment="1"/>
    <xf numFmtId="0" fontId="0" fillId="0" borderId="0" xfId="0" applyFont="1" applyBorder="1" applyAlignment="1"/>
    <xf numFmtId="0" fontId="4" fillId="0" borderId="0" xfId="0" applyFont="1" applyBorder="1" applyAlignment="1"/>
    <xf numFmtId="165" fontId="3" fillId="0" borderId="0" xfId="1" applyNumberFormat="1" applyFont="1" applyBorder="1" applyAlignment="1"/>
    <xf numFmtId="3" fontId="4" fillId="0" borderId="0" xfId="1" applyNumberFormat="1" applyFont="1" applyBorder="1" applyAlignment="1"/>
    <xf numFmtId="0" fontId="4" fillId="0" borderId="0" xfId="3" applyFont="1" applyBorder="1" applyAlignment="1"/>
    <xf numFmtId="0" fontId="3" fillId="0" borderId="0" xfId="3" applyFont="1" applyBorder="1" applyAlignment="1"/>
    <xf numFmtId="0" fontId="13" fillId="0" borderId="0" xfId="3" applyFont="1" applyBorder="1" applyAlignment="1"/>
    <xf numFmtId="165" fontId="13" fillId="0" borderId="0" xfId="1" applyNumberFormat="1" applyFont="1" applyBorder="1" applyAlignment="1"/>
    <xf numFmtId="0" fontId="8" fillId="0" borderId="0" xfId="0" applyFont="1" applyBorder="1" applyAlignment="1"/>
    <xf numFmtId="0" fontId="14" fillId="0" borderId="0" xfId="0" applyFont="1" applyBorder="1" applyAlignment="1"/>
    <xf numFmtId="0" fontId="14" fillId="0" borderId="0" xfId="0" applyFont="1" applyFill="1" applyBorder="1" applyAlignment="1"/>
    <xf numFmtId="4" fontId="9" fillId="0" borderId="0" xfId="0" applyNumberFormat="1" applyFont="1" applyFill="1" applyBorder="1" applyAlignment="1"/>
    <xf numFmtId="0" fontId="7" fillId="0" borderId="0" xfId="0" applyFont="1" applyBorder="1" applyAlignment="1"/>
    <xf numFmtId="0" fontId="16" fillId="0" borderId="0" xfId="4" applyFont="1" applyAlignment="1"/>
    <xf numFmtId="0" fontId="20" fillId="0" borderId="0" xfId="4" applyFont="1" applyAlignment="1"/>
    <xf numFmtId="0" fontId="0" fillId="0" borderId="0" xfId="0"/>
    <xf numFmtId="0" fontId="3" fillId="0" borderId="0" xfId="0" applyFont="1"/>
    <xf numFmtId="0" fontId="0" fillId="0" borderId="0" xfId="0" applyFont="1"/>
    <xf numFmtId="0" fontId="0" fillId="0" borderId="0" xfId="0" applyFill="1" applyBorder="1"/>
    <xf numFmtId="0" fontId="16" fillId="0" borderId="0" xfId="7" applyAlignment="1"/>
    <xf numFmtId="0" fontId="0" fillId="0" borderId="0" xfId="0" applyFill="1" applyBorder="1" applyAlignment="1">
      <alignment vertical="center"/>
    </xf>
    <xf numFmtId="3" fontId="3" fillId="0" borderId="0" xfId="0" applyNumberFormat="1" applyFont="1" applyFill="1" applyBorder="1" applyAlignment="1">
      <alignment vertical="center" wrapText="1"/>
    </xf>
    <xf numFmtId="0" fontId="0" fillId="0" borderId="0" xfId="0" applyBorder="1" applyAlignment="1">
      <alignment vertical="center"/>
    </xf>
    <xf numFmtId="0" fontId="9" fillId="0" borderId="0" xfId="0" applyFont="1" applyFill="1" applyBorder="1" applyAlignment="1">
      <alignment vertical="center"/>
    </xf>
    <xf numFmtId="0" fontId="1" fillId="0" borderId="0" xfId="0" applyFont="1" applyFill="1" applyBorder="1" applyAlignment="1">
      <alignment horizontal="left" vertical="center"/>
    </xf>
    <xf numFmtId="43" fontId="0" fillId="0" borderId="0" xfId="1" applyNumberFormat="1" applyFont="1" applyBorder="1"/>
    <xf numFmtId="43" fontId="0" fillId="0" borderId="0" xfId="1" applyNumberFormat="1" applyFont="1" applyFill="1" applyBorder="1"/>
    <xf numFmtId="43" fontId="1" fillId="0" borderId="0" xfId="1" applyNumberFormat="1" applyFont="1" applyFill="1" applyBorder="1" applyAlignment="1"/>
    <xf numFmtId="43" fontId="9" fillId="0" borderId="0" xfId="1" applyNumberFormat="1" applyFont="1" applyFill="1" applyBorder="1" applyAlignment="1"/>
    <xf numFmtId="43" fontId="1" fillId="0" borderId="0" xfId="1" applyNumberFormat="1" applyFont="1" applyFill="1" applyBorder="1" applyAlignment="1">
      <alignment horizontal="left"/>
    </xf>
    <xf numFmtId="43" fontId="1" fillId="0" borderId="0" xfId="1" applyNumberFormat="1" applyFont="1" applyBorder="1" applyAlignment="1"/>
    <xf numFmtId="43" fontId="0" fillId="0" borderId="0" xfId="1" applyNumberFormat="1" applyFont="1" applyFill="1" applyBorder="1" applyAlignment="1">
      <alignment horizontal="left"/>
    </xf>
    <xf numFmtId="43" fontId="1" fillId="0" borderId="0" xfId="1" applyNumberFormat="1" applyFont="1" applyBorder="1"/>
    <xf numFmtId="43" fontId="9" fillId="0" borderId="0" xfId="1" applyNumberFormat="1" applyFont="1" applyBorder="1" applyAlignment="1"/>
    <xf numFmtId="0" fontId="0" fillId="0" borderId="0" xfId="0" applyFont="1" applyFill="1" applyBorder="1" applyAlignment="1">
      <alignment horizontal="left" vertical="center"/>
    </xf>
    <xf numFmtId="0" fontId="0" fillId="0" borderId="0" xfId="0" applyBorder="1" applyAlignment="1">
      <alignment horizontal="left" vertical="center"/>
    </xf>
    <xf numFmtId="0" fontId="0" fillId="0" borderId="0" xfId="0" applyFont="1" applyFill="1" applyBorder="1" applyAlignment="1">
      <alignment vertical="center"/>
    </xf>
    <xf numFmtId="0" fontId="0" fillId="0" borderId="0" xfId="0" applyFill="1" applyBorder="1" applyAlignment="1">
      <alignment horizontal="left" vertical="center"/>
    </xf>
    <xf numFmtId="0" fontId="7" fillId="0" borderId="0" xfId="0" applyNumberFormat="1" applyFont="1" applyFill="1" applyBorder="1" applyAlignment="1" applyProtection="1">
      <alignment vertical="top"/>
    </xf>
    <xf numFmtId="0" fontId="0" fillId="0" borderId="0" xfId="0" applyFill="1" applyAlignment="1"/>
    <xf numFmtId="4" fontId="0" fillId="0" borderId="0" xfId="1" applyNumberFormat="1" applyFont="1" applyAlignment="1"/>
    <xf numFmtId="0" fontId="12" fillId="0" borderId="0" xfId="0" applyFont="1" applyBorder="1"/>
    <xf numFmtId="0" fontId="20" fillId="0" borderId="0" xfId="0" applyFont="1" applyBorder="1" applyAlignment="1"/>
    <xf numFmtId="0" fontId="0" fillId="0" borderId="0" xfId="0" applyBorder="1" applyAlignment="1"/>
    <xf numFmtId="0" fontId="0" fillId="0" borderId="0" xfId="1" applyNumberFormat="1" applyFont="1" applyBorder="1" applyAlignment="1"/>
    <xf numFmtId="2" fontId="0" fillId="0" borderId="0" xfId="0" applyNumberFormat="1" applyBorder="1" applyAlignment="1"/>
    <xf numFmtId="4" fontId="0" fillId="0" borderId="0" xfId="1" applyNumberFormat="1" applyFont="1" applyBorder="1" applyAlignment="1"/>
    <xf numFmtId="4" fontId="3" fillId="0" borderId="0" xfId="0" applyNumberFormat="1" applyFont="1" applyBorder="1"/>
    <xf numFmtId="4" fontId="0" fillId="0" borderId="0" xfId="0" applyNumberFormat="1" applyBorder="1"/>
    <xf numFmtId="4" fontId="0" fillId="0" borderId="0" xfId="0" applyNumberFormat="1" applyBorder="1" applyAlignment="1"/>
    <xf numFmtId="4" fontId="1" fillId="0" borderId="0" xfId="0" applyNumberFormat="1" applyFont="1" applyBorder="1"/>
    <xf numFmtId="4" fontId="4" fillId="0" borderId="0" xfId="0" applyNumberFormat="1" applyFont="1" applyFill="1" applyBorder="1" applyAlignment="1"/>
    <xf numFmtId="0" fontId="2" fillId="0" borderId="0" xfId="0" applyFont="1" applyAlignment="1">
      <alignment horizontal="left"/>
    </xf>
    <xf numFmtId="0" fontId="0" fillId="0" borderId="1" xfId="0" applyFont="1" applyFill="1" applyBorder="1" applyAlignment="1">
      <alignment wrapText="1"/>
    </xf>
    <xf numFmtId="0" fontId="0" fillId="0" borderId="1" xfId="0" applyFont="1" applyFill="1" applyBorder="1" applyAlignment="1"/>
    <xf numFmtId="0" fontId="3" fillId="0" borderId="0" xfId="0" applyFont="1" applyAlignment="1">
      <alignment horizontal="left"/>
    </xf>
    <xf numFmtId="0" fontId="0" fillId="0" borderId="1" xfId="0" applyBorder="1" applyAlignment="1">
      <alignment wrapText="1"/>
    </xf>
    <xf numFmtId="43" fontId="3" fillId="0" borderId="0" xfId="1" applyNumberFormat="1" applyFont="1" applyBorder="1"/>
    <xf numFmtId="164" fontId="0" fillId="0" borderId="0" xfId="1" applyNumberFormat="1" applyFont="1" applyBorder="1"/>
    <xf numFmtId="43" fontId="0" fillId="0" borderId="0" xfId="1" applyFont="1"/>
    <xf numFmtId="43" fontId="0" fillId="0" borderId="0" xfId="1" applyFont="1" applyFill="1" applyBorder="1"/>
    <xf numFmtId="43" fontId="0" fillId="0" borderId="0" xfId="1" applyFont="1" applyBorder="1"/>
    <xf numFmtId="43" fontId="1" fillId="0" borderId="0" xfId="1" applyFont="1" applyBorder="1" applyAlignment="1"/>
    <xf numFmtId="43" fontId="9" fillId="0" borderId="0" xfId="1" applyFont="1" applyBorder="1" applyAlignment="1"/>
    <xf numFmtId="43" fontId="0" fillId="0" borderId="0" xfId="1" applyFont="1" applyFill="1" applyBorder="1" applyAlignment="1">
      <alignment vertical="center"/>
    </xf>
    <xf numFmtId="43" fontId="3" fillId="0" borderId="0" xfId="1" applyFont="1" applyFill="1" applyBorder="1"/>
    <xf numFmtId="43" fontId="1" fillId="0" borderId="0" xfId="1" applyFont="1" applyFill="1" applyBorder="1" applyAlignment="1"/>
    <xf numFmtId="43" fontId="9" fillId="0" borderId="0" xfId="1" applyFont="1" applyFill="1" applyBorder="1" applyAlignment="1"/>
    <xf numFmtId="43" fontId="1" fillId="0" borderId="0" xfId="1" applyFont="1" applyBorder="1"/>
    <xf numFmtId="20" fontId="0" fillId="0" borderId="0" xfId="0" applyNumberFormat="1" applyBorder="1"/>
    <xf numFmtId="0" fontId="2" fillId="0" borderId="0" xfId="0" applyFont="1" applyBorder="1"/>
    <xf numFmtId="0" fontId="2" fillId="0" borderId="0" xfId="0" applyFont="1" applyBorder="1" applyAlignment="1"/>
    <xf numFmtId="0" fontId="0" fillId="0" borderId="0" xfId="0" quotePrefix="1" applyBorder="1"/>
    <xf numFmtId="0" fontId="16" fillId="0" borderId="0" xfId="7" applyFont="1" applyAlignment="1">
      <alignment horizontal="left"/>
    </xf>
    <xf numFmtId="43" fontId="1" fillId="0" borderId="0" xfId="1" applyFont="1" applyFill="1" applyBorder="1" applyAlignment="1">
      <alignment horizontal="left"/>
    </xf>
    <xf numFmtId="43" fontId="0" fillId="0" borderId="0" xfId="1" applyFont="1" applyFill="1" applyBorder="1" applyAlignment="1">
      <alignment horizontal="left"/>
    </xf>
    <xf numFmtId="43" fontId="3" fillId="0" borderId="0" xfId="1" applyFont="1" applyFill="1" applyBorder="1" applyAlignment="1">
      <alignment horizontal="left"/>
    </xf>
    <xf numFmtId="43" fontId="3" fillId="0" borderId="0" xfId="1" applyFont="1" applyBorder="1"/>
    <xf numFmtId="43" fontId="14" fillId="0" borderId="0" xfId="1" applyNumberFormat="1" applyFont="1" applyBorder="1" applyAlignment="1"/>
    <xf numFmtId="43" fontId="0" fillId="0" borderId="0" xfId="1" applyNumberFormat="1" applyFont="1" applyBorder="1" applyAlignment="1"/>
    <xf numFmtId="43" fontId="3" fillId="0" borderId="0" xfId="1" applyNumberFormat="1" applyFont="1" applyFill="1" applyBorder="1" applyAlignment="1">
      <alignment horizontal="left"/>
    </xf>
    <xf numFmtId="43" fontId="3" fillId="0" borderId="0" xfId="1" applyNumberFormat="1" applyFont="1" applyBorder="1" applyAlignment="1"/>
    <xf numFmtId="43" fontId="8" fillId="0" borderId="0" xfId="1" applyFont="1" applyFill="1" applyBorder="1" applyAlignment="1" applyProtection="1">
      <alignment horizontal="right" vertical="top"/>
    </xf>
    <xf numFmtId="43" fontId="3" fillId="0" borderId="0" xfId="1" applyNumberFormat="1" applyFont="1" applyFill="1" applyBorder="1" applyAlignment="1"/>
    <xf numFmtId="43" fontId="8" fillId="0" borderId="0" xfId="1" applyNumberFormat="1" applyFont="1" applyFill="1" applyBorder="1" applyAlignment="1" applyProtection="1">
      <alignment horizontal="right" vertical="top"/>
    </xf>
    <xf numFmtId="43" fontId="1" fillId="0" borderId="0" xfId="1" applyFont="1" applyFill="1" applyBorder="1" applyAlignment="1">
      <alignment horizontal="right" vertical="center"/>
    </xf>
    <xf numFmtId="43" fontId="0" fillId="0" borderId="0" xfId="1" applyFont="1" applyFill="1" applyBorder="1" applyAlignment="1"/>
    <xf numFmtId="43" fontId="10" fillId="0" borderId="0" xfId="1" applyFont="1" applyFill="1" applyBorder="1"/>
    <xf numFmtId="43" fontId="2" fillId="0" borderId="0" xfId="1" applyFont="1" applyBorder="1"/>
    <xf numFmtId="43" fontId="2" fillId="0" borderId="0" xfId="1" applyFont="1" applyBorder="1" applyAlignment="1"/>
    <xf numFmtId="43" fontId="0" fillId="0" borderId="0" xfId="1" applyFont="1" applyFill="1" applyBorder="1" applyAlignment="1">
      <alignment horizontal="right"/>
    </xf>
    <xf numFmtId="43" fontId="1" fillId="0" borderId="0" xfId="1" applyFont="1" applyFill="1" applyBorder="1" applyAlignment="1">
      <alignment horizontal="center"/>
    </xf>
    <xf numFmtId="43" fontId="0" fillId="0" borderId="0" xfId="1" applyFont="1" applyFill="1"/>
    <xf numFmtId="43" fontId="0" fillId="0" borderId="8" xfId="1" applyFont="1" applyFill="1" applyBorder="1"/>
    <xf numFmtId="43" fontId="0" fillId="0" borderId="9" xfId="1" applyFont="1" applyFill="1" applyBorder="1"/>
    <xf numFmtId="43" fontId="0" fillId="0" borderId="11" xfId="1" applyFont="1" applyFill="1" applyBorder="1"/>
    <xf numFmtId="43" fontId="0" fillId="0" borderId="12" xfId="1" applyFont="1" applyFill="1" applyBorder="1"/>
    <xf numFmtId="43" fontId="0" fillId="0" borderId="11" xfId="1" applyFont="1" applyFill="1" applyBorder="1" applyAlignment="1">
      <alignment horizontal="left"/>
    </xf>
    <xf numFmtId="43" fontId="0" fillId="0" borderId="12" xfId="1" applyFont="1" applyBorder="1"/>
    <xf numFmtId="43" fontId="0" fillId="0" borderId="11" xfId="1" applyFont="1" applyBorder="1"/>
    <xf numFmtId="43" fontId="0" fillId="2" borderId="0" xfId="1" applyFont="1" applyFill="1" applyBorder="1"/>
    <xf numFmtId="43" fontId="10" fillId="0" borderId="0" xfId="1" applyFont="1" applyFill="1"/>
    <xf numFmtId="43" fontId="0" fillId="2" borderId="0" xfId="1" applyFont="1" applyFill="1"/>
    <xf numFmtId="43" fontId="0" fillId="3" borderId="0" xfId="1" applyFont="1" applyFill="1"/>
    <xf numFmtId="43" fontId="0" fillId="0" borderId="11" xfId="1" applyFont="1" applyBorder="1" applyAlignment="1">
      <alignment horizontal="left"/>
    </xf>
    <xf numFmtId="43" fontId="0" fillId="4" borderId="11" xfId="1" applyFont="1" applyFill="1" applyBorder="1"/>
    <xf numFmtId="43" fontId="0" fillId="5" borderId="0" xfId="1" applyFont="1" applyFill="1" applyBorder="1"/>
    <xf numFmtId="43" fontId="0" fillId="0" borderId="6" xfId="1" applyFont="1" applyFill="1" applyBorder="1"/>
    <xf numFmtId="43" fontId="0" fillId="0" borderId="5" xfId="1" applyFont="1" applyBorder="1"/>
    <xf numFmtId="43" fontId="0" fillId="2" borderId="6" xfId="1" applyFont="1" applyFill="1" applyBorder="1"/>
    <xf numFmtId="43" fontId="0" fillId="0" borderId="13" xfId="1" applyFont="1" applyBorder="1"/>
    <xf numFmtId="43" fontId="0" fillId="0" borderId="6" xfId="1" applyFont="1" applyBorder="1"/>
    <xf numFmtId="43" fontId="0" fillId="0" borderId="5" xfId="1" applyFont="1" applyBorder="1" applyAlignment="1">
      <alignment horizontal="left"/>
    </xf>
    <xf numFmtId="43" fontId="0" fillId="0" borderId="0" xfId="1" applyFont="1" applyAlignment="1">
      <alignment horizontal="left"/>
    </xf>
    <xf numFmtId="43" fontId="0" fillId="0" borderId="0" xfId="1" applyFont="1" applyAlignment="1">
      <alignment wrapText="1"/>
    </xf>
    <xf numFmtId="43" fontId="11" fillId="0" borderId="0" xfId="1" applyFont="1" applyFill="1" applyBorder="1" applyAlignment="1">
      <alignment wrapText="1"/>
    </xf>
    <xf numFmtId="43" fontId="0" fillId="0" borderId="1" xfId="1" applyFont="1" applyBorder="1" applyAlignment="1">
      <alignment wrapText="1"/>
    </xf>
    <xf numFmtId="43" fontId="2" fillId="0" borderId="1" xfId="1" applyFont="1" applyFill="1" applyBorder="1" applyAlignment="1">
      <alignment wrapText="1"/>
    </xf>
    <xf numFmtId="43" fontId="2" fillId="0" borderId="1" xfId="1" applyFont="1" applyFill="1" applyBorder="1" applyAlignment="1">
      <alignment horizontal="left" wrapText="1"/>
    </xf>
    <xf numFmtId="43" fontId="2" fillId="0" borderId="1" xfId="1" applyFont="1" applyFill="1" applyBorder="1" applyAlignment="1">
      <alignment horizontal="center" wrapText="1"/>
    </xf>
    <xf numFmtId="43" fontId="2" fillId="0" borderId="9" xfId="1" applyFont="1" applyFill="1" applyBorder="1"/>
    <xf numFmtId="43" fontId="0" fillId="0" borderId="10" xfId="1" applyFont="1" applyFill="1" applyBorder="1" applyAlignment="1">
      <alignment horizontal="left"/>
    </xf>
    <xf numFmtId="43" fontId="0" fillId="0" borderId="12" xfId="1" applyFont="1" applyFill="1" applyBorder="1" applyAlignment="1">
      <alignment horizontal="left"/>
    </xf>
    <xf numFmtId="43" fontId="0" fillId="0" borderId="5" xfId="1" applyFont="1" applyFill="1" applyBorder="1"/>
    <xf numFmtId="43" fontId="0" fillId="0" borderId="0" xfId="1" applyFont="1" applyFill="1" applyAlignment="1">
      <alignment horizontal="left"/>
    </xf>
    <xf numFmtId="43" fontId="4" fillId="0" borderId="0" xfId="1" applyFont="1" applyFill="1"/>
    <xf numFmtId="43" fontId="0" fillId="0" borderId="7" xfId="1" applyFont="1" applyBorder="1" applyAlignment="1">
      <alignment horizontal="center" wrapText="1"/>
    </xf>
    <xf numFmtId="43" fontId="2" fillId="0" borderId="0" xfId="1" applyFont="1" applyFill="1"/>
    <xf numFmtId="43" fontId="0" fillId="0" borderId="0" xfId="1" applyFont="1" applyFill="1" applyAlignment="1">
      <alignment horizontal="left" wrapText="1"/>
    </xf>
    <xf numFmtId="43" fontId="2" fillId="0" borderId="7" xfId="1" applyFont="1" applyFill="1" applyBorder="1" applyAlignment="1">
      <alignment horizontal="left" wrapText="1"/>
    </xf>
    <xf numFmtId="43" fontId="0" fillId="0" borderId="7" xfId="1" applyFont="1" applyFill="1" applyBorder="1" applyAlignment="1">
      <alignment horizontal="left" wrapText="1"/>
    </xf>
    <xf numFmtId="43" fontId="0" fillId="4" borderId="0" xfId="1" applyFont="1" applyFill="1"/>
    <xf numFmtId="43" fontId="4" fillId="0" borderId="0" xfId="1" applyFont="1"/>
    <xf numFmtId="164" fontId="0" fillId="0" borderId="12" xfId="1" applyNumberFormat="1" applyFont="1" applyFill="1" applyBorder="1" applyAlignment="1">
      <alignment horizontal="left"/>
    </xf>
    <xf numFmtId="164" fontId="0" fillId="0" borderId="13" xfId="1" applyNumberFormat="1" applyFont="1" applyFill="1" applyBorder="1" applyAlignment="1">
      <alignment horizontal="left"/>
    </xf>
    <xf numFmtId="0" fontId="0" fillId="0" borderId="9" xfId="1" applyNumberFormat="1" applyFont="1" applyFill="1" applyBorder="1"/>
    <xf numFmtId="0" fontId="0" fillId="0" borderId="0" xfId="1" applyNumberFormat="1" applyFont="1" applyFill="1" applyBorder="1"/>
    <xf numFmtId="0" fontId="0" fillId="0" borderId="6" xfId="1" applyNumberFormat="1" applyFont="1" applyFill="1" applyBorder="1"/>
    <xf numFmtId="0" fontId="0" fillId="0" borderId="0" xfId="1" applyNumberFormat="1" applyFont="1" applyFill="1"/>
    <xf numFmtId="0" fontId="0" fillId="0" borderId="0" xfId="0" applyFont="1" applyBorder="1" applyAlignment="1">
      <alignment horizontal="right"/>
    </xf>
    <xf numFmtId="0" fontId="0" fillId="0" borderId="0" xfId="0" applyBorder="1" applyAlignment="1">
      <alignment horizontal="right"/>
    </xf>
    <xf numFmtId="0" fontId="4" fillId="0" borderId="0" xfId="1" applyNumberFormat="1" applyFont="1" applyFill="1"/>
    <xf numFmtId="0" fontId="4" fillId="0" borderId="0" xfId="1" applyNumberFormat="1" applyFont="1"/>
    <xf numFmtId="164" fontId="0" fillId="0" borderId="0" xfId="1" applyNumberFormat="1" applyFont="1" applyFill="1" applyBorder="1" applyAlignment="1">
      <alignment horizontal="left"/>
    </xf>
    <xf numFmtId="4" fontId="0" fillId="0" borderId="1" xfId="0" applyNumberFormat="1" applyFont="1" applyFill="1" applyBorder="1" applyAlignment="1">
      <alignment wrapText="1"/>
    </xf>
    <xf numFmtId="0" fontId="16" fillId="0" borderId="1" xfId="0" applyFont="1" applyFill="1" applyBorder="1" applyAlignment="1">
      <alignment wrapText="1"/>
    </xf>
    <xf numFmtId="0" fontId="16" fillId="0" borderId="0" xfId="7" applyFont="1" applyAlignment="1">
      <alignment horizontal="left" vertical="top" wrapText="1"/>
    </xf>
    <xf numFmtId="0" fontId="16" fillId="0" borderId="0" xfId="7" applyFont="1" applyAlignment="1">
      <alignment horizontal="left"/>
    </xf>
    <xf numFmtId="0" fontId="2" fillId="0" borderId="0" xfId="0" applyFont="1" applyBorder="1" applyAlignment="1">
      <alignment horizontal="left"/>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Fill="1" applyBorder="1" applyAlignment="1">
      <alignment horizontal="center"/>
    </xf>
    <xf numFmtId="0" fontId="0" fillId="0" borderId="1" xfId="0" applyFont="1" applyFill="1" applyBorder="1" applyAlignment="1"/>
    <xf numFmtId="0" fontId="2" fillId="0" borderId="1" xfId="0" applyFont="1" applyFill="1" applyBorder="1" applyAlignme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3" fontId="0" fillId="0" borderId="8" xfId="1" applyFont="1" applyBorder="1" applyAlignment="1">
      <alignment horizontal="center" wrapText="1"/>
    </xf>
    <xf numFmtId="43" fontId="0" fillId="0" borderId="9" xfId="1" applyFont="1" applyBorder="1" applyAlignment="1">
      <alignment horizontal="center" wrapText="1"/>
    </xf>
    <xf numFmtId="43" fontId="0" fillId="0" borderId="10" xfId="1" applyFont="1" applyBorder="1" applyAlignment="1">
      <alignment horizontal="center" wrapText="1"/>
    </xf>
    <xf numFmtId="43" fontId="2" fillId="0" borderId="1" xfId="1" applyFont="1" applyFill="1" applyBorder="1" applyAlignment="1">
      <alignment horizontal="center" wrapText="1"/>
    </xf>
    <xf numFmtId="43" fontId="2" fillId="0" borderId="2" xfId="1" applyFont="1" applyBorder="1" applyAlignment="1">
      <alignment horizontal="center" vertical="center"/>
    </xf>
    <xf numFmtId="43" fontId="2" fillId="0" borderId="3" xfId="1" applyFont="1" applyBorder="1" applyAlignment="1">
      <alignment horizontal="center" vertical="center"/>
    </xf>
    <xf numFmtId="43" fontId="2" fillId="0" borderId="4" xfId="1" applyFont="1" applyBorder="1" applyAlignment="1">
      <alignment horizontal="center" vertical="center"/>
    </xf>
    <xf numFmtId="43" fontId="2" fillId="0" borderId="0" xfId="1" applyFont="1" applyAlignment="1">
      <alignment horizontal="left"/>
    </xf>
    <xf numFmtId="43" fontId="2" fillId="0" borderId="1" xfId="1" applyFont="1" applyFill="1" applyBorder="1" applyAlignment="1">
      <alignment horizontal="center"/>
    </xf>
    <xf numFmtId="43" fontId="0" fillId="0" borderId="1" xfId="1" applyFont="1" applyFill="1" applyBorder="1" applyAlignment="1"/>
    <xf numFmtId="0" fontId="2" fillId="0" borderId="0" xfId="0" applyFont="1" applyAlignment="1">
      <alignment horizontal="left"/>
    </xf>
    <xf numFmtId="0" fontId="0" fillId="0" borderId="0" xfId="0" applyAlignment="1">
      <alignment horizontal="left" wrapText="1"/>
    </xf>
    <xf numFmtId="0" fontId="0" fillId="0" borderId="0" xfId="0" applyFont="1" applyAlignment="1">
      <alignment horizontal="left"/>
    </xf>
    <xf numFmtId="0" fontId="2" fillId="0" borderId="6" xfId="0" applyFont="1" applyBorder="1" applyAlignment="1">
      <alignment horizontal="center" wrapText="1"/>
    </xf>
    <xf numFmtId="0" fontId="0" fillId="0" borderId="1" xfId="0" applyBorder="1" applyAlignment="1">
      <alignment wrapText="1"/>
    </xf>
  </cellXfs>
  <cellStyles count="8">
    <cellStyle name="Comma" xfId="1" builtinId="3"/>
    <cellStyle name="Normal" xfId="0" builtinId="0"/>
    <cellStyle name="Normal 2" xfId="4"/>
    <cellStyle name="Normal 2 2" xfId="2"/>
    <cellStyle name="Normal 2 3" xfId="5"/>
    <cellStyle name="Normal 3" xfId="6"/>
    <cellStyle name="Normal 4" xfId="7"/>
    <cellStyle name="Normal 6"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qua-calc.com/calculate/volume-to-weight" TargetMode="External"/><Relationship Id="rId1" Type="http://schemas.openxmlformats.org/officeDocument/2006/relationships/hyperlink" Target="http://www.ers.usda.gov/media/935958/ah697_002.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zoomScaleNormal="100" workbookViewId="0">
      <selection activeCell="D20" sqref="D20"/>
    </sheetView>
  </sheetViews>
  <sheetFormatPr defaultRowHeight="13.2" x14ac:dyDescent="0.25"/>
  <cols>
    <col min="1" max="16384" width="8.88671875" style="36"/>
  </cols>
  <sheetData>
    <row r="1" spans="1:16" x14ac:dyDescent="0.25">
      <c r="A1" s="36" t="s">
        <v>538</v>
      </c>
    </row>
    <row r="2" spans="1:16" x14ac:dyDescent="0.25">
      <c r="A2" s="36" t="s">
        <v>539</v>
      </c>
    </row>
    <row r="4" spans="1:16" x14ac:dyDescent="0.25">
      <c r="A4" s="60" t="s">
        <v>817</v>
      </c>
    </row>
    <row r="5" spans="1:16" x14ac:dyDescent="0.25">
      <c r="A5" s="60"/>
    </row>
    <row r="6" spans="1:16" x14ac:dyDescent="0.25">
      <c r="A6" s="60" t="s">
        <v>545</v>
      </c>
    </row>
    <row r="7" spans="1:16" x14ac:dyDescent="0.25">
      <c r="A7" s="60" t="s">
        <v>546</v>
      </c>
    </row>
    <row r="9" spans="1:16" x14ac:dyDescent="0.25">
      <c r="A9" s="61" t="s">
        <v>544</v>
      </c>
    </row>
    <row r="10" spans="1:16" ht="27.6" customHeight="1" x14ac:dyDescent="0.25">
      <c r="A10" s="193" t="s">
        <v>542</v>
      </c>
      <c r="B10" s="193"/>
      <c r="C10" s="193"/>
      <c r="D10" s="193"/>
      <c r="E10" s="193"/>
      <c r="F10" s="193"/>
      <c r="G10" s="193"/>
      <c r="H10" s="193"/>
      <c r="I10" s="193"/>
      <c r="J10" s="193"/>
      <c r="K10" s="193"/>
      <c r="L10" s="193"/>
      <c r="M10" s="193"/>
      <c r="N10" s="193"/>
      <c r="O10" s="193"/>
      <c r="P10" s="193"/>
    </row>
    <row r="11" spans="1:16" ht="14.4" x14ac:dyDescent="0.3">
      <c r="A11" s="66" t="s">
        <v>543</v>
      </c>
      <c r="B11" s="62"/>
      <c r="C11" s="62"/>
      <c r="D11" s="62"/>
      <c r="E11" s="62"/>
      <c r="F11" s="62"/>
      <c r="G11" s="62"/>
      <c r="H11" s="62"/>
      <c r="I11" s="62"/>
      <c r="J11" s="62"/>
      <c r="K11" s="62"/>
      <c r="L11" s="62"/>
      <c r="M11" s="62"/>
      <c r="N11" s="62"/>
      <c r="O11" s="62"/>
      <c r="P11" s="62"/>
    </row>
    <row r="12" spans="1:16" x14ac:dyDescent="0.25">
      <c r="A12" s="120" t="s">
        <v>791</v>
      </c>
      <c r="B12" s="120"/>
      <c r="C12" s="120"/>
      <c r="D12" s="120"/>
      <c r="E12" s="120"/>
      <c r="F12" s="120"/>
      <c r="G12" s="120"/>
      <c r="H12" s="120"/>
      <c r="I12" s="120"/>
      <c r="J12" s="120"/>
    </row>
    <row r="13" spans="1:16" x14ac:dyDescent="0.25">
      <c r="A13" s="120" t="s">
        <v>792</v>
      </c>
      <c r="B13" s="120"/>
      <c r="C13" s="120"/>
      <c r="D13" s="120"/>
      <c r="E13" s="120"/>
      <c r="F13" s="120"/>
      <c r="G13" s="120"/>
      <c r="H13" s="120"/>
      <c r="I13" s="120"/>
      <c r="J13" s="120"/>
    </row>
    <row r="14" spans="1:16" x14ac:dyDescent="0.25">
      <c r="A14" s="120" t="s">
        <v>793</v>
      </c>
      <c r="B14" s="120"/>
      <c r="C14" s="120"/>
      <c r="D14" s="120"/>
      <c r="E14" s="120"/>
      <c r="F14" s="120"/>
      <c r="G14" s="120"/>
      <c r="H14" s="120"/>
      <c r="I14" s="120"/>
      <c r="J14" s="120"/>
    </row>
    <row r="15" spans="1:16" x14ac:dyDescent="0.25">
      <c r="A15" s="194" t="s">
        <v>794</v>
      </c>
      <c r="B15" s="194"/>
      <c r="C15" s="194"/>
      <c r="D15" s="194"/>
      <c r="E15" s="194"/>
      <c r="F15" s="194"/>
      <c r="G15" s="194"/>
      <c r="H15" s="194"/>
      <c r="I15" s="194"/>
      <c r="J15" s="194"/>
    </row>
  </sheetData>
  <mergeCells count="2">
    <mergeCell ref="A10:P10"/>
    <mergeCell ref="A15:J15"/>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68"/>
  <sheetViews>
    <sheetView zoomScale="65" zoomScaleNormal="65" workbookViewId="0"/>
  </sheetViews>
  <sheetFormatPr defaultRowHeight="14.4" x14ac:dyDescent="0.3"/>
  <cols>
    <col min="1" max="1" width="33.88671875" style="4" customWidth="1"/>
    <col min="2" max="2" width="8" style="4" customWidth="1"/>
    <col min="3" max="3" width="15" style="4" customWidth="1"/>
    <col min="4" max="4" width="11.21875" style="108" customWidth="1"/>
    <col min="5" max="5" width="8.88671875" style="42" customWidth="1"/>
    <col min="6" max="6" width="10.77734375" style="108" customWidth="1"/>
    <col min="7" max="7" width="9.44140625" style="42" bestFit="1" customWidth="1"/>
    <col min="8" max="8" width="10.33203125" style="72" bestFit="1" customWidth="1"/>
    <col min="9" max="9" width="8.21875" style="42" customWidth="1"/>
    <col min="10" max="10" width="9.109375" style="72" bestFit="1" customWidth="1"/>
    <col min="11" max="11" width="7" style="42" customWidth="1"/>
    <col min="12" max="12" width="8.88671875" style="108"/>
    <col min="13" max="13" width="9.44140625" style="42" bestFit="1" customWidth="1"/>
    <col min="14" max="14" width="80.44140625" style="4" customWidth="1"/>
    <col min="15" max="15" width="37" style="4" customWidth="1"/>
    <col min="16" max="16384" width="8.88671875" style="4"/>
  </cols>
  <sheetData>
    <row r="1" spans="1:15" x14ac:dyDescent="0.3">
      <c r="A1" s="117" t="s">
        <v>828</v>
      </c>
      <c r="N1" s="40" t="s">
        <v>254</v>
      </c>
    </row>
    <row r="2" spans="1:15" x14ac:dyDescent="0.3">
      <c r="O2" s="40"/>
    </row>
    <row r="3" spans="1:15" ht="14.4" customHeight="1" x14ac:dyDescent="0.3">
      <c r="A3" s="3"/>
      <c r="B3" s="105">
        <v>1</v>
      </c>
      <c r="C3" s="42" t="s">
        <v>54</v>
      </c>
      <c r="D3" s="107">
        <v>19.684100000000001</v>
      </c>
      <c r="E3" s="42" t="s">
        <v>36</v>
      </c>
      <c r="F3" s="107">
        <f>D3*D5</f>
        <v>2204.6192000000001</v>
      </c>
      <c r="G3" s="42" t="s">
        <v>35</v>
      </c>
      <c r="H3" s="73">
        <v>1000</v>
      </c>
      <c r="I3" s="42" t="s">
        <v>99</v>
      </c>
    </row>
    <row r="4" spans="1:15" ht="14.4" customHeight="1" x14ac:dyDescent="0.3">
      <c r="B4" s="105">
        <v>1</v>
      </c>
      <c r="C4" s="40" t="s">
        <v>95</v>
      </c>
      <c r="D4" s="108">
        <v>2240</v>
      </c>
      <c r="E4" s="42" t="s">
        <v>35</v>
      </c>
      <c r="F4" s="107">
        <v>20</v>
      </c>
      <c r="G4" s="42" t="s">
        <v>36</v>
      </c>
      <c r="H4" s="74">
        <f>D4/D32</f>
        <v>420</v>
      </c>
      <c r="I4" s="42" t="s">
        <v>98</v>
      </c>
      <c r="J4" s="74">
        <f>D4/D7</f>
        <v>1016.048117135833</v>
      </c>
      <c r="K4" s="42" t="s">
        <v>99</v>
      </c>
      <c r="L4" s="132">
        <v>4</v>
      </c>
      <c r="M4" s="42" t="s">
        <v>142</v>
      </c>
    </row>
    <row r="5" spans="1:15" ht="14.4" customHeight="1" x14ac:dyDescent="0.3">
      <c r="B5" s="105">
        <v>1</v>
      </c>
      <c r="C5" s="34" t="s">
        <v>61</v>
      </c>
      <c r="D5" s="109">
        <v>112</v>
      </c>
      <c r="E5" s="42" t="s">
        <v>46</v>
      </c>
      <c r="F5" s="113">
        <f>D5/D14</f>
        <v>50.802405856791651</v>
      </c>
      <c r="G5" s="42" t="s">
        <v>113</v>
      </c>
      <c r="H5" s="77">
        <f>D5/D32</f>
        <v>21</v>
      </c>
      <c r="I5" s="42" t="s">
        <v>98</v>
      </c>
      <c r="J5" s="128"/>
    </row>
    <row r="6" spans="1:15" ht="14.4" customHeight="1" x14ac:dyDescent="0.3">
      <c r="B6" s="105">
        <v>1</v>
      </c>
      <c r="C6" s="40" t="s">
        <v>247</v>
      </c>
      <c r="D6" s="108">
        <f>1/112</f>
        <v>8.9285714285714281E-3</v>
      </c>
      <c r="E6" s="42" t="s">
        <v>1</v>
      </c>
      <c r="F6" s="108">
        <v>16</v>
      </c>
      <c r="G6" s="42" t="s">
        <v>75</v>
      </c>
    </row>
    <row r="7" spans="1:15" ht="14.4" customHeight="1" x14ac:dyDescent="0.3">
      <c r="B7" s="105">
        <v>1</v>
      </c>
      <c r="C7" s="34" t="s">
        <v>122</v>
      </c>
      <c r="D7" s="109">
        <v>2.2046199999999998</v>
      </c>
      <c r="E7" s="42" t="s">
        <v>35</v>
      </c>
      <c r="F7" s="113">
        <f>D7/D5</f>
        <v>1.9684107142857142E-2</v>
      </c>
      <c r="G7" s="42" t="s">
        <v>36</v>
      </c>
      <c r="H7" s="77"/>
      <c r="J7" s="76"/>
    </row>
    <row r="8" spans="1:15" ht="14.4" customHeight="1" x14ac:dyDescent="0.3">
      <c r="B8" s="105">
        <v>1</v>
      </c>
      <c r="C8" s="34" t="s">
        <v>95</v>
      </c>
      <c r="D8" s="109">
        <v>20</v>
      </c>
      <c r="E8" s="42" t="s">
        <v>36</v>
      </c>
      <c r="F8" s="113">
        <f>D8*D5</f>
        <v>2240</v>
      </c>
      <c r="G8" s="42" t="s">
        <v>35</v>
      </c>
    </row>
    <row r="9" spans="1:15" ht="14.4" customHeight="1" x14ac:dyDescent="0.3">
      <c r="B9" s="105">
        <v>1</v>
      </c>
      <c r="C9" s="34" t="s">
        <v>17</v>
      </c>
      <c r="D9" s="109">
        <v>4</v>
      </c>
      <c r="E9" s="42" t="s">
        <v>143</v>
      </c>
      <c r="F9" s="121"/>
      <c r="H9" s="76"/>
      <c r="J9" s="74"/>
      <c r="L9" s="109"/>
    </row>
    <row r="10" spans="1:15" ht="14.4" customHeight="1" x14ac:dyDescent="0.3">
      <c r="B10" s="105">
        <v>1</v>
      </c>
      <c r="C10" s="34" t="s">
        <v>119</v>
      </c>
      <c r="D10" s="109">
        <v>100</v>
      </c>
      <c r="E10" s="42" t="s">
        <v>676</v>
      </c>
      <c r="F10" s="109">
        <f>D10/J4</f>
        <v>9.8420535714285717E-2</v>
      </c>
      <c r="G10" s="42" t="s">
        <v>144</v>
      </c>
      <c r="H10" s="77">
        <f>D8*F10</f>
        <v>1.9684107142857143</v>
      </c>
      <c r="I10" s="42" t="s">
        <v>117</v>
      </c>
      <c r="J10" s="128"/>
      <c r="L10" s="109"/>
    </row>
    <row r="11" spans="1:15" ht="14.4" customHeight="1" x14ac:dyDescent="0.3">
      <c r="B11" s="105">
        <v>1</v>
      </c>
      <c r="C11" s="57" t="s">
        <v>38</v>
      </c>
      <c r="D11" s="110">
        <v>260</v>
      </c>
      <c r="E11" s="42" t="s">
        <v>35</v>
      </c>
      <c r="F11" s="114">
        <f>D11/D5</f>
        <v>2.3214285714285716</v>
      </c>
      <c r="G11" s="42" t="s">
        <v>36</v>
      </c>
      <c r="H11" s="125"/>
      <c r="J11" s="125"/>
      <c r="N11" s="4" t="s">
        <v>784</v>
      </c>
    </row>
    <row r="12" spans="1:15" ht="14.4" customHeight="1" x14ac:dyDescent="0.3">
      <c r="B12" s="105">
        <v>1</v>
      </c>
      <c r="C12" s="42" t="s">
        <v>536</v>
      </c>
      <c r="D12" s="107">
        <f>D11/2</f>
        <v>130</v>
      </c>
      <c r="E12" s="42" t="s">
        <v>35</v>
      </c>
      <c r="F12" s="109">
        <f>F11/2</f>
        <v>1.1607142857142858</v>
      </c>
      <c r="G12" s="42" t="s">
        <v>36</v>
      </c>
      <c r="H12" s="77"/>
      <c r="J12" s="128"/>
      <c r="N12" s="4" t="s">
        <v>784</v>
      </c>
    </row>
    <row r="13" spans="1:15" ht="14.4" customHeight="1" x14ac:dyDescent="0.3">
      <c r="B13" s="105">
        <v>1</v>
      </c>
      <c r="C13" s="68" t="s">
        <v>37</v>
      </c>
      <c r="D13" s="111">
        <v>130</v>
      </c>
      <c r="E13" s="42" t="s">
        <v>35</v>
      </c>
      <c r="F13" s="122"/>
      <c r="N13" s="4" t="s">
        <v>784</v>
      </c>
    </row>
    <row r="14" spans="1:15" ht="14.4" customHeight="1" x14ac:dyDescent="0.3">
      <c r="B14" s="105">
        <v>1</v>
      </c>
      <c r="C14" s="34" t="s">
        <v>100</v>
      </c>
      <c r="D14" s="109">
        <v>2.2046199999999998</v>
      </c>
      <c r="E14" s="42" t="s">
        <v>35</v>
      </c>
      <c r="F14" s="113">
        <f>D14/D5</f>
        <v>1.9684107142857142E-2</v>
      </c>
      <c r="G14" s="42" t="s">
        <v>36</v>
      </c>
      <c r="H14" s="77"/>
      <c r="J14" s="76"/>
    </row>
    <row r="15" spans="1:15" ht="14.4" customHeight="1" x14ac:dyDescent="0.3">
      <c r="B15" s="105">
        <v>1</v>
      </c>
      <c r="C15" s="34" t="s">
        <v>115</v>
      </c>
      <c r="D15" s="109">
        <v>2.8325999999999998</v>
      </c>
      <c r="E15" s="42" t="s">
        <v>46</v>
      </c>
      <c r="F15" s="113">
        <f>D15/D4</f>
        <v>1.2645535714285714E-3</v>
      </c>
      <c r="G15" s="42" t="s">
        <v>97</v>
      </c>
      <c r="H15" s="126">
        <f>D15/D5</f>
        <v>2.5291071428571427E-2</v>
      </c>
      <c r="I15" s="42" t="s">
        <v>117</v>
      </c>
      <c r="J15" s="128"/>
    </row>
    <row r="16" spans="1:15" ht="14.4" customHeight="1" x14ac:dyDescent="0.3">
      <c r="B16" s="105">
        <v>1</v>
      </c>
      <c r="C16" s="34" t="s">
        <v>118</v>
      </c>
      <c r="D16" s="109">
        <v>0.25</v>
      </c>
      <c r="E16" s="42" t="s">
        <v>97</v>
      </c>
      <c r="F16" s="113">
        <f>D16*D8</f>
        <v>5</v>
      </c>
      <c r="G16" s="42" t="s">
        <v>117</v>
      </c>
      <c r="H16" s="126">
        <f>D16*D4</f>
        <v>560</v>
      </c>
      <c r="I16" s="42" t="s">
        <v>35</v>
      </c>
      <c r="J16" s="128"/>
    </row>
    <row r="17" spans="1:14" ht="14.4" customHeight="1" x14ac:dyDescent="0.3">
      <c r="B17" s="105">
        <v>1</v>
      </c>
      <c r="C17" s="38" t="s">
        <v>39</v>
      </c>
      <c r="D17" s="107">
        <v>14.5</v>
      </c>
      <c r="E17" s="42" t="s">
        <v>35</v>
      </c>
      <c r="F17" s="122"/>
      <c r="N17" s="4" t="s">
        <v>722</v>
      </c>
    </row>
    <row r="18" spans="1:14" ht="14.4" customHeight="1" x14ac:dyDescent="0.3">
      <c r="B18" s="105">
        <v>1</v>
      </c>
      <c r="C18" s="40" t="s">
        <v>547</v>
      </c>
      <c r="D18" s="108">
        <v>12.75</v>
      </c>
      <c r="E18" s="42" t="s">
        <v>46</v>
      </c>
      <c r="N18" s="4" t="s">
        <v>723</v>
      </c>
    </row>
    <row r="19" spans="1:14" ht="14.4" customHeight="1" x14ac:dyDescent="0.3">
      <c r="A19" s="65"/>
      <c r="B19" s="105">
        <v>1</v>
      </c>
      <c r="C19" s="40" t="s">
        <v>548</v>
      </c>
      <c r="D19" s="107">
        <v>13</v>
      </c>
      <c r="E19" s="42" t="s">
        <v>35</v>
      </c>
      <c r="N19" s="4" t="s">
        <v>733</v>
      </c>
    </row>
    <row r="20" spans="1:14" ht="14.4" customHeight="1" x14ac:dyDescent="0.3">
      <c r="A20" s="65"/>
      <c r="B20" s="105">
        <v>1</v>
      </c>
      <c r="C20" s="40" t="s">
        <v>70</v>
      </c>
      <c r="D20" s="107">
        <v>6.83</v>
      </c>
      <c r="E20" s="42" t="s">
        <v>35</v>
      </c>
      <c r="N20" s="4" t="s">
        <v>732</v>
      </c>
    </row>
    <row r="21" spans="1:14" ht="14.4" customHeight="1" x14ac:dyDescent="0.3">
      <c r="A21" s="65"/>
      <c r="B21" s="105">
        <v>1</v>
      </c>
      <c r="C21" s="40" t="s">
        <v>549</v>
      </c>
      <c r="D21" s="108">
        <v>7.5</v>
      </c>
      <c r="E21" s="42" t="s">
        <v>35</v>
      </c>
      <c r="N21" s="65" t="s">
        <v>255</v>
      </c>
    </row>
    <row r="22" spans="1:14" ht="14.4" customHeight="1" x14ac:dyDescent="0.3">
      <c r="A22" s="65"/>
      <c r="B22" s="105">
        <v>1</v>
      </c>
      <c r="C22" s="40" t="s">
        <v>70</v>
      </c>
      <c r="D22" s="107">
        <f>(6.5+6.83)/2</f>
        <v>6.665</v>
      </c>
      <c r="E22" s="42" t="s">
        <v>35</v>
      </c>
      <c r="F22" s="107"/>
      <c r="N22" s="4" t="s">
        <v>721</v>
      </c>
    </row>
    <row r="23" spans="1:14" ht="14.4" customHeight="1" x14ac:dyDescent="0.3">
      <c r="A23" s="65"/>
      <c r="B23" s="105">
        <v>1</v>
      </c>
      <c r="C23" s="40" t="s">
        <v>781</v>
      </c>
      <c r="D23" s="107">
        <v>6.5</v>
      </c>
      <c r="E23" s="42" t="s">
        <v>35</v>
      </c>
      <c r="N23" s="65" t="s">
        <v>255</v>
      </c>
    </row>
    <row r="24" spans="1:14" ht="14.4" customHeight="1" x14ac:dyDescent="0.3">
      <c r="B24" s="105">
        <v>1</v>
      </c>
      <c r="C24" s="38" t="s">
        <v>40</v>
      </c>
      <c r="D24" s="107">
        <v>36</v>
      </c>
      <c r="E24" s="42" t="s">
        <v>35</v>
      </c>
      <c r="F24" s="122"/>
      <c r="N24" s="65" t="s">
        <v>783</v>
      </c>
    </row>
    <row r="25" spans="1:14" ht="14.4" customHeight="1" x14ac:dyDescent="0.3">
      <c r="B25" s="105">
        <v>1</v>
      </c>
      <c r="C25" s="40" t="s">
        <v>55</v>
      </c>
      <c r="D25" s="108">
        <v>60</v>
      </c>
      <c r="E25" s="42" t="s">
        <v>35</v>
      </c>
      <c r="N25" s="65" t="s">
        <v>255</v>
      </c>
    </row>
    <row r="26" spans="1:14" ht="15" customHeight="1" x14ac:dyDescent="0.3">
      <c r="B26" s="105">
        <v>1</v>
      </c>
      <c r="C26" s="40" t="s">
        <v>76</v>
      </c>
      <c r="D26" s="108">
        <v>650</v>
      </c>
      <c r="E26" s="42" t="s">
        <v>35</v>
      </c>
      <c r="N26" s="4" t="s">
        <v>730</v>
      </c>
    </row>
    <row r="27" spans="1:14" ht="14.4" customHeight="1" x14ac:dyDescent="0.3">
      <c r="A27" s="65"/>
      <c r="B27" s="105">
        <v>1</v>
      </c>
      <c r="C27" s="40" t="s">
        <v>76</v>
      </c>
      <c r="D27" s="108">
        <v>100</v>
      </c>
      <c r="E27" s="42" t="s">
        <v>70</v>
      </c>
      <c r="F27" s="107">
        <f>D26/D5</f>
        <v>5.8035714285714288</v>
      </c>
      <c r="G27" s="42" t="s">
        <v>36</v>
      </c>
      <c r="N27" s="4" t="s">
        <v>731</v>
      </c>
    </row>
    <row r="28" spans="1:14" ht="14.4" customHeight="1" x14ac:dyDescent="0.3">
      <c r="A28" s="65"/>
      <c r="B28" s="105">
        <v>1</v>
      </c>
      <c r="C28" s="40" t="s">
        <v>90</v>
      </c>
      <c r="D28" s="107">
        <f>43*21.5</f>
        <v>924.5</v>
      </c>
      <c r="E28" s="42" t="s">
        <v>91</v>
      </c>
      <c r="F28" s="107">
        <f>D28/D29</f>
        <v>1.2156476002629848</v>
      </c>
      <c r="G28" s="42" t="s">
        <v>92</v>
      </c>
      <c r="N28" s="4" t="s">
        <v>721</v>
      </c>
    </row>
    <row r="29" spans="1:14" ht="12.6" customHeight="1" x14ac:dyDescent="0.3">
      <c r="A29" s="65"/>
      <c r="B29" s="105">
        <v>1</v>
      </c>
      <c r="C29" s="40" t="s">
        <v>92</v>
      </c>
      <c r="D29" s="107">
        <f>39*19.5</f>
        <v>760.5</v>
      </c>
      <c r="E29" s="42" t="s">
        <v>91</v>
      </c>
      <c r="N29" s="4" t="s">
        <v>721</v>
      </c>
    </row>
    <row r="30" spans="1:14" ht="14.4" customHeight="1" x14ac:dyDescent="0.3">
      <c r="A30" s="10"/>
      <c r="B30" s="105">
        <v>1</v>
      </c>
      <c r="C30" s="34" t="s">
        <v>114</v>
      </c>
      <c r="D30" s="109">
        <v>55</v>
      </c>
      <c r="E30" s="42" t="s">
        <v>35</v>
      </c>
      <c r="F30" s="113">
        <f>D30/D5</f>
        <v>0.49107142857142855</v>
      </c>
      <c r="G30" s="42" t="s">
        <v>117</v>
      </c>
      <c r="H30" s="126"/>
      <c r="J30" s="128"/>
      <c r="N30" s="4" t="s">
        <v>724</v>
      </c>
    </row>
    <row r="31" spans="1:14" ht="14.4" customHeight="1" x14ac:dyDescent="0.3">
      <c r="A31" s="65"/>
      <c r="B31" s="105">
        <v>1</v>
      </c>
      <c r="C31" s="42" t="s">
        <v>114</v>
      </c>
      <c r="D31" s="108">
        <v>25</v>
      </c>
      <c r="E31" s="42" t="s">
        <v>676</v>
      </c>
      <c r="F31" s="137">
        <f>D31/J4</f>
        <v>2.4605133928571429E-2</v>
      </c>
      <c r="G31" s="42" t="s">
        <v>97</v>
      </c>
      <c r="H31" s="78"/>
      <c r="J31" s="78"/>
      <c r="N31" s="3" t="s">
        <v>728</v>
      </c>
    </row>
    <row r="32" spans="1:14" ht="14.4" customHeight="1" x14ac:dyDescent="0.3">
      <c r="A32" s="10"/>
      <c r="B32" s="105">
        <v>1</v>
      </c>
      <c r="C32" s="34" t="s">
        <v>101</v>
      </c>
      <c r="D32" s="109">
        <f>16/3</f>
        <v>5.333333333333333</v>
      </c>
      <c r="E32" s="42" t="s">
        <v>35</v>
      </c>
      <c r="F32" s="113">
        <f>D32/D5</f>
        <v>4.7619047619047616E-2</v>
      </c>
      <c r="G32" s="42" t="s">
        <v>36</v>
      </c>
      <c r="H32" s="77"/>
      <c r="J32" s="76"/>
      <c r="N32" s="4" t="s">
        <v>725</v>
      </c>
    </row>
    <row r="33" spans="1:14" ht="14.4" customHeight="1" x14ac:dyDescent="0.3">
      <c r="A33" s="3"/>
      <c r="B33" s="105">
        <v>1</v>
      </c>
      <c r="C33" s="42" t="s">
        <v>102</v>
      </c>
      <c r="D33" s="108">
        <v>100</v>
      </c>
      <c r="E33" s="42" t="s">
        <v>101</v>
      </c>
      <c r="F33" s="107">
        <f>D33*D32/D5</f>
        <v>4.761904761904761</v>
      </c>
      <c r="G33" s="42" t="s">
        <v>36</v>
      </c>
      <c r="H33" s="72">
        <f>F33/D8</f>
        <v>0.23809523809523805</v>
      </c>
      <c r="I33" s="42" t="s">
        <v>97</v>
      </c>
      <c r="J33" s="78"/>
      <c r="N33" s="3" t="s">
        <v>726</v>
      </c>
    </row>
    <row r="34" spans="1:14" ht="14.4" customHeight="1" x14ac:dyDescent="0.3">
      <c r="A34" s="3"/>
      <c r="B34" s="105">
        <v>1</v>
      </c>
      <c r="C34" s="42" t="s">
        <v>102</v>
      </c>
      <c r="D34" s="107">
        <v>44.927999999999997</v>
      </c>
      <c r="E34" s="42" t="s">
        <v>676</v>
      </c>
      <c r="F34" s="107">
        <f>D34*F7</f>
        <v>0.88436756571428565</v>
      </c>
      <c r="G34" s="42" t="s">
        <v>36</v>
      </c>
      <c r="H34" s="72">
        <f>D34/J4</f>
        <v>4.4218378285714281E-2</v>
      </c>
      <c r="I34" s="42" t="s">
        <v>97</v>
      </c>
      <c r="J34" s="78"/>
      <c r="N34" s="3" t="s">
        <v>729</v>
      </c>
    </row>
    <row r="35" spans="1:14" ht="14.4" customHeight="1" x14ac:dyDescent="0.3">
      <c r="B35" s="105">
        <v>1</v>
      </c>
      <c r="C35" s="40" t="s">
        <v>735</v>
      </c>
      <c r="D35" s="108">
        <v>31.1</v>
      </c>
      <c r="E35" s="42" t="s">
        <v>684</v>
      </c>
      <c r="N35" s="3" t="s">
        <v>734</v>
      </c>
    </row>
    <row r="36" spans="1:14" ht="14.4" customHeight="1" x14ac:dyDescent="0.3">
      <c r="A36" s="3"/>
      <c r="B36" s="105">
        <v>1</v>
      </c>
      <c r="C36" s="42" t="s">
        <v>123</v>
      </c>
      <c r="D36" s="107">
        <v>270</v>
      </c>
      <c r="E36" s="42" t="s">
        <v>101</v>
      </c>
      <c r="F36" s="107">
        <v>198</v>
      </c>
      <c r="G36" s="42" t="s">
        <v>124</v>
      </c>
      <c r="H36" s="72">
        <v>121.3056</v>
      </c>
      <c r="I36" s="42" t="s">
        <v>99</v>
      </c>
      <c r="J36" s="72">
        <f>H36/J4</f>
        <v>0.11938962137142857</v>
      </c>
      <c r="K36" s="42" t="s">
        <v>97</v>
      </c>
      <c r="N36" s="3" t="s">
        <v>729</v>
      </c>
    </row>
    <row r="37" spans="1:14" x14ac:dyDescent="0.3">
      <c r="B37" s="105">
        <v>1</v>
      </c>
      <c r="C37" s="40" t="s">
        <v>102</v>
      </c>
      <c r="D37" s="108">
        <v>640.5</v>
      </c>
      <c r="E37" s="42" t="s">
        <v>35</v>
      </c>
      <c r="N37" s="65" t="s">
        <v>255</v>
      </c>
    </row>
    <row r="38" spans="1:14" x14ac:dyDescent="0.3">
      <c r="A38" s="4" t="s">
        <v>121</v>
      </c>
      <c r="B38" s="105">
        <v>1</v>
      </c>
      <c r="C38" s="40" t="s">
        <v>567</v>
      </c>
      <c r="D38" s="108">
        <v>12</v>
      </c>
      <c r="E38" s="42" t="s">
        <v>35</v>
      </c>
      <c r="N38" s="65" t="s">
        <v>255</v>
      </c>
    </row>
    <row r="39" spans="1:14" x14ac:dyDescent="0.3">
      <c r="A39" s="4" t="s">
        <v>121</v>
      </c>
      <c r="B39" s="105">
        <v>1</v>
      </c>
      <c r="C39" s="40" t="s">
        <v>568</v>
      </c>
      <c r="D39" s="108">
        <v>144</v>
      </c>
      <c r="E39" s="42" t="s">
        <v>35</v>
      </c>
      <c r="N39" s="65" t="s">
        <v>255</v>
      </c>
    </row>
    <row r="40" spans="1:14" x14ac:dyDescent="0.3">
      <c r="A40" s="4" t="s">
        <v>121</v>
      </c>
      <c r="B40" s="105">
        <v>1</v>
      </c>
      <c r="C40" s="40" t="s">
        <v>569</v>
      </c>
      <c r="D40" s="108">
        <v>4418.4000000000005</v>
      </c>
      <c r="E40" s="42" t="s">
        <v>35</v>
      </c>
      <c r="N40" s="65" t="s">
        <v>255</v>
      </c>
    </row>
    <row r="41" spans="1:14" x14ac:dyDescent="0.3">
      <c r="A41" s="12" t="s">
        <v>121</v>
      </c>
      <c r="B41" s="105">
        <v>1</v>
      </c>
      <c r="C41" s="40" t="s">
        <v>115</v>
      </c>
      <c r="D41" s="108">
        <v>2.75</v>
      </c>
      <c r="E41" s="42" t="s">
        <v>35</v>
      </c>
      <c r="J41" s="104"/>
      <c r="N41" s="4" t="s">
        <v>736</v>
      </c>
    </row>
    <row r="42" spans="1:14" x14ac:dyDescent="0.3">
      <c r="A42" s="12" t="s">
        <v>121</v>
      </c>
      <c r="B42" s="105">
        <v>1</v>
      </c>
      <c r="C42" s="40" t="s">
        <v>119</v>
      </c>
      <c r="D42" s="108">
        <v>82</v>
      </c>
      <c r="E42" s="42" t="s">
        <v>35</v>
      </c>
      <c r="J42" s="104"/>
      <c r="N42" s="4" t="s">
        <v>737</v>
      </c>
    </row>
    <row r="43" spans="1:14" s="65" customFormat="1" x14ac:dyDescent="0.3">
      <c r="A43" s="12" t="s">
        <v>121</v>
      </c>
      <c r="B43" s="105">
        <v>1</v>
      </c>
      <c r="C43" s="40" t="s">
        <v>256</v>
      </c>
      <c r="D43" s="108">
        <v>1.28</v>
      </c>
      <c r="E43" s="42" t="s">
        <v>676</v>
      </c>
      <c r="F43" s="108"/>
      <c r="G43" s="42"/>
      <c r="H43" s="72"/>
      <c r="I43" s="42"/>
      <c r="J43" s="104"/>
      <c r="K43" s="42"/>
      <c r="L43" s="107"/>
      <c r="M43" s="42"/>
      <c r="N43" s="4" t="s">
        <v>678</v>
      </c>
    </row>
    <row r="44" spans="1:14" s="65" customFormat="1" x14ac:dyDescent="0.3">
      <c r="A44" s="12" t="s">
        <v>121</v>
      </c>
      <c r="B44" s="105">
        <v>1</v>
      </c>
      <c r="C44" s="40" t="s">
        <v>256</v>
      </c>
      <c r="D44" s="108">
        <f>D43*1000/D52</f>
        <v>400</v>
      </c>
      <c r="E44" s="42" t="s">
        <v>259</v>
      </c>
      <c r="F44" s="108"/>
      <c r="G44" s="42"/>
      <c r="H44" s="72"/>
      <c r="I44" s="42"/>
      <c r="J44" s="104"/>
      <c r="K44" s="42"/>
      <c r="L44" s="107"/>
      <c r="M44" s="42"/>
      <c r="N44" s="4" t="s">
        <v>678</v>
      </c>
    </row>
    <row r="45" spans="1:14" s="65" customFormat="1" x14ac:dyDescent="0.3">
      <c r="A45" s="12" t="s">
        <v>121</v>
      </c>
      <c r="B45" s="105">
        <v>1</v>
      </c>
      <c r="C45" s="40" t="s">
        <v>256</v>
      </c>
      <c r="D45" s="108">
        <v>0.44400000000000001</v>
      </c>
      <c r="E45" s="42" t="s">
        <v>248</v>
      </c>
      <c r="F45" s="108"/>
      <c r="G45" s="42"/>
      <c r="H45" s="72"/>
      <c r="I45" s="42"/>
      <c r="J45" s="104"/>
      <c r="K45" s="42"/>
      <c r="L45" s="107"/>
      <c r="M45" s="42"/>
      <c r="N45" s="4" t="s">
        <v>678</v>
      </c>
    </row>
    <row r="46" spans="1:14" s="65" customFormat="1" x14ac:dyDescent="0.3">
      <c r="A46" s="12" t="s">
        <v>121</v>
      </c>
      <c r="B46" s="105">
        <v>1</v>
      </c>
      <c r="C46" s="40" t="s">
        <v>248</v>
      </c>
      <c r="D46" s="108">
        <v>2.88</v>
      </c>
      <c r="E46" s="42" t="s">
        <v>676</v>
      </c>
      <c r="F46" s="108"/>
      <c r="G46" s="42"/>
      <c r="H46" s="72"/>
      <c r="I46" s="42"/>
      <c r="J46" s="104"/>
      <c r="K46" s="42"/>
      <c r="L46" s="107"/>
      <c r="M46" s="42"/>
      <c r="N46" s="4" t="s">
        <v>678</v>
      </c>
    </row>
    <row r="47" spans="1:14" s="65" customFormat="1" x14ac:dyDescent="0.3">
      <c r="A47" s="12" t="s">
        <v>121</v>
      </c>
      <c r="B47" s="105">
        <v>1</v>
      </c>
      <c r="C47" s="40" t="s">
        <v>248</v>
      </c>
      <c r="D47" s="108">
        <f>D46*1000/D52</f>
        <v>900</v>
      </c>
      <c r="E47" s="42" t="s">
        <v>259</v>
      </c>
      <c r="F47" s="108"/>
      <c r="G47" s="42"/>
      <c r="H47" s="72"/>
      <c r="I47" s="42"/>
      <c r="J47" s="104"/>
      <c r="K47" s="42"/>
      <c r="L47" s="107"/>
      <c r="M47" s="42"/>
      <c r="N47" s="4" t="s">
        <v>678</v>
      </c>
    </row>
    <row r="48" spans="1:14" x14ac:dyDescent="0.3">
      <c r="A48" s="12" t="s">
        <v>121</v>
      </c>
      <c r="B48" s="105">
        <v>1</v>
      </c>
      <c r="C48" s="40" t="s">
        <v>264</v>
      </c>
      <c r="D48" s="108">
        <v>288</v>
      </c>
      <c r="E48" s="42" t="s">
        <v>676</v>
      </c>
      <c r="J48" s="104"/>
      <c r="N48" s="4" t="s">
        <v>678</v>
      </c>
    </row>
    <row r="49" spans="1:14" x14ac:dyDescent="0.3">
      <c r="A49" s="12" t="s">
        <v>121</v>
      </c>
      <c r="B49" s="105">
        <v>1</v>
      </c>
      <c r="C49" s="40" t="s">
        <v>264</v>
      </c>
      <c r="D49" s="108">
        <f>D48/D46</f>
        <v>100</v>
      </c>
      <c r="E49" s="42" t="s">
        <v>248</v>
      </c>
      <c r="J49" s="104"/>
      <c r="N49" s="4" t="s">
        <v>678</v>
      </c>
    </row>
    <row r="50" spans="1:14" x14ac:dyDescent="0.3">
      <c r="A50" s="12" t="s">
        <v>121</v>
      </c>
      <c r="B50" s="105">
        <v>1</v>
      </c>
      <c r="C50" s="40" t="s">
        <v>272</v>
      </c>
      <c r="D50" s="108">
        <v>240</v>
      </c>
      <c r="E50" s="42" t="s">
        <v>682</v>
      </c>
      <c r="J50" s="104"/>
      <c r="N50" s="4" t="s">
        <v>678</v>
      </c>
    </row>
    <row r="51" spans="1:14" x14ac:dyDescent="0.3">
      <c r="A51" s="12" t="s">
        <v>121</v>
      </c>
      <c r="B51" s="105">
        <v>1</v>
      </c>
      <c r="C51" s="40" t="s">
        <v>272</v>
      </c>
      <c r="D51" s="108">
        <f>D50/D52</f>
        <v>75</v>
      </c>
      <c r="E51" s="42" t="s">
        <v>259</v>
      </c>
      <c r="J51" s="104"/>
      <c r="N51" s="4" t="s">
        <v>678</v>
      </c>
    </row>
    <row r="52" spans="1:14" x14ac:dyDescent="0.3">
      <c r="A52" s="12" t="s">
        <v>121</v>
      </c>
      <c r="B52" s="105">
        <v>1</v>
      </c>
      <c r="C52" s="40" t="s">
        <v>259</v>
      </c>
      <c r="D52" s="108">
        <v>3.2</v>
      </c>
      <c r="E52" s="42" t="s">
        <v>682</v>
      </c>
      <c r="J52" s="104"/>
      <c r="N52" s="4" t="s">
        <v>678</v>
      </c>
    </row>
    <row r="53" spans="1:14" x14ac:dyDescent="0.3">
      <c r="A53" s="12" t="s">
        <v>121</v>
      </c>
      <c r="B53" s="105">
        <v>1</v>
      </c>
      <c r="C53" s="40" t="s">
        <v>273</v>
      </c>
      <c r="D53" s="108">
        <v>2</v>
      </c>
      <c r="E53" s="42" t="s">
        <v>274</v>
      </c>
      <c r="J53" s="104"/>
      <c r="N53" s="4" t="s">
        <v>678</v>
      </c>
    </row>
    <row r="54" spans="1:14" x14ac:dyDescent="0.3">
      <c r="A54" s="12" t="s">
        <v>121</v>
      </c>
      <c r="B54" s="105">
        <v>1</v>
      </c>
      <c r="C54" s="40" t="s">
        <v>273</v>
      </c>
      <c r="D54" s="108">
        <v>8</v>
      </c>
      <c r="E54" s="42" t="s">
        <v>275</v>
      </c>
      <c r="J54" s="104"/>
      <c r="N54" s="4" t="s">
        <v>678</v>
      </c>
    </row>
    <row r="55" spans="1:14" x14ac:dyDescent="0.3">
      <c r="A55" s="12" t="s">
        <v>121</v>
      </c>
      <c r="B55" s="105">
        <v>1</v>
      </c>
      <c r="C55" s="40" t="s">
        <v>273</v>
      </c>
      <c r="D55" s="108">
        <v>16</v>
      </c>
      <c r="E55" s="42" t="s">
        <v>276</v>
      </c>
      <c r="J55" s="104"/>
      <c r="N55" s="4" t="s">
        <v>678</v>
      </c>
    </row>
    <row r="56" spans="1:14" x14ac:dyDescent="0.3">
      <c r="A56" s="12" t="s">
        <v>121</v>
      </c>
      <c r="B56" s="105">
        <v>1</v>
      </c>
      <c r="C56" s="40" t="s">
        <v>276</v>
      </c>
      <c r="D56" s="108">
        <v>2.25</v>
      </c>
      <c r="E56" s="42" t="s">
        <v>261</v>
      </c>
      <c r="J56" s="104"/>
      <c r="N56" s="4" t="s">
        <v>678</v>
      </c>
    </row>
    <row r="57" spans="1:14" x14ac:dyDescent="0.3">
      <c r="A57" s="12" t="s">
        <v>121</v>
      </c>
      <c r="B57" s="105">
        <v>1</v>
      </c>
      <c r="C57" s="40" t="s">
        <v>277</v>
      </c>
      <c r="D57" s="108">
        <v>24</v>
      </c>
      <c r="E57" s="42" t="s">
        <v>261</v>
      </c>
      <c r="J57" s="104"/>
      <c r="N57" s="4" t="s">
        <v>678</v>
      </c>
    </row>
    <row r="58" spans="1:14" x14ac:dyDescent="0.3">
      <c r="A58" s="12" t="s">
        <v>121</v>
      </c>
      <c r="B58" s="105">
        <v>1</v>
      </c>
      <c r="C58" s="40" t="s">
        <v>278</v>
      </c>
      <c r="D58" s="108">
        <v>67.75</v>
      </c>
      <c r="E58" s="42" t="s">
        <v>279</v>
      </c>
      <c r="J58" s="104"/>
      <c r="N58" s="4" t="s">
        <v>678</v>
      </c>
    </row>
    <row r="59" spans="1:14" x14ac:dyDescent="0.3">
      <c r="A59" s="12" t="s">
        <v>121</v>
      </c>
      <c r="B59" s="105">
        <v>1</v>
      </c>
      <c r="C59" s="40" t="s">
        <v>280</v>
      </c>
      <c r="D59" s="108">
        <v>2.71</v>
      </c>
      <c r="E59" s="42" t="s">
        <v>281</v>
      </c>
      <c r="J59" s="104"/>
      <c r="N59" s="4" t="s">
        <v>678</v>
      </c>
    </row>
    <row r="60" spans="1:14" x14ac:dyDescent="0.3">
      <c r="A60" s="12" t="s">
        <v>121</v>
      </c>
      <c r="B60" s="105">
        <v>1</v>
      </c>
      <c r="C60" s="40" t="s">
        <v>282</v>
      </c>
      <c r="D60" s="108">
        <v>2.71</v>
      </c>
      <c r="E60" s="42" t="s">
        <v>283</v>
      </c>
      <c r="J60" s="104"/>
      <c r="N60" s="4" t="s">
        <v>678</v>
      </c>
    </row>
    <row r="61" spans="1:14" x14ac:dyDescent="0.3">
      <c r="A61" s="12" t="s">
        <v>121</v>
      </c>
      <c r="B61" s="105">
        <v>1</v>
      </c>
      <c r="C61" s="40" t="s">
        <v>778</v>
      </c>
      <c r="D61" s="108">
        <v>75</v>
      </c>
      <c r="E61" s="42" t="s">
        <v>279</v>
      </c>
      <c r="J61" s="104"/>
      <c r="N61" s="4" t="s">
        <v>678</v>
      </c>
    </row>
    <row r="62" spans="1:14" x14ac:dyDescent="0.3">
      <c r="A62" s="12" t="s">
        <v>121</v>
      </c>
      <c r="B62" s="105">
        <v>1</v>
      </c>
      <c r="C62" s="40" t="s">
        <v>284</v>
      </c>
      <c r="D62" s="108">
        <v>0.5625</v>
      </c>
      <c r="E62" s="42" t="s">
        <v>285</v>
      </c>
      <c r="J62" s="104"/>
      <c r="N62" s="4" t="s">
        <v>678</v>
      </c>
    </row>
    <row r="63" spans="1:14" x14ac:dyDescent="0.3">
      <c r="A63" s="12" t="s">
        <v>121</v>
      </c>
      <c r="B63" s="105">
        <v>1</v>
      </c>
      <c r="C63" s="40" t="s">
        <v>286</v>
      </c>
      <c r="D63" s="108">
        <v>1600</v>
      </c>
      <c r="E63" s="42" t="s">
        <v>288</v>
      </c>
      <c r="J63" s="104"/>
      <c r="N63" s="4" t="s">
        <v>678</v>
      </c>
    </row>
    <row r="64" spans="1:14" x14ac:dyDescent="0.3">
      <c r="A64" s="12" t="s">
        <v>121</v>
      </c>
      <c r="B64" s="105">
        <v>1</v>
      </c>
      <c r="C64" s="40" t="s">
        <v>286</v>
      </c>
      <c r="D64" s="108">
        <v>900</v>
      </c>
      <c r="E64" s="42" t="s">
        <v>285</v>
      </c>
      <c r="J64" s="104"/>
      <c r="N64" s="4" t="s">
        <v>678</v>
      </c>
    </row>
    <row r="65" spans="1:14" x14ac:dyDescent="0.3">
      <c r="A65" s="12" t="s">
        <v>121</v>
      </c>
      <c r="B65" s="105">
        <v>1</v>
      </c>
      <c r="C65" s="40" t="s">
        <v>727</v>
      </c>
      <c r="D65" s="108">
        <v>1.28</v>
      </c>
      <c r="E65" s="42" t="s">
        <v>676</v>
      </c>
      <c r="J65" s="104"/>
      <c r="N65" s="4" t="s">
        <v>679</v>
      </c>
    </row>
    <row r="66" spans="1:14" x14ac:dyDescent="0.3">
      <c r="A66" s="12" t="s">
        <v>121</v>
      </c>
      <c r="B66" s="105">
        <v>1</v>
      </c>
      <c r="C66" s="40" t="s">
        <v>680</v>
      </c>
      <c r="D66" s="108">
        <v>2.88</v>
      </c>
      <c r="E66" s="42" t="s">
        <v>676</v>
      </c>
      <c r="J66" s="104"/>
      <c r="N66" s="4" t="s">
        <v>679</v>
      </c>
    </row>
    <row r="67" spans="1:14" x14ac:dyDescent="0.3">
      <c r="A67" s="12" t="s">
        <v>121</v>
      </c>
      <c r="B67" s="105">
        <v>1</v>
      </c>
      <c r="C67" s="40" t="s">
        <v>249</v>
      </c>
      <c r="D67" s="108">
        <v>2.25</v>
      </c>
      <c r="E67" s="42" t="s">
        <v>261</v>
      </c>
      <c r="J67" s="104"/>
      <c r="N67" s="4" t="s">
        <v>679</v>
      </c>
    </row>
    <row r="68" spans="1:14" x14ac:dyDescent="0.3">
      <c r="A68" s="12" t="s">
        <v>121</v>
      </c>
      <c r="B68" s="105">
        <v>1</v>
      </c>
      <c r="C68" s="40" t="s">
        <v>114</v>
      </c>
      <c r="D68" s="108">
        <v>36</v>
      </c>
      <c r="E68" s="42" t="s">
        <v>261</v>
      </c>
      <c r="J68" s="104"/>
      <c r="N68" s="4" t="s">
        <v>679</v>
      </c>
    </row>
    <row r="69" spans="1:14" x14ac:dyDescent="0.3">
      <c r="A69" s="12" t="s">
        <v>121</v>
      </c>
      <c r="B69" s="105">
        <v>1</v>
      </c>
      <c r="C69" s="40" t="s">
        <v>262</v>
      </c>
      <c r="D69" s="108">
        <v>100</v>
      </c>
      <c r="E69" s="42" t="s">
        <v>263</v>
      </c>
      <c r="J69" s="104"/>
      <c r="N69" s="4" t="s">
        <v>679</v>
      </c>
    </row>
    <row r="70" spans="1:14" x14ac:dyDescent="0.3">
      <c r="A70" s="12" t="s">
        <v>121</v>
      </c>
      <c r="B70" s="105">
        <v>1</v>
      </c>
      <c r="C70" s="40" t="s">
        <v>269</v>
      </c>
      <c r="D70" s="108">
        <f>(1.14+2.84)/2</f>
        <v>1.9899999999999998</v>
      </c>
      <c r="E70" s="42" t="s">
        <v>261</v>
      </c>
      <c r="J70" s="104"/>
      <c r="N70" s="4" t="s">
        <v>679</v>
      </c>
    </row>
    <row r="71" spans="1:14" x14ac:dyDescent="0.3">
      <c r="A71" s="12" t="s">
        <v>121</v>
      </c>
      <c r="B71" s="105">
        <v>1</v>
      </c>
      <c r="C71" s="40" t="s">
        <v>270</v>
      </c>
      <c r="D71" s="108">
        <v>2.25</v>
      </c>
      <c r="E71" s="42" t="s">
        <v>261</v>
      </c>
      <c r="J71" s="104"/>
      <c r="N71" s="4" t="s">
        <v>679</v>
      </c>
    </row>
    <row r="72" spans="1:14" x14ac:dyDescent="0.3">
      <c r="A72" s="12" t="s">
        <v>121</v>
      </c>
      <c r="B72" s="105">
        <v>1</v>
      </c>
      <c r="C72" s="40" t="s">
        <v>271</v>
      </c>
      <c r="D72" s="108">
        <v>208.3</v>
      </c>
      <c r="E72" s="42" t="s">
        <v>685</v>
      </c>
      <c r="J72" s="104"/>
      <c r="N72" s="4" t="s">
        <v>679</v>
      </c>
    </row>
    <row r="73" spans="1:14" x14ac:dyDescent="0.3">
      <c r="A73" s="12" t="s">
        <v>121</v>
      </c>
      <c r="B73" s="105">
        <v>1</v>
      </c>
      <c r="C73" s="40" t="s">
        <v>286</v>
      </c>
      <c r="D73" s="108">
        <v>919</v>
      </c>
      <c r="E73" s="42" t="s">
        <v>287</v>
      </c>
      <c r="J73" s="104"/>
      <c r="N73" s="4" t="s">
        <v>679</v>
      </c>
    </row>
    <row r="74" spans="1:14" x14ac:dyDescent="0.3">
      <c r="A74" s="12" t="s">
        <v>121</v>
      </c>
      <c r="B74" s="105">
        <v>1</v>
      </c>
      <c r="C74" s="40" t="s">
        <v>235</v>
      </c>
      <c r="D74" s="108">
        <v>2150.42</v>
      </c>
      <c r="E74" s="42" t="s">
        <v>653</v>
      </c>
      <c r="F74" s="108">
        <v>35.239069999999998</v>
      </c>
      <c r="G74" s="42" t="s">
        <v>777</v>
      </c>
      <c r="H74" s="72">
        <v>3.5239069999999997E-2</v>
      </c>
      <c r="I74" s="42" t="s">
        <v>238</v>
      </c>
      <c r="J74" s="104"/>
      <c r="L74" s="124"/>
      <c r="N74" s="65" t="s">
        <v>255</v>
      </c>
    </row>
    <row r="75" spans="1:14" x14ac:dyDescent="0.3">
      <c r="A75" s="12" t="s">
        <v>121</v>
      </c>
      <c r="B75" s="105">
        <v>1</v>
      </c>
      <c r="C75" s="40" t="s">
        <v>681</v>
      </c>
      <c r="D75" s="108">
        <v>2.75</v>
      </c>
      <c r="E75" s="42" t="s">
        <v>35</v>
      </c>
      <c r="J75" s="104"/>
      <c r="N75" s="65" t="s">
        <v>255</v>
      </c>
    </row>
    <row r="76" spans="1:14" x14ac:dyDescent="0.3">
      <c r="A76" s="12" t="s">
        <v>121</v>
      </c>
      <c r="B76" s="105">
        <v>1</v>
      </c>
      <c r="C76" s="40" t="s">
        <v>236</v>
      </c>
      <c r="D76" s="108">
        <v>6</v>
      </c>
      <c r="E76" s="42" t="s">
        <v>35</v>
      </c>
      <c r="J76" s="104"/>
      <c r="N76" s="65" t="s">
        <v>255</v>
      </c>
    </row>
    <row r="77" spans="1:14" x14ac:dyDescent="0.3">
      <c r="A77" s="12" t="s">
        <v>121</v>
      </c>
      <c r="B77" s="105">
        <v>1</v>
      </c>
      <c r="C77" s="40" t="s">
        <v>680</v>
      </c>
      <c r="D77" s="108">
        <v>5.6</v>
      </c>
      <c r="E77" s="42" t="s">
        <v>35</v>
      </c>
      <c r="J77" s="104"/>
      <c r="N77" s="4" t="s">
        <v>738</v>
      </c>
    </row>
    <row r="78" spans="1:14" x14ac:dyDescent="0.3">
      <c r="A78" s="12" t="s">
        <v>121</v>
      </c>
      <c r="B78" s="105">
        <v>1</v>
      </c>
      <c r="C78" s="40" t="s">
        <v>262</v>
      </c>
      <c r="D78" s="108">
        <v>560</v>
      </c>
      <c r="E78" s="42" t="s">
        <v>35</v>
      </c>
      <c r="J78" s="104"/>
      <c r="N78" s="4" t="s">
        <v>738</v>
      </c>
    </row>
    <row r="79" spans="1:14" x14ac:dyDescent="0.3">
      <c r="A79" s="12" t="s">
        <v>121</v>
      </c>
      <c r="B79" s="105">
        <v>1</v>
      </c>
      <c r="C79" s="40" t="s">
        <v>269</v>
      </c>
      <c r="D79" s="108">
        <v>5.5</v>
      </c>
      <c r="E79" s="42" t="s">
        <v>244</v>
      </c>
      <c r="J79" s="104"/>
      <c r="N79" s="4" t="s">
        <v>776</v>
      </c>
    </row>
    <row r="80" spans="1:14" x14ac:dyDescent="0.3">
      <c r="A80" s="12" t="s">
        <v>121</v>
      </c>
      <c r="B80" s="105">
        <v>1</v>
      </c>
      <c r="C80" s="40" t="s">
        <v>115</v>
      </c>
      <c r="D80" s="108">
        <v>1.2829999999999999</v>
      </c>
      <c r="E80" s="42" t="s">
        <v>676</v>
      </c>
      <c r="J80" s="104"/>
      <c r="N80" s="4" t="s">
        <v>740</v>
      </c>
    </row>
    <row r="81" spans="1:20" x14ac:dyDescent="0.3">
      <c r="A81" s="12" t="s">
        <v>121</v>
      </c>
      <c r="B81" s="105">
        <v>1</v>
      </c>
      <c r="C81" s="40" t="s">
        <v>115</v>
      </c>
      <c r="D81" s="108">
        <v>400</v>
      </c>
      <c r="E81" s="42" t="s">
        <v>258</v>
      </c>
      <c r="J81" s="104"/>
      <c r="N81" s="4" t="s">
        <v>740</v>
      </c>
    </row>
    <row r="82" spans="1:20" x14ac:dyDescent="0.3">
      <c r="A82" s="12" t="s">
        <v>121</v>
      </c>
      <c r="B82" s="105">
        <v>1</v>
      </c>
      <c r="C82" s="40" t="s">
        <v>680</v>
      </c>
      <c r="D82" s="108">
        <f>AVERAGE(2.564,3.255)</f>
        <v>2.9095</v>
      </c>
      <c r="E82" s="42" t="s">
        <v>676</v>
      </c>
      <c r="J82" s="104"/>
      <c r="N82" s="4" t="s">
        <v>740</v>
      </c>
    </row>
    <row r="83" spans="1:20" x14ac:dyDescent="0.3">
      <c r="A83" s="12" t="s">
        <v>121</v>
      </c>
      <c r="B83" s="105">
        <v>1</v>
      </c>
      <c r="C83" s="40" t="s">
        <v>779</v>
      </c>
      <c r="D83" s="108">
        <v>100</v>
      </c>
      <c r="E83" s="42" t="s">
        <v>263</v>
      </c>
      <c r="J83" s="104"/>
      <c r="N83" s="4" t="s">
        <v>741</v>
      </c>
    </row>
    <row r="84" spans="1:20" x14ac:dyDescent="0.3">
      <c r="A84" s="12" t="s">
        <v>121</v>
      </c>
      <c r="B84" s="105">
        <v>1</v>
      </c>
      <c r="C84" s="40" t="s">
        <v>267</v>
      </c>
      <c r="D84" s="108">
        <v>180</v>
      </c>
      <c r="E84" s="42" t="s">
        <v>268</v>
      </c>
      <c r="J84" s="104"/>
      <c r="N84" s="4" t="s">
        <v>741</v>
      </c>
    </row>
    <row r="85" spans="1:20" x14ac:dyDescent="0.3">
      <c r="A85" s="12" t="s">
        <v>121</v>
      </c>
      <c r="B85" s="105">
        <v>1</v>
      </c>
      <c r="C85" s="40" t="s">
        <v>267</v>
      </c>
      <c r="D85" s="108">
        <v>200</v>
      </c>
      <c r="E85" s="42" t="s">
        <v>268</v>
      </c>
      <c r="J85" s="104"/>
      <c r="N85" s="4" t="s">
        <v>741</v>
      </c>
    </row>
    <row r="86" spans="1:20" x14ac:dyDescent="0.3">
      <c r="A86" s="12" t="s">
        <v>121</v>
      </c>
      <c r="B86" s="105">
        <v>1</v>
      </c>
      <c r="C86" s="40" t="s">
        <v>257</v>
      </c>
      <c r="D86" s="108">
        <v>1285.4000000000001</v>
      </c>
      <c r="E86" s="42" t="s">
        <v>686</v>
      </c>
      <c r="J86" s="104"/>
      <c r="N86" s="4" t="s">
        <v>742</v>
      </c>
    </row>
    <row r="87" spans="1:20" x14ac:dyDescent="0.3">
      <c r="A87" s="12" t="s">
        <v>121</v>
      </c>
      <c r="B87" s="105">
        <v>1</v>
      </c>
      <c r="C87" s="40" t="s">
        <v>100</v>
      </c>
      <c r="D87" s="108">
        <v>1.00075</v>
      </c>
      <c r="E87" s="42" t="s">
        <v>260</v>
      </c>
      <c r="J87" s="104"/>
      <c r="N87" s="4" t="s">
        <v>743</v>
      </c>
    </row>
    <row r="88" spans="1:20" x14ac:dyDescent="0.3">
      <c r="A88" s="12" t="s">
        <v>121</v>
      </c>
      <c r="B88" s="105">
        <v>1</v>
      </c>
      <c r="C88" s="40" t="s">
        <v>100</v>
      </c>
      <c r="D88" s="108">
        <v>35.26</v>
      </c>
      <c r="E88" s="42" t="s">
        <v>261</v>
      </c>
      <c r="J88" s="104"/>
      <c r="N88" s="4" t="s">
        <v>744</v>
      </c>
    </row>
    <row r="89" spans="1:20" x14ac:dyDescent="0.3">
      <c r="A89" s="12" t="s">
        <v>121</v>
      </c>
      <c r="B89" s="105">
        <v>1</v>
      </c>
      <c r="C89" s="40" t="s">
        <v>265</v>
      </c>
      <c r="D89" s="108">
        <v>44</v>
      </c>
      <c r="E89" s="42" t="s">
        <v>266</v>
      </c>
      <c r="J89" s="104"/>
      <c r="N89" s="4" t="s">
        <v>745</v>
      </c>
    </row>
    <row r="90" spans="1:20" x14ac:dyDescent="0.3">
      <c r="A90" s="12" t="s">
        <v>121</v>
      </c>
      <c r="B90" s="105">
        <v>1</v>
      </c>
      <c r="C90" s="40" t="s">
        <v>289</v>
      </c>
      <c r="D90" s="108">
        <v>0.5</v>
      </c>
      <c r="E90" s="42" t="s">
        <v>683</v>
      </c>
      <c r="J90" s="104"/>
      <c r="L90" s="133"/>
      <c r="N90" s="4" t="s">
        <v>738</v>
      </c>
      <c r="O90" s="65"/>
      <c r="P90" s="65"/>
      <c r="T90" s="65"/>
    </row>
    <row r="91" spans="1:20" x14ac:dyDescent="0.3">
      <c r="A91" s="12" t="s">
        <v>121</v>
      </c>
      <c r="B91" s="105">
        <v>1</v>
      </c>
      <c r="C91" s="40" t="s">
        <v>290</v>
      </c>
      <c r="D91" s="108">
        <v>5.6</v>
      </c>
      <c r="E91" s="42" t="s">
        <v>35</v>
      </c>
      <c r="J91" s="104"/>
      <c r="L91" s="133"/>
      <c r="N91" s="4" t="s">
        <v>738</v>
      </c>
      <c r="O91" s="65"/>
      <c r="P91" s="65"/>
      <c r="T91" s="65"/>
    </row>
    <row r="92" spans="1:20" x14ac:dyDescent="0.3">
      <c r="A92" s="12" t="s">
        <v>121</v>
      </c>
      <c r="B92" s="105">
        <v>1</v>
      </c>
      <c r="C92" s="40" t="s">
        <v>291</v>
      </c>
      <c r="D92" s="108">
        <v>27</v>
      </c>
      <c r="E92" s="42" t="s">
        <v>292</v>
      </c>
      <c r="J92" s="104"/>
      <c r="L92" s="133"/>
      <c r="N92" s="4" t="s">
        <v>738</v>
      </c>
      <c r="O92" s="65"/>
      <c r="P92" s="65"/>
      <c r="T92" s="65"/>
    </row>
    <row r="93" spans="1:20" x14ac:dyDescent="0.3">
      <c r="A93" s="12" t="s">
        <v>121</v>
      </c>
      <c r="B93" s="105">
        <v>1</v>
      </c>
      <c r="C93" s="40" t="s">
        <v>293</v>
      </c>
      <c r="D93" s="108">
        <v>1600</v>
      </c>
      <c r="E93" s="42" t="s">
        <v>294</v>
      </c>
      <c r="J93" s="104"/>
      <c r="L93" s="133"/>
      <c r="N93" s="4" t="s">
        <v>738</v>
      </c>
      <c r="O93" s="65"/>
      <c r="P93" s="65"/>
      <c r="T93" s="65"/>
    </row>
    <row r="94" spans="1:20" x14ac:dyDescent="0.3">
      <c r="A94" s="12" t="s">
        <v>121</v>
      </c>
      <c r="B94" s="105">
        <v>1</v>
      </c>
      <c r="C94" s="40" t="s">
        <v>295</v>
      </c>
      <c r="D94" s="108">
        <f>4.5/0.25</f>
        <v>18</v>
      </c>
      <c r="E94" s="42" t="s">
        <v>671</v>
      </c>
      <c r="J94" s="104"/>
      <c r="L94" s="133"/>
      <c r="N94" s="4" t="s">
        <v>738</v>
      </c>
      <c r="O94" s="65"/>
      <c r="P94" s="65"/>
      <c r="T94" s="65"/>
    </row>
    <row r="95" spans="1:20" x14ac:dyDescent="0.3">
      <c r="A95" s="12"/>
      <c r="B95" s="105">
        <v>1</v>
      </c>
      <c r="C95" s="40" t="s">
        <v>821</v>
      </c>
      <c r="D95" s="108">
        <v>6.3502931800000004</v>
      </c>
      <c r="E95" s="42" t="s">
        <v>99</v>
      </c>
      <c r="F95" s="108">
        <f>D95*D7</f>
        <v>13.9999833504916</v>
      </c>
      <c r="G95" s="42" t="s">
        <v>35</v>
      </c>
      <c r="J95" s="104"/>
      <c r="L95" s="133"/>
      <c r="N95" s="4" t="s">
        <v>822</v>
      </c>
      <c r="O95" s="65"/>
      <c r="P95" s="65"/>
      <c r="T95" s="65"/>
    </row>
    <row r="96" spans="1:20" ht="14.4" customHeight="1" x14ac:dyDescent="0.3">
      <c r="A96" s="4" t="s">
        <v>121</v>
      </c>
      <c r="B96" s="105"/>
      <c r="C96" s="42"/>
      <c r="D96" s="107"/>
      <c r="F96" s="107"/>
      <c r="N96" s="27"/>
      <c r="O96" s="3"/>
    </row>
    <row r="97" spans="1:16" ht="14.4" customHeight="1" x14ac:dyDescent="0.3">
      <c r="A97" s="117" t="s">
        <v>690</v>
      </c>
      <c r="B97" s="105"/>
      <c r="C97" s="42"/>
      <c r="D97" s="107"/>
      <c r="F97" s="107"/>
      <c r="N97" s="27"/>
      <c r="O97" s="3"/>
    </row>
    <row r="98" spans="1:16" ht="14.4" customHeight="1" x14ac:dyDescent="0.3">
      <c r="A98" s="69" t="s">
        <v>121</v>
      </c>
      <c r="B98" s="105"/>
      <c r="C98" s="65"/>
      <c r="D98" s="112"/>
      <c r="F98" s="112"/>
      <c r="H98" s="127"/>
      <c r="J98" s="127"/>
      <c r="L98" s="123"/>
      <c r="N98" s="27"/>
      <c r="P98" s="3"/>
    </row>
    <row r="99" spans="1:16" x14ac:dyDescent="0.3">
      <c r="A99" s="4" t="s">
        <v>403</v>
      </c>
      <c r="B99" s="105">
        <v>1</v>
      </c>
      <c r="C99" s="40" t="s">
        <v>9</v>
      </c>
      <c r="D99" s="108">
        <v>350</v>
      </c>
      <c r="E99" s="42" t="s">
        <v>35</v>
      </c>
      <c r="N99" s="4" t="s">
        <v>255</v>
      </c>
    </row>
    <row r="100" spans="1:16" ht="12.6" customHeight="1" x14ac:dyDescent="0.3">
      <c r="A100" s="65" t="s">
        <v>403</v>
      </c>
      <c r="B100" s="105">
        <v>1</v>
      </c>
      <c r="C100" s="42" t="s">
        <v>9</v>
      </c>
      <c r="D100" s="107">
        <v>373.33</v>
      </c>
      <c r="E100" s="42" t="s">
        <v>35</v>
      </c>
      <c r="F100" s="107">
        <f>D100/D5</f>
        <v>3.3333035714285715</v>
      </c>
      <c r="G100" s="42" t="s">
        <v>36</v>
      </c>
      <c r="N100" s="4" t="s">
        <v>602</v>
      </c>
    </row>
    <row r="101" spans="1:16" ht="14.4" customHeight="1" x14ac:dyDescent="0.3">
      <c r="A101" s="35" t="s">
        <v>19</v>
      </c>
      <c r="B101" s="105">
        <v>1</v>
      </c>
      <c r="C101" s="57" t="s">
        <v>20</v>
      </c>
      <c r="D101" s="110">
        <v>0.15175</v>
      </c>
      <c r="E101" s="42" t="s">
        <v>36</v>
      </c>
      <c r="F101" s="110">
        <v>16.997</v>
      </c>
      <c r="G101" s="42" t="s">
        <v>35</v>
      </c>
      <c r="H101" s="80"/>
      <c r="J101" s="125"/>
      <c r="N101" s="4" t="s">
        <v>255</v>
      </c>
    </row>
    <row r="102" spans="1:16" x14ac:dyDescent="0.3">
      <c r="A102" s="4" t="s">
        <v>513</v>
      </c>
      <c r="B102" s="105">
        <v>1</v>
      </c>
      <c r="C102" s="40" t="s">
        <v>9</v>
      </c>
      <c r="D102" s="108">
        <v>50</v>
      </c>
      <c r="E102" s="42" t="s">
        <v>566</v>
      </c>
      <c r="N102" s="4" t="s">
        <v>647</v>
      </c>
    </row>
    <row r="103" spans="1:16" ht="15" customHeight="1" x14ac:dyDescent="0.3">
      <c r="A103" s="11" t="s">
        <v>96</v>
      </c>
      <c r="B103" s="105">
        <v>1</v>
      </c>
      <c r="C103" s="42" t="s">
        <v>68</v>
      </c>
      <c r="D103" s="107">
        <v>640</v>
      </c>
      <c r="E103" s="42" t="s">
        <v>35</v>
      </c>
      <c r="F103" s="108">
        <f>D103/D5</f>
        <v>5.7142857142857144</v>
      </c>
      <c r="G103" s="42" t="s">
        <v>61</v>
      </c>
      <c r="H103" s="79"/>
      <c r="N103" s="4" t="s">
        <v>602</v>
      </c>
    </row>
    <row r="104" spans="1:16" ht="14.4" customHeight="1" x14ac:dyDescent="0.3">
      <c r="A104" s="9" t="s">
        <v>79</v>
      </c>
      <c r="B104" s="105">
        <v>1</v>
      </c>
      <c r="C104" s="34" t="s">
        <v>14</v>
      </c>
      <c r="D104" s="108">
        <v>440</v>
      </c>
      <c r="E104" s="42" t="s">
        <v>35</v>
      </c>
      <c r="F104" s="109">
        <f>439.681/D5</f>
        <v>3.9257232142857141</v>
      </c>
      <c r="G104" s="42" t="s">
        <v>36</v>
      </c>
      <c r="H104" s="77">
        <f>F104/D8</f>
        <v>0.1962861607142857</v>
      </c>
      <c r="I104" s="42" t="s">
        <v>97</v>
      </c>
      <c r="J104" s="128"/>
      <c r="N104" s="4" t="s">
        <v>594</v>
      </c>
    </row>
    <row r="105" spans="1:16" ht="14.4" customHeight="1" x14ac:dyDescent="0.3">
      <c r="A105" s="10" t="s">
        <v>120</v>
      </c>
      <c r="B105" s="105">
        <v>1</v>
      </c>
      <c r="C105" s="34" t="s">
        <v>14</v>
      </c>
      <c r="D105" s="109">
        <v>324</v>
      </c>
      <c r="E105" s="42" t="s">
        <v>35</v>
      </c>
      <c r="F105" s="107">
        <f>D105/D5</f>
        <v>2.8928571428571428</v>
      </c>
      <c r="G105" s="42" t="s">
        <v>36</v>
      </c>
      <c r="H105" s="77">
        <f>D105/F8</f>
        <v>0.14464285714285716</v>
      </c>
      <c r="I105" s="42" t="s">
        <v>97</v>
      </c>
      <c r="J105" s="128"/>
      <c r="L105" s="109"/>
      <c r="N105" s="4" t="s">
        <v>746</v>
      </c>
    </row>
    <row r="106" spans="1:16" x14ac:dyDescent="0.3">
      <c r="A106" s="12" t="s">
        <v>120</v>
      </c>
      <c r="B106" s="105">
        <v>1</v>
      </c>
      <c r="C106" s="40" t="s">
        <v>14</v>
      </c>
      <c r="D106" s="108">
        <v>708.42499999999995</v>
      </c>
      <c r="E106" s="42" t="s">
        <v>35</v>
      </c>
      <c r="J106" s="104"/>
      <c r="N106" s="4" t="s">
        <v>747</v>
      </c>
    </row>
    <row r="107" spans="1:16" x14ac:dyDescent="0.3">
      <c r="A107" s="4" t="s">
        <v>41</v>
      </c>
      <c r="B107" s="105">
        <v>1</v>
      </c>
      <c r="C107" s="40" t="s">
        <v>14</v>
      </c>
      <c r="D107" s="108">
        <v>354.66666666666669</v>
      </c>
      <c r="E107" s="42" t="s">
        <v>35</v>
      </c>
      <c r="N107" s="4" t="s">
        <v>255</v>
      </c>
    </row>
    <row r="108" spans="1:16" x14ac:dyDescent="0.3">
      <c r="A108" s="4" t="s">
        <v>489</v>
      </c>
      <c r="B108" s="105">
        <v>1</v>
      </c>
      <c r="C108" s="40" t="s">
        <v>570</v>
      </c>
      <c r="D108" s="108">
        <v>15</v>
      </c>
      <c r="E108" s="42" t="s">
        <v>35</v>
      </c>
      <c r="N108" s="27" t="s">
        <v>748</v>
      </c>
    </row>
    <row r="109" spans="1:16" x14ac:dyDescent="0.3">
      <c r="A109" s="4" t="s">
        <v>486</v>
      </c>
      <c r="B109" s="105">
        <v>1</v>
      </c>
      <c r="C109" s="40" t="s">
        <v>14</v>
      </c>
      <c r="D109" s="108">
        <v>327.01694820043798</v>
      </c>
      <c r="E109" s="42" t="s">
        <v>35</v>
      </c>
      <c r="N109" s="4" t="s">
        <v>785</v>
      </c>
    </row>
    <row r="110" spans="1:16" x14ac:dyDescent="0.3">
      <c r="A110" s="4" t="s">
        <v>525</v>
      </c>
      <c r="B110" s="105">
        <v>1</v>
      </c>
      <c r="C110" s="40" t="s">
        <v>14</v>
      </c>
      <c r="D110" s="108">
        <v>360</v>
      </c>
      <c r="E110" s="42" t="s">
        <v>35</v>
      </c>
      <c r="N110" s="65" t="s">
        <v>786</v>
      </c>
    </row>
    <row r="111" spans="1:16" ht="14.4" customHeight="1" x14ac:dyDescent="0.3">
      <c r="A111" s="3" t="s">
        <v>41</v>
      </c>
      <c r="B111" s="105">
        <v>1</v>
      </c>
      <c r="C111" s="40" t="s">
        <v>14</v>
      </c>
      <c r="D111" s="107">
        <f>(355+327)/2</f>
        <v>341</v>
      </c>
      <c r="E111" s="42" t="s">
        <v>35</v>
      </c>
      <c r="F111" s="108">
        <f>D111/D5</f>
        <v>3.0446428571428572</v>
      </c>
      <c r="G111" s="42" t="s">
        <v>36</v>
      </c>
      <c r="N111" s="27" t="s">
        <v>749</v>
      </c>
    </row>
    <row r="112" spans="1:16" ht="14.4" customHeight="1" x14ac:dyDescent="0.3">
      <c r="A112" s="67" t="s">
        <v>41</v>
      </c>
      <c r="B112" s="105">
        <v>1</v>
      </c>
      <c r="C112" s="40" t="s">
        <v>68</v>
      </c>
      <c r="D112" s="107">
        <v>1</v>
      </c>
      <c r="E112" s="42" t="s">
        <v>14</v>
      </c>
      <c r="F112" s="108">
        <f>F111</f>
        <v>3.0446428571428572</v>
      </c>
      <c r="G112" s="42" t="s">
        <v>36</v>
      </c>
      <c r="H112" s="73"/>
      <c r="N112" s="4" t="s">
        <v>255</v>
      </c>
    </row>
    <row r="113" spans="1:14" ht="15" customHeight="1" x14ac:dyDescent="0.3">
      <c r="A113" s="67" t="s">
        <v>41</v>
      </c>
      <c r="B113" s="105">
        <v>1</v>
      </c>
      <c r="C113" s="42" t="s">
        <v>69</v>
      </c>
      <c r="D113" s="107">
        <f>(2.2+2.5)/2</f>
        <v>2.35</v>
      </c>
      <c r="E113" s="42" t="s">
        <v>35</v>
      </c>
      <c r="F113" s="108">
        <f>D113/D5</f>
        <v>2.0982142857142859E-2</v>
      </c>
      <c r="G113" s="42" t="s">
        <v>36</v>
      </c>
      <c r="H113" s="73"/>
      <c r="N113" s="65" t="s">
        <v>750</v>
      </c>
    </row>
    <row r="114" spans="1:14" x14ac:dyDescent="0.3">
      <c r="A114" s="12" t="s">
        <v>510</v>
      </c>
      <c r="B114" s="105">
        <v>1</v>
      </c>
      <c r="C114" s="40" t="s">
        <v>14</v>
      </c>
      <c r="D114" s="108">
        <v>708.42500000000007</v>
      </c>
      <c r="E114" s="42" t="s">
        <v>35</v>
      </c>
      <c r="J114" s="104"/>
      <c r="N114" s="65" t="s">
        <v>786</v>
      </c>
    </row>
    <row r="115" spans="1:14" x14ac:dyDescent="0.3">
      <c r="A115" s="4" t="s">
        <v>469</v>
      </c>
      <c r="B115" s="105">
        <v>1</v>
      </c>
      <c r="C115" s="40" t="s">
        <v>14</v>
      </c>
      <c r="D115" s="108">
        <v>334</v>
      </c>
      <c r="E115" s="42" t="s">
        <v>35</v>
      </c>
      <c r="N115" s="4" t="s">
        <v>588</v>
      </c>
    </row>
    <row r="116" spans="1:14" x14ac:dyDescent="0.3">
      <c r="A116" s="4" t="s">
        <v>468</v>
      </c>
      <c r="B116" s="105">
        <v>1</v>
      </c>
      <c r="C116" s="40" t="s">
        <v>14</v>
      </c>
      <c r="D116" s="108">
        <v>334</v>
      </c>
      <c r="E116" s="42" t="s">
        <v>35</v>
      </c>
      <c r="N116" s="4" t="s">
        <v>588</v>
      </c>
    </row>
    <row r="117" spans="1:14" x14ac:dyDescent="0.3">
      <c r="A117" s="12" t="s">
        <v>15</v>
      </c>
      <c r="B117" s="105">
        <v>1</v>
      </c>
      <c r="C117" s="40" t="s">
        <v>14</v>
      </c>
      <c r="D117" s="108">
        <v>708.42500000000007</v>
      </c>
      <c r="E117" s="42" t="s">
        <v>35</v>
      </c>
      <c r="J117" s="104"/>
      <c r="N117" s="65" t="s">
        <v>786</v>
      </c>
    </row>
    <row r="118" spans="1:14" x14ac:dyDescent="0.3">
      <c r="A118" s="4" t="s">
        <v>15</v>
      </c>
      <c r="B118" s="105">
        <v>1</v>
      </c>
      <c r="C118" s="40" t="s">
        <v>14</v>
      </c>
      <c r="D118" s="108">
        <v>334</v>
      </c>
      <c r="E118" s="42" t="s">
        <v>35</v>
      </c>
      <c r="F118" s="107">
        <v>2.98</v>
      </c>
      <c r="G118" s="42" t="s">
        <v>36</v>
      </c>
      <c r="N118" s="4" t="s">
        <v>588</v>
      </c>
    </row>
    <row r="119" spans="1:14" s="65" customFormat="1" ht="14.4" customHeight="1" x14ac:dyDescent="0.3">
      <c r="A119" s="83" t="s">
        <v>15</v>
      </c>
      <c r="B119" s="105">
        <v>1</v>
      </c>
      <c r="C119" s="34" t="s">
        <v>9</v>
      </c>
      <c r="D119" s="113">
        <v>1.5</v>
      </c>
      <c r="E119" s="42" t="s">
        <v>103</v>
      </c>
      <c r="F119" s="113">
        <f>D119*F134</f>
        <v>4.4732142857142856</v>
      </c>
      <c r="G119" s="42" t="s">
        <v>36</v>
      </c>
      <c r="H119" s="74"/>
      <c r="I119" s="42"/>
      <c r="J119" s="130"/>
      <c r="K119" s="42"/>
      <c r="L119" s="107"/>
      <c r="M119" s="42"/>
      <c r="N119" s="65" t="s">
        <v>255</v>
      </c>
    </row>
    <row r="120" spans="1:14" x14ac:dyDescent="0.3">
      <c r="A120" s="12" t="s">
        <v>655</v>
      </c>
      <c r="B120" s="105">
        <v>1</v>
      </c>
      <c r="C120" s="40" t="s">
        <v>14</v>
      </c>
      <c r="D120" s="108">
        <v>708.42500000000007</v>
      </c>
      <c r="E120" s="42" t="s">
        <v>35</v>
      </c>
      <c r="J120" s="104"/>
      <c r="N120" s="4" t="s">
        <v>786</v>
      </c>
    </row>
    <row r="121" spans="1:14" ht="14.4" customHeight="1" x14ac:dyDescent="0.3">
      <c r="A121" s="3" t="s">
        <v>540</v>
      </c>
      <c r="B121" s="105">
        <v>1</v>
      </c>
      <c r="C121" s="42" t="s">
        <v>14</v>
      </c>
      <c r="D121" s="107">
        <f>600/400</f>
        <v>1.5</v>
      </c>
      <c r="E121" s="42" t="s">
        <v>61</v>
      </c>
      <c r="F121" s="107"/>
      <c r="H121" s="73"/>
      <c r="N121" s="65" t="s">
        <v>589</v>
      </c>
    </row>
    <row r="122" spans="1:14" x14ac:dyDescent="0.3">
      <c r="A122" s="4" t="s">
        <v>720</v>
      </c>
      <c r="B122" s="105">
        <v>1</v>
      </c>
      <c r="C122" s="40" t="s">
        <v>570</v>
      </c>
      <c r="D122" s="108">
        <v>34.375</v>
      </c>
      <c r="E122" s="42" t="s">
        <v>35</v>
      </c>
      <c r="N122" s="4" t="s">
        <v>751</v>
      </c>
    </row>
    <row r="123" spans="1:14" ht="15" customHeight="1" x14ac:dyDescent="0.3">
      <c r="A123" s="8" t="s">
        <v>42</v>
      </c>
      <c r="B123" s="105">
        <v>1</v>
      </c>
      <c r="C123" s="34" t="s">
        <v>14</v>
      </c>
      <c r="D123" s="113">
        <v>336</v>
      </c>
      <c r="E123" s="42" t="s">
        <v>35</v>
      </c>
      <c r="F123" s="109">
        <f>D123/D5</f>
        <v>3</v>
      </c>
      <c r="G123" s="42" t="s">
        <v>36</v>
      </c>
      <c r="H123" s="77">
        <f>F123/D8</f>
        <v>0.15</v>
      </c>
      <c r="I123" s="42" t="s">
        <v>97</v>
      </c>
      <c r="N123" s="4" t="s">
        <v>594</v>
      </c>
    </row>
    <row r="124" spans="1:14" ht="14.4" customHeight="1" x14ac:dyDescent="0.3">
      <c r="A124" s="84" t="s">
        <v>42</v>
      </c>
      <c r="B124" s="105">
        <v>1</v>
      </c>
      <c r="C124" s="42" t="s">
        <v>85</v>
      </c>
      <c r="D124" s="107">
        <v>2.0271699999999999</v>
      </c>
      <c r="E124" s="42" t="s">
        <v>14</v>
      </c>
      <c r="F124" s="108">
        <f>D124*F123</f>
        <v>6.0815099999999997</v>
      </c>
      <c r="G124" s="42" t="s">
        <v>36</v>
      </c>
      <c r="N124" s="65" t="s">
        <v>255</v>
      </c>
    </row>
    <row r="125" spans="1:14" x14ac:dyDescent="0.3">
      <c r="A125" s="4" t="s">
        <v>591</v>
      </c>
      <c r="B125" s="105">
        <v>1</v>
      </c>
      <c r="C125" s="40" t="s">
        <v>570</v>
      </c>
      <c r="D125" s="108">
        <v>34.375</v>
      </c>
      <c r="E125" s="42" t="s">
        <v>35</v>
      </c>
      <c r="N125" s="4" t="s">
        <v>751</v>
      </c>
    </row>
    <row r="126" spans="1:14" x14ac:dyDescent="0.3">
      <c r="A126" s="4" t="s">
        <v>500</v>
      </c>
      <c r="B126" s="105">
        <v>1</v>
      </c>
      <c r="C126" s="40" t="s">
        <v>570</v>
      </c>
      <c r="D126" s="108">
        <v>34.375</v>
      </c>
      <c r="E126" s="42" t="s">
        <v>35</v>
      </c>
      <c r="N126" s="4" t="s">
        <v>751</v>
      </c>
    </row>
    <row r="127" spans="1:14" x14ac:dyDescent="0.3">
      <c r="A127" s="4" t="s">
        <v>509</v>
      </c>
      <c r="B127" s="105">
        <v>1</v>
      </c>
      <c r="C127" s="40" t="s">
        <v>14</v>
      </c>
      <c r="D127" s="108">
        <v>336</v>
      </c>
      <c r="E127" s="42" t="s">
        <v>35</v>
      </c>
      <c r="N127" s="4" t="s">
        <v>594</v>
      </c>
    </row>
    <row r="128" spans="1:14" x14ac:dyDescent="0.3">
      <c r="A128" s="4" t="s">
        <v>471</v>
      </c>
      <c r="B128" s="105">
        <v>1</v>
      </c>
      <c r="C128" s="40" t="s">
        <v>85</v>
      </c>
      <c r="D128" s="108">
        <v>240</v>
      </c>
      <c r="E128" s="42" t="s">
        <v>35</v>
      </c>
      <c r="N128" s="4" t="s">
        <v>648</v>
      </c>
    </row>
    <row r="129" spans="1:14" x14ac:dyDescent="0.3">
      <c r="A129" s="12" t="s">
        <v>471</v>
      </c>
      <c r="B129" s="105">
        <v>1</v>
      </c>
      <c r="C129" s="40" t="s">
        <v>14</v>
      </c>
      <c r="D129" s="108">
        <v>708.42500000000007</v>
      </c>
      <c r="E129" s="42" t="s">
        <v>35</v>
      </c>
      <c r="J129" s="104"/>
      <c r="N129" s="4" t="s">
        <v>786</v>
      </c>
    </row>
    <row r="130" spans="1:14" ht="14.4" customHeight="1" x14ac:dyDescent="0.3">
      <c r="A130" s="8" t="s">
        <v>13</v>
      </c>
      <c r="B130" s="105">
        <v>1</v>
      </c>
      <c r="C130" s="34" t="s">
        <v>14</v>
      </c>
      <c r="D130" s="108">
        <v>336</v>
      </c>
      <c r="E130" s="42" t="s">
        <v>35</v>
      </c>
      <c r="F130" s="109">
        <v>3</v>
      </c>
      <c r="G130" s="42" t="s">
        <v>36</v>
      </c>
      <c r="H130" s="77">
        <f>F130/D8</f>
        <v>0.15</v>
      </c>
      <c r="I130" s="42" t="s">
        <v>97</v>
      </c>
      <c r="J130" s="128"/>
      <c r="L130" s="109"/>
      <c r="N130" s="4" t="s">
        <v>594</v>
      </c>
    </row>
    <row r="131" spans="1:14" ht="14.4" customHeight="1" x14ac:dyDescent="0.3">
      <c r="A131" s="8" t="s">
        <v>13</v>
      </c>
      <c r="B131" s="105">
        <v>1</v>
      </c>
      <c r="C131" s="34" t="s">
        <v>9</v>
      </c>
      <c r="D131" s="109">
        <v>400</v>
      </c>
      <c r="E131" s="42" t="s">
        <v>35</v>
      </c>
      <c r="F131" s="109">
        <f>D131/D5</f>
        <v>3.5714285714285716</v>
      </c>
      <c r="G131" s="42" t="s">
        <v>36</v>
      </c>
      <c r="H131" s="77">
        <f>F131/D8</f>
        <v>0.17857142857142858</v>
      </c>
      <c r="I131" s="42" t="s">
        <v>97</v>
      </c>
      <c r="J131" s="128"/>
      <c r="L131" s="109"/>
      <c r="N131" s="4" t="s">
        <v>649</v>
      </c>
    </row>
    <row r="132" spans="1:14" ht="14.4" customHeight="1" x14ac:dyDescent="0.3">
      <c r="A132" s="71" t="s">
        <v>13</v>
      </c>
      <c r="B132" s="105">
        <v>1</v>
      </c>
      <c r="C132" s="34" t="s">
        <v>14</v>
      </c>
      <c r="D132" s="113">
        <v>0.19740815197519618</v>
      </c>
      <c r="E132" s="42" t="s">
        <v>97</v>
      </c>
      <c r="F132" s="113"/>
      <c r="H132" s="74"/>
      <c r="J132" s="77"/>
      <c r="L132" s="113"/>
      <c r="N132" s="4" t="s">
        <v>590</v>
      </c>
    </row>
    <row r="133" spans="1:14" x14ac:dyDescent="0.3">
      <c r="A133" s="12" t="s">
        <v>657</v>
      </c>
      <c r="B133" s="105">
        <v>1</v>
      </c>
      <c r="C133" s="40" t="s">
        <v>14</v>
      </c>
      <c r="D133" s="108">
        <v>90</v>
      </c>
      <c r="E133" s="42" t="s">
        <v>35</v>
      </c>
      <c r="J133" s="104"/>
      <c r="N133" s="4" t="s">
        <v>752</v>
      </c>
    </row>
    <row r="134" spans="1:14" ht="14.4" customHeight="1" x14ac:dyDescent="0.3">
      <c r="A134" s="83" t="s">
        <v>104</v>
      </c>
      <c r="B134" s="105">
        <v>1</v>
      </c>
      <c r="C134" s="34" t="s">
        <v>14</v>
      </c>
      <c r="D134" s="109">
        <v>334</v>
      </c>
      <c r="E134" s="42" t="s">
        <v>46</v>
      </c>
      <c r="F134" s="109">
        <f>D134/D5</f>
        <v>2.9821428571428572</v>
      </c>
      <c r="G134" s="42" t="s">
        <v>36</v>
      </c>
      <c r="H134" s="77">
        <f>F134/D8</f>
        <v>0.14910714285714285</v>
      </c>
      <c r="I134" s="42" t="s">
        <v>97</v>
      </c>
      <c r="J134" s="128"/>
      <c r="N134" s="65" t="s">
        <v>786</v>
      </c>
    </row>
    <row r="135" spans="1:14" ht="14.4" customHeight="1" x14ac:dyDescent="0.3">
      <c r="A135" s="8" t="s">
        <v>104</v>
      </c>
      <c r="B135" s="105">
        <v>1</v>
      </c>
      <c r="C135" s="34" t="s">
        <v>9</v>
      </c>
      <c r="D135" s="109">
        <v>400</v>
      </c>
      <c r="E135" s="42" t="s">
        <v>46</v>
      </c>
      <c r="F135" s="109">
        <f>D135/D5</f>
        <v>3.5714285714285716</v>
      </c>
      <c r="G135" s="42" t="s">
        <v>36</v>
      </c>
      <c r="H135" s="74">
        <f>F135/F134</f>
        <v>1.1976047904191618</v>
      </c>
      <c r="I135" s="42" t="s">
        <v>103</v>
      </c>
      <c r="J135" s="128"/>
      <c r="N135" s="4" t="s">
        <v>649</v>
      </c>
    </row>
    <row r="136" spans="1:14" x14ac:dyDescent="0.3">
      <c r="A136" s="12" t="s">
        <v>656</v>
      </c>
      <c r="B136" s="105">
        <v>1</v>
      </c>
      <c r="C136" s="40" t="s">
        <v>14</v>
      </c>
      <c r="D136" s="108">
        <v>90</v>
      </c>
      <c r="E136" s="42" t="s">
        <v>35</v>
      </c>
      <c r="J136" s="104"/>
      <c r="N136" s="4" t="s">
        <v>752</v>
      </c>
    </row>
    <row r="137" spans="1:14" x14ac:dyDescent="0.3">
      <c r="A137" s="4" t="s">
        <v>691</v>
      </c>
      <c r="B137" s="105">
        <v>1</v>
      </c>
      <c r="C137" s="40" t="s">
        <v>14</v>
      </c>
      <c r="D137" s="108">
        <v>334</v>
      </c>
      <c r="E137" s="42" t="s">
        <v>35</v>
      </c>
      <c r="N137" s="65" t="s">
        <v>786</v>
      </c>
    </row>
    <row r="138" spans="1:14" x14ac:dyDescent="0.3">
      <c r="A138" s="4" t="s">
        <v>457</v>
      </c>
      <c r="B138" s="105">
        <v>1</v>
      </c>
      <c r="C138" s="40" t="s">
        <v>14</v>
      </c>
      <c r="D138" s="108">
        <v>336</v>
      </c>
      <c r="E138" s="42" t="s">
        <v>35</v>
      </c>
      <c r="N138" s="4" t="s">
        <v>594</v>
      </c>
    </row>
    <row r="139" spans="1:14" x14ac:dyDescent="0.3">
      <c r="A139" s="4" t="s">
        <v>397</v>
      </c>
      <c r="B139" s="105">
        <v>1</v>
      </c>
      <c r="C139" s="40" t="s">
        <v>68</v>
      </c>
      <c r="D139" s="108">
        <v>640</v>
      </c>
      <c r="E139" s="42" t="s">
        <v>35</v>
      </c>
      <c r="N139" s="4" t="s">
        <v>602</v>
      </c>
    </row>
    <row r="140" spans="1:14" x14ac:dyDescent="0.3">
      <c r="A140" s="4" t="s">
        <v>518</v>
      </c>
      <c r="B140" s="105">
        <v>1</v>
      </c>
      <c r="C140" s="40" t="s">
        <v>85</v>
      </c>
      <c r="D140" s="108">
        <v>240</v>
      </c>
      <c r="E140" s="42" t="s">
        <v>35</v>
      </c>
      <c r="N140" s="4" t="s">
        <v>648</v>
      </c>
    </row>
    <row r="141" spans="1:14" ht="14.4" customHeight="1" x14ac:dyDescent="0.3">
      <c r="A141" s="4" t="s">
        <v>518</v>
      </c>
      <c r="B141" s="105">
        <v>1</v>
      </c>
      <c r="C141" s="57" t="s">
        <v>14</v>
      </c>
      <c r="D141" s="110">
        <v>336</v>
      </c>
      <c r="E141" s="42" t="s">
        <v>35</v>
      </c>
      <c r="F141" s="110">
        <f>D141/D5</f>
        <v>3</v>
      </c>
      <c r="G141" s="42" t="s">
        <v>36</v>
      </c>
      <c r="H141" s="80"/>
      <c r="J141" s="125"/>
      <c r="N141" s="4" t="s">
        <v>786</v>
      </c>
    </row>
    <row r="142" spans="1:14" ht="14.4" customHeight="1" x14ac:dyDescent="0.3">
      <c r="A142" s="65" t="s">
        <v>94</v>
      </c>
      <c r="B142" s="105">
        <v>1</v>
      </c>
      <c r="C142" s="42" t="s">
        <v>14</v>
      </c>
      <c r="D142" s="107">
        <v>242</v>
      </c>
      <c r="E142" s="42" t="s">
        <v>35</v>
      </c>
      <c r="F142" s="108">
        <f>D142/D5</f>
        <v>2.1607142857142856</v>
      </c>
      <c r="G142" s="42" t="s">
        <v>61</v>
      </c>
      <c r="H142" s="73"/>
      <c r="N142" s="27" t="s">
        <v>627</v>
      </c>
    </row>
    <row r="143" spans="1:14" x14ac:dyDescent="0.3">
      <c r="A143" s="4" t="s">
        <v>398</v>
      </c>
      <c r="B143" s="105">
        <v>1</v>
      </c>
      <c r="C143" s="40" t="s">
        <v>9</v>
      </c>
      <c r="D143" s="108">
        <v>50</v>
      </c>
      <c r="E143" s="42" t="s">
        <v>566</v>
      </c>
      <c r="N143" s="4" t="s">
        <v>647</v>
      </c>
    </row>
    <row r="144" spans="1:14" x14ac:dyDescent="0.3">
      <c r="A144" s="4" t="s">
        <v>398</v>
      </c>
      <c r="B144" s="105">
        <v>1</v>
      </c>
      <c r="C144" s="40" t="s">
        <v>68</v>
      </c>
      <c r="D144" s="108">
        <v>5.5555555555555554</v>
      </c>
      <c r="E144" s="42" t="s">
        <v>566</v>
      </c>
      <c r="F144" s="108">
        <v>0.28999999999999998</v>
      </c>
      <c r="G144" s="42" t="s">
        <v>820</v>
      </c>
      <c r="N144" s="4" t="s">
        <v>647</v>
      </c>
    </row>
    <row r="145" spans="1:14" x14ac:dyDescent="0.3">
      <c r="A145" s="4" t="s">
        <v>506</v>
      </c>
      <c r="B145" s="105">
        <v>1</v>
      </c>
      <c r="C145" s="40" t="s">
        <v>14</v>
      </c>
      <c r="D145" s="108">
        <v>242</v>
      </c>
      <c r="E145" s="42" t="s">
        <v>35</v>
      </c>
      <c r="N145" s="20" t="s">
        <v>753</v>
      </c>
    </row>
    <row r="146" spans="1:14" ht="14.4" customHeight="1" x14ac:dyDescent="0.3">
      <c r="A146" s="8" t="s">
        <v>83</v>
      </c>
      <c r="B146" s="105">
        <v>1</v>
      </c>
      <c r="C146" s="34" t="s">
        <v>14</v>
      </c>
      <c r="D146" s="113">
        <v>242</v>
      </c>
      <c r="E146" s="42" t="s">
        <v>35</v>
      </c>
      <c r="F146" s="109">
        <f>D146/D5</f>
        <v>2.1607142857142856</v>
      </c>
      <c r="G146" s="42" t="s">
        <v>36</v>
      </c>
      <c r="H146" s="77">
        <f>F146/D8</f>
        <v>0.10803571428571428</v>
      </c>
      <c r="I146" s="42" t="s">
        <v>97</v>
      </c>
      <c r="J146" s="128"/>
      <c r="N146" s="27" t="s">
        <v>627</v>
      </c>
    </row>
    <row r="147" spans="1:14" ht="14.4" customHeight="1" x14ac:dyDescent="0.3">
      <c r="A147" s="8" t="s">
        <v>83</v>
      </c>
      <c r="B147" s="105">
        <v>1</v>
      </c>
      <c r="C147" s="34" t="s">
        <v>9</v>
      </c>
      <c r="D147" s="113">
        <f>F149/D148</f>
        <v>4.400227973715972</v>
      </c>
      <c r="E147" s="42" t="s">
        <v>36</v>
      </c>
      <c r="F147" s="113">
        <f>D147/D8</f>
        <v>0.22001139868579861</v>
      </c>
      <c r="G147" s="42" t="s">
        <v>97</v>
      </c>
      <c r="H147" s="77"/>
      <c r="J147" s="128"/>
      <c r="N147" s="4" t="s">
        <v>255</v>
      </c>
    </row>
    <row r="148" spans="1:14" ht="14.4" customHeight="1" x14ac:dyDescent="0.3">
      <c r="A148" s="8" t="s">
        <v>83</v>
      </c>
      <c r="B148" s="105">
        <v>1</v>
      </c>
      <c r="C148" s="34" t="s">
        <v>85</v>
      </c>
      <c r="D148" s="113">
        <v>0.59655999999999998</v>
      </c>
      <c r="E148" s="42" t="s">
        <v>9</v>
      </c>
      <c r="F148" s="109"/>
      <c r="H148" s="77"/>
      <c r="J148" s="128"/>
      <c r="N148" s="4" t="s">
        <v>255</v>
      </c>
    </row>
    <row r="149" spans="1:14" ht="14.4" customHeight="1" x14ac:dyDescent="0.3">
      <c r="A149" s="35" t="s">
        <v>84</v>
      </c>
      <c r="B149" s="105">
        <v>1</v>
      </c>
      <c r="C149" s="57" t="s">
        <v>85</v>
      </c>
      <c r="D149" s="114">
        <v>294</v>
      </c>
      <c r="E149" s="42" t="s">
        <v>35</v>
      </c>
      <c r="F149" s="110">
        <f>D149/D5</f>
        <v>2.625</v>
      </c>
      <c r="G149" s="42" t="s">
        <v>36</v>
      </c>
      <c r="H149" s="80">
        <f>F149/D8</f>
        <v>0.13125000000000001</v>
      </c>
      <c r="I149" s="42" t="s">
        <v>97</v>
      </c>
      <c r="J149" s="125"/>
      <c r="N149" s="27" t="s">
        <v>588</v>
      </c>
    </row>
    <row r="150" spans="1:14" x14ac:dyDescent="0.3">
      <c r="A150" s="4" t="s">
        <v>84</v>
      </c>
      <c r="B150" s="105">
        <v>1</v>
      </c>
      <c r="C150" s="40" t="s">
        <v>9</v>
      </c>
      <c r="D150" s="108">
        <v>50</v>
      </c>
      <c r="E150" s="42" t="s">
        <v>566</v>
      </c>
      <c r="N150" s="4" t="s">
        <v>647</v>
      </c>
    </row>
    <row r="151" spans="1:14" x14ac:dyDescent="0.3">
      <c r="A151" s="4" t="s">
        <v>141</v>
      </c>
      <c r="B151" s="105">
        <v>1</v>
      </c>
      <c r="C151" s="40" t="s">
        <v>9</v>
      </c>
      <c r="D151" s="108">
        <v>50</v>
      </c>
      <c r="E151" s="42" t="s">
        <v>566</v>
      </c>
      <c r="N151" s="4" t="s">
        <v>647</v>
      </c>
    </row>
    <row r="152" spans="1:14" ht="15" customHeight="1" x14ac:dyDescent="0.3">
      <c r="A152" s="71" t="s">
        <v>141</v>
      </c>
      <c r="B152" s="105">
        <v>1</v>
      </c>
      <c r="C152" s="34" t="s">
        <v>105</v>
      </c>
      <c r="D152" s="113">
        <v>8.851883640376422E-2</v>
      </c>
      <c r="E152" s="42" t="s">
        <v>97</v>
      </c>
      <c r="F152" s="113"/>
      <c r="H152" s="77"/>
      <c r="J152" s="77"/>
      <c r="L152" s="113"/>
      <c r="N152" s="4" t="s">
        <v>590</v>
      </c>
    </row>
    <row r="153" spans="1:14" ht="14.4" customHeight="1" x14ac:dyDescent="0.3">
      <c r="A153" s="71" t="s">
        <v>152</v>
      </c>
      <c r="B153" s="105">
        <v>1</v>
      </c>
      <c r="C153" s="34" t="s">
        <v>14</v>
      </c>
      <c r="D153" s="113">
        <v>4.4497434875728444E-2</v>
      </c>
      <c r="E153" s="42" t="s">
        <v>97</v>
      </c>
      <c r="F153" s="113"/>
      <c r="H153" s="74"/>
      <c r="J153" s="77"/>
      <c r="L153" s="113"/>
      <c r="N153" s="4" t="s">
        <v>590</v>
      </c>
    </row>
    <row r="154" spans="1:14" x14ac:dyDescent="0.3">
      <c r="A154" s="4" t="s">
        <v>460</v>
      </c>
      <c r="B154" s="105">
        <v>1</v>
      </c>
      <c r="C154" s="40" t="s">
        <v>14</v>
      </c>
      <c r="D154" s="108">
        <v>336</v>
      </c>
      <c r="E154" s="42" t="s">
        <v>35</v>
      </c>
      <c r="N154" s="4" t="s">
        <v>786</v>
      </c>
    </row>
    <row r="155" spans="1:14" x14ac:dyDescent="0.3">
      <c r="A155" s="4" t="s">
        <v>576</v>
      </c>
      <c r="B155" s="105">
        <v>1</v>
      </c>
      <c r="C155" s="40" t="s">
        <v>14</v>
      </c>
      <c r="D155" s="108">
        <v>270</v>
      </c>
      <c r="E155" s="42" t="s">
        <v>35</v>
      </c>
      <c r="N155" s="27" t="s">
        <v>627</v>
      </c>
    </row>
    <row r="156" spans="1:14" x14ac:dyDescent="0.3">
      <c r="A156" s="4" t="s">
        <v>470</v>
      </c>
      <c r="B156" s="105">
        <v>1</v>
      </c>
      <c r="C156" s="40" t="s">
        <v>14</v>
      </c>
      <c r="D156" s="108">
        <v>334</v>
      </c>
      <c r="E156" s="42" t="s">
        <v>35</v>
      </c>
      <c r="N156" s="4" t="s">
        <v>786</v>
      </c>
    </row>
    <row r="157" spans="1:14" x14ac:dyDescent="0.3">
      <c r="A157" s="4" t="s">
        <v>459</v>
      </c>
      <c r="B157" s="105">
        <v>1</v>
      </c>
      <c r="C157" s="40" t="s">
        <v>14</v>
      </c>
      <c r="D157" s="108">
        <v>336</v>
      </c>
      <c r="E157" s="42" t="s">
        <v>35</v>
      </c>
      <c r="N157" s="4" t="s">
        <v>786</v>
      </c>
    </row>
    <row r="158" spans="1:14" x14ac:dyDescent="0.3">
      <c r="A158" s="4" t="s">
        <v>107</v>
      </c>
      <c r="B158" s="105">
        <v>1</v>
      </c>
      <c r="C158" s="40" t="s">
        <v>14</v>
      </c>
      <c r="D158" s="108">
        <v>336</v>
      </c>
      <c r="E158" s="42" t="s">
        <v>35</v>
      </c>
      <c r="N158" s="4" t="s">
        <v>786</v>
      </c>
    </row>
    <row r="159" spans="1:14" ht="14.4" customHeight="1" x14ac:dyDescent="0.3">
      <c r="A159" s="35" t="s">
        <v>107</v>
      </c>
      <c r="B159" s="105">
        <v>1</v>
      </c>
      <c r="C159" s="57" t="s">
        <v>14</v>
      </c>
      <c r="D159" s="114">
        <v>0.67513000000000001</v>
      </c>
      <c r="E159" s="42" t="s">
        <v>36</v>
      </c>
      <c r="F159" s="110">
        <f>D159/D8</f>
        <v>3.3756500000000002E-2</v>
      </c>
      <c r="G159" s="42" t="s">
        <v>97</v>
      </c>
      <c r="H159" s="80"/>
      <c r="J159" s="80"/>
      <c r="N159" s="4" t="s">
        <v>255</v>
      </c>
    </row>
    <row r="160" spans="1:14" ht="14.4" customHeight="1" x14ac:dyDescent="0.3">
      <c r="A160" s="8" t="s">
        <v>111</v>
      </c>
      <c r="B160" s="105">
        <v>1</v>
      </c>
      <c r="C160" s="34" t="s">
        <v>14</v>
      </c>
      <c r="D160" s="113">
        <v>227</v>
      </c>
      <c r="E160" s="42" t="s">
        <v>35</v>
      </c>
      <c r="F160" s="109">
        <f>D160/D5</f>
        <v>2.0267857142857144</v>
      </c>
      <c r="G160" s="42" t="s">
        <v>36</v>
      </c>
      <c r="H160" s="77"/>
      <c r="J160" s="77"/>
      <c r="N160" s="27" t="s">
        <v>627</v>
      </c>
    </row>
    <row r="161" spans="1:14" ht="14.4" customHeight="1" x14ac:dyDescent="0.3">
      <c r="A161" s="8" t="s">
        <v>111</v>
      </c>
      <c r="B161" s="105">
        <v>1</v>
      </c>
      <c r="C161" s="34" t="s">
        <v>85</v>
      </c>
      <c r="D161" s="109">
        <v>746.66700000000003</v>
      </c>
      <c r="E161" s="42" t="s">
        <v>35</v>
      </c>
      <c r="F161" s="113">
        <f>D161/D5</f>
        <v>6.6666696428571433</v>
      </c>
      <c r="G161" s="42" t="s">
        <v>36</v>
      </c>
      <c r="H161" s="74"/>
      <c r="J161" s="77"/>
      <c r="N161" s="4" t="s">
        <v>786</v>
      </c>
    </row>
    <row r="162" spans="1:14" ht="14.4" customHeight="1" x14ac:dyDescent="0.3">
      <c r="A162" s="8" t="s">
        <v>111</v>
      </c>
      <c r="B162" s="105">
        <v>1</v>
      </c>
      <c r="C162" s="34" t="s">
        <v>9</v>
      </c>
      <c r="D162" s="113">
        <v>0.75087000000000004</v>
      </c>
      <c r="E162" s="42" t="s">
        <v>103</v>
      </c>
      <c r="F162" s="113">
        <f>D162*F160</f>
        <v>1.5218525892857144</v>
      </c>
      <c r="G162" s="42" t="s">
        <v>36</v>
      </c>
      <c r="H162" s="74"/>
      <c r="J162" s="77"/>
      <c r="N162" s="4" t="s">
        <v>255</v>
      </c>
    </row>
    <row r="163" spans="1:14" x14ac:dyDescent="0.3">
      <c r="A163" s="4" t="s">
        <v>472</v>
      </c>
      <c r="B163" s="105">
        <v>1</v>
      </c>
      <c r="C163" s="40" t="s">
        <v>14</v>
      </c>
      <c r="D163" s="108">
        <v>334</v>
      </c>
      <c r="E163" s="42" t="s">
        <v>35</v>
      </c>
      <c r="N163" s="4" t="s">
        <v>594</v>
      </c>
    </row>
    <row r="164" spans="1:14" x14ac:dyDescent="0.3">
      <c r="A164" s="4" t="s">
        <v>516</v>
      </c>
      <c r="B164" s="105">
        <v>1</v>
      </c>
      <c r="C164" s="40" t="s">
        <v>14</v>
      </c>
      <c r="D164" s="108">
        <v>360</v>
      </c>
      <c r="E164" s="42" t="s">
        <v>35</v>
      </c>
      <c r="N164" s="4" t="s">
        <v>754</v>
      </c>
    </row>
    <row r="165" spans="1:14" x14ac:dyDescent="0.3">
      <c r="A165" s="4" t="s">
        <v>150</v>
      </c>
      <c r="B165" s="105">
        <v>1</v>
      </c>
      <c r="C165" s="40" t="s">
        <v>570</v>
      </c>
      <c r="D165" s="108">
        <v>34</v>
      </c>
      <c r="E165" s="42" t="s">
        <v>35</v>
      </c>
      <c r="N165" s="4" t="s">
        <v>255</v>
      </c>
    </row>
    <row r="166" spans="1:14" ht="14.4" customHeight="1" x14ac:dyDescent="0.3">
      <c r="A166" s="9" t="s">
        <v>150</v>
      </c>
      <c r="B166" s="105">
        <v>1</v>
      </c>
      <c r="C166" s="34" t="s">
        <v>14</v>
      </c>
      <c r="D166" s="113">
        <v>360</v>
      </c>
      <c r="E166" s="42" t="s">
        <v>35</v>
      </c>
      <c r="F166" s="109">
        <f>D166/D5</f>
        <v>3.2142857142857144</v>
      </c>
      <c r="G166" s="42" t="s">
        <v>36</v>
      </c>
      <c r="H166" s="77">
        <f>F166/D8</f>
        <v>0.16071428571428573</v>
      </c>
      <c r="I166" s="42" t="s">
        <v>97</v>
      </c>
      <c r="J166" s="128"/>
      <c r="L166" s="109"/>
      <c r="N166" s="4" t="s">
        <v>754</v>
      </c>
    </row>
    <row r="167" spans="1:14" ht="14.4" customHeight="1" x14ac:dyDescent="0.3">
      <c r="A167" s="83" t="s">
        <v>87</v>
      </c>
      <c r="B167" s="105">
        <v>1</v>
      </c>
      <c r="C167" s="34" t="s">
        <v>9</v>
      </c>
      <c r="D167" s="138">
        <v>1.5662799999999999</v>
      </c>
      <c r="E167" s="42" t="s">
        <v>36</v>
      </c>
      <c r="F167" s="109">
        <f>D167/D8</f>
        <v>7.8313999999999995E-2</v>
      </c>
      <c r="G167" s="42" t="s">
        <v>97</v>
      </c>
      <c r="H167" s="77"/>
      <c r="J167" s="128"/>
      <c r="N167" s="4" t="s">
        <v>255</v>
      </c>
    </row>
    <row r="168" spans="1:14" ht="14.4" customHeight="1" x14ac:dyDescent="0.3">
      <c r="A168" s="83" t="s">
        <v>87</v>
      </c>
      <c r="B168" s="105">
        <v>1</v>
      </c>
      <c r="C168" s="34" t="s">
        <v>34</v>
      </c>
      <c r="D168" s="113">
        <v>560</v>
      </c>
      <c r="E168" s="42" t="s">
        <v>35</v>
      </c>
      <c r="F168" s="109">
        <f>D168/D5</f>
        <v>5</v>
      </c>
      <c r="G168" s="42" t="s">
        <v>36</v>
      </c>
      <c r="H168" s="76"/>
      <c r="J168" s="128"/>
      <c r="N168" s="4" t="s">
        <v>592</v>
      </c>
    </row>
    <row r="169" spans="1:14" x14ac:dyDescent="0.3">
      <c r="A169" s="4" t="s">
        <v>87</v>
      </c>
      <c r="B169" s="105">
        <v>1</v>
      </c>
      <c r="C169" s="40" t="s">
        <v>6</v>
      </c>
      <c r="D169" s="108">
        <v>168</v>
      </c>
      <c r="E169" s="42" t="s">
        <v>35</v>
      </c>
      <c r="N169" s="4" t="s">
        <v>786</v>
      </c>
    </row>
    <row r="170" spans="1:14" ht="14.4" customHeight="1" x14ac:dyDescent="0.3">
      <c r="A170" s="12" t="s">
        <v>87</v>
      </c>
      <c r="B170" s="105">
        <v>1</v>
      </c>
      <c r="C170" s="42" t="s">
        <v>81</v>
      </c>
      <c r="D170" s="107">
        <v>260</v>
      </c>
      <c r="E170" s="42" t="s">
        <v>35</v>
      </c>
      <c r="F170" s="108">
        <f>D170/D5</f>
        <v>2.3214285714285716</v>
      </c>
      <c r="G170" s="42" t="s">
        <v>36</v>
      </c>
      <c r="N170" s="4" t="s">
        <v>593</v>
      </c>
    </row>
    <row r="171" spans="1:14" x14ac:dyDescent="0.3">
      <c r="A171" s="4" t="s">
        <v>467</v>
      </c>
      <c r="B171" s="105">
        <v>1</v>
      </c>
      <c r="C171" s="40" t="s">
        <v>6</v>
      </c>
      <c r="D171" s="108">
        <v>196</v>
      </c>
      <c r="E171" s="42" t="s">
        <v>35</v>
      </c>
      <c r="N171" s="4" t="s">
        <v>755</v>
      </c>
    </row>
    <row r="172" spans="1:14" x14ac:dyDescent="0.3">
      <c r="A172" s="4" t="s">
        <v>579</v>
      </c>
      <c r="B172" s="105">
        <v>1</v>
      </c>
      <c r="C172" s="40" t="s">
        <v>570</v>
      </c>
      <c r="D172" s="108">
        <v>20</v>
      </c>
      <c r="E172" s="42" t="s">
        <v>35</v>
      </c>
      <c r="N172" s="20" t="s">
        <v>756</v>
      </c>
    </row>
    <row r="173" spans="1:14" ht="14.4" customHeight="1" x14ac:dyDescent="0.3">
      <c r="A173" s="9" t="s">
        <v>146</v>
      </c>
      <c r="B173" s="105">
        <v>1</v>
      </c>
      <c r="C173" s="34" t="s">
        <v>6</v>
      </c>
      <c r="D173" s="108">
        <v>392</v>
      </c>
      <c r="E173" s="42" t="s">
        <v>35</v>
      </c>
      <c r="F173" s="109">
        <v>3.5</v>
      </c>
      <c r="G173" s="42" t="s">
        <v>36</v>
      </c>
      <c r="H173" s="77">
        <f>F173/D8</f>
        <v>0.17499999999999999</v>
      </c>
      <c r="I173" s="42" t="s">
        <v>97</v>
      </c>
      <c r="J173" s="131"/>
      <c r="L173" s="129"/>
      <c r="N173" s="4" t="s">
        <v>255</v>
      </c>
    </row>
    <row r="174" spans="1:14" x14ac:dyDescent="0.3">
      <c r="A174" s="4" t="s">
        <v>484</v>
      </c>
      <c r="B174" s="105">
        <v>1</v>
      </c>
      <c r="C174" s="40" t="s">
        <v>6</v>
      </c>
      <c r="D174" s="108">
        <v>333.49875930521091</v>
      </c>
      <c r="E174" s="42" t="s">
        <v>35</v>
      </c>
      <c r="N174" s="4" t="s">
        <v>588</v>
      </c>
    </row>
    <row r="175" spans="1:14" ht="14.4" customHeight="1" x14ac:dyDescent="0.3">
      <c r="A175" s="9" t="s">
        <v>147</v>
      </c>
      <c r="B175" s="105">
        <v>1</v>
      </c>
      <c r="C175" s="34" t="s">
        <v>14</v>
      </c>
      <c r="D175" s="109">
        <v>340</v>
      </c>
      <c r="E175" s="42" t="s">
        <v>35</v>
      </c>
      <c r="F175" s="109">
        <f>D175/F8</f>
        <v>0.15178571428571427</v>
      </c>
      <c r="G175" s="42" t="s">
        <v>97</v>
      </c>
      <c r="H175" s="77"/>
      <c r="J175" s="128"/>
      <c r="L175" s="109"/>
      <c r="N175" s="4" t="s">
        <v>757</v>
      </c>
    </row>
    <row r="176" spans="1:14" x14ac:dyDescent="0.3">
      <c r="A176" s="4" t="s">
        <v>82</v>
      </c>
      <c r="B176" s="105">
        <v>1</v>
      </c>
      <c r="C176" s="40" t="s">
        <v>6</v>
      </c>
      <c r="D176" s="108">
        <v>168</v>
      </c>
      <c r="E176" s="42" t="s">
        <v>35</v>
      </c>
      <c r="N176" s="4" t="s">
        <v>594</v>
      </c>
    </row>
    <row r="177" spans="1:14" x14ac:dyDescent="0.3">
      <c r="A177" s="4" t="s">
        <v>82</v>
      </c>
      <c r="B177" s="105">
        <v>1</v>
      </c>
      <c r="C177" s="40" t="s">
        <v>14</v>
      </c>
      <c r="D177" s="108">
        <v>336</v>
      </c>
      <c r="E177" s="42" t="s">
        <v>35</v>
      </c>
      <c r="F177" s="107">
        <v>2.37609</v>
      </c>
      <c r="G177" s="42" t="s">
        <v>595</v>
      </c>
      <c r="H177" s="72">
        <f>F177*D178</f>
        <v>4.1366063637000003</v>
      </c>
      <c r="I177" s="42" t="s">
        <v>36</v>
      </c>
      <c r="N177" s="4" t="s">
        <v>786</v>
      </c>
    </row>
    <row r="178" spans="1:14" ht="14.4" customHeight="1" x14ac:dyDescent="0.3">
      <c r="A178" s="67" t="s">
        <v>82</v>
      </c>
      <c r="B178" s="105">
        <v>1</v>
      </c>
      <c r="C178" s="42" t="s">
        <v>6</v>
      </c>
      <c r="D178" s="107">
        <v>1.7409300000000001</v>
      </c>
      <c r="E178" s="42" t="s">
        <v>36</v>
      </c>
      <c r="N178" s="4" t="s">
        <v>786</v>
      </c>
    </row>
    <row r="179" spans="1:14" x14ac:dyDescent="0.3">
      <c r="A179" s="4" t="s">
        <v>422</v>
      </c>
      <c r="B179" s="105">
        <v>1</v>
      </c>
      <c r="C179" s="40" t="s">
        <v>6</v>
      </c>
      <c r="D179" s="108">
        <v>168</v>
      </c>
      <c r="E179" s="42" t="s">
        <v>35</v>
      </c>
      <c r="N179" s="4" t="s">
        <v>786</v>
      </c>
    </row>
    <row r="180" spans="1:14" x14ac:dyDescent="0.3">
      <c r="A180" s="4" t="s">
        <v>461</v>
      </c>
      <c r="B180" s="105">
        <v>1</v>
      </c>
      <c r="C180" s="40" t="s">
        <v>14</v>
      </c>
      <c r="D180" s="108">
        <v>336</v>
      </c>
      <c r="E180" s="42" t="s">
        <v>35</v>
      </c>
      <c r="N180" s="4" t="s">
        <v>786</v>
      </c>
    </row>
    <row r="181" spans="1:14" ht="14.4" customHeight="1" x14ac:dyDescent="0.3">
      <c r="A181" s="10" t="s">
        <v>420</v>
      </c>
      <c r="B181" s="105">
        <v>1</v>
      </c>
      <c r="C181" s="34" t="s">
        <v>6</v>
      </c>
      <c r="D181" s="109">
        <v>168</v>
      </c>
      <c r="E181" s="42" t="s">
        <v>35</v>
      </c>
      <c r="F181" s="109">
        <f>D181/D5</f>
        <v>1.5</v>
      </c>
      <c r="G181" s="42" t="s">
        <v>36</v>
      </c>
      <c r="H181" s="77">
        <f>F181/D8</f>
        <v>7.4999999999999997E-2</v>
      </c>
      <c r="I181" s="42" t="s">
        <v>97</v>
      </c>
      <c r="J181" s="128"/>
      <c r="L181" s="109"/>
      <c r="N181" s="4" t="s">
        <v>594</v>
      </c>
    </row>
    <row r="182" spans="1:14" x14ac:dyDescent="0.3">
      <c r="A182" s="4" t="s">
        <v>462</v>
      </c>
      <c r="B182" s="105">
        <v>1</v>
      </c>
      <c r="C182" s="40" t="s">
        <v>14</v>
      </c>
      <c r="D182" s="108">
        <v>336</v>
      </c>
      <c r="E182" s="42" t="s">
        <v>35</v>
      </c>
      <c r="N182" s="4" t="s">
        <v>786</v>
      </c>
    </row>
    <row r="183" spans="1:14" x14ac:dyDescent="0.3">
      <c r="A183" s="4" t="s">
        <v>414</v>
      </c>
      <c r="B183" s="105">
        <v>1</v>
      </c>
      <c r="C183" s="40" t="s">
        <v>6</v>
      </c>
      <c r="D183" s="108">
        <v>168</v>
      </c>
      <c r="E183" s="42" t="s">
        <v>35</v>
      </c>
      <c r="N183" s="4" t="s">
        <v>786</v>
      </c>
    </row>
    <row r="184" spans="1:14" x14ac:dyDescent="0.3">
      <c r="A184" s="4" t="s">
        <v>148</v>
      </c>
      <c r="B184" s="105">
        <v>1</v>
      </c>
      <c r="C184" s="40" t="s">
        <v>14</v>
      </c>
      <c r="D184" s="108">
        <v>336</v>
      </c>
      <c r="E184" s="42" t="s">
        <v>35</v>
      </c>
      <c r="N184" s="4" t="s">
        <v>786</v>
      </c>
    </row>
    <row r="185" spans="1:14" ht="14.4" customHeight="1" x14ac:dyDescent="0.3">
      <c r="A185" s="9" t="s">
        <v>148</v>
      </c>
      <c r="B185" s="105">
        <v>1</v>
      </c>
      <c r="C185" s="34" t="s">
        <v>6</v>
      </c>
      <c r="D185" s="109">
        <v>168</v>
      </c>
      <c r="E185" s="42" t="s">
        <v>35</v>
      </c>
      <c r="F185" s="109">
        <f>D185/F8</f>
        <v>7.4999999999999997E-2</v>
      </c>
      <c r="G185" s="42" t="s">
        <v>97</v>
      </c>
      <c r="H185" s="77"/>
      <c r="J185" s="128"/>
      <c r="L185" s="109"/>
      <c r="N185" s="4" t="s">
        <v>786</v>
      </c>
    </row>
    <row r="186" spans="1:14" x14ac:dyDescent="0.3">
      <c r="A186" s="4" t="s">
        <v>507</v>
      </c>
      <c r="B186" s="105">
        <v>1</v>
      </c>
      <c r="C186" s="40" t="s">
        <v>571</v>
      </c>
      <c r="D186" s="108">
        <v>140</v>
      </c>
      <c r="E186" s="42" t="s">
        <v>35</v>
      </c>
      <c r="N186" s="4" t="s">
        <v>596</v>
      </c>
    </row>
    <row r="187" spans="1:14" x14ac:dyDescent="0.3">
      <c r="A187" s="4" t="s">
        <v>587</v>
      </c>
      <c r="B187" s="105">
        <v>1</v>
      </c>
      <c r="C187" s="40" t="s">
        <v>6</v>
      </c>
      <c r="D187" s="108">
        <v>182</v>
      </c>
      <c r="E187" s="42" t="s">
        <v>35</v>
      </c>
      <c r="N187" s="27" t="s">
        <v>597</v>
      </c>
    </row>
    <row r="188" spans="1:14" x14ac:dyDescent="0.3">
      <c r="A188" s="4" t="s">
        <v>585</v>
      </c>
      <c r="B188" s="105">
        <v>1</v>
      </c>
      <c r="C188" s="40" t="s">
        <v>6</v>
      </c>
      <c r="D188" s="108">
        <v>168</v>
      </c>
      <c r="E188" s="42" t="s">
        <v>35</v>
      </c>
      <c r="N188" s="4" t="s">
        <v>786</v>
      </c>
    </row>
    <row r="189" spans="1:14" x14ac:dyDescent="0.3">
      <c r="A189" s="4" t="s">
        <v>412</v>
      </c>
      <c r="B189" s="105">
        <v>1</v>
      </c>
      <c r="C189" s="40" t="s">
        <v>6</v>
      </c>
      <c r="D189" s="108">
        <v>168</v>
      </c>
      <c r="E189" s="42" t="s">
        <v>35</v>
      </c>
      <c r="N189" s="4" t="s">
        <v>786</v>
      </c>
    </row>
    <row r="190" spans="1:14" x14ac:dyDescent="0.3">
      <c r="A190" s="4" t="s">
        <v>584</v>
      </c>
      <c r="B190" s="105">
        <v>1</v>
      </c>
      <c r="C190" s="40" t="s">
        <v>6</v>
      </c>
      <c r="D190" s="108">
        <v>168</v>
      </c>
      <c r="E190" s="42" t="s">
        <v>35</v>
      </c>
      <c r="N190" s="4" t="s">
        <v>786</v>
      </c>
    </row>
    <row r="191" spans="1:14" x14ac:dyDescent="0.3">
      <c r="A191" s="4" t="s">
        <v>586</v>
      </c>
      <c r="B191" s="105">
        <v>1</v>
      </c>
      <c r="C191" s="40" t="s">
        <v>6</v>
      </c>
      <c r="D191" s="108">
        <v>168</v>
      </c>
      <c r="E191" s="42" t="s">
        <v>35</v>
      </c>
      <c r="N191" s="4" t="s">
        <v>597</v>
      </c>
    </row>
    <row r="192" spans="1:14" x14ac:dyDescent="0.3">
      <c r="A192" s="4" t="s">
        <v>149</v>
      </c>
      <c r="B192" s="105">
        <v>1</v>
      </c>
      <c r="C192" s="40" t="s">
        <v>14</v>
      </c>
      <c r="D192" s="108">
        <v>336</v>
      </c>
      <c r="E192" s="42" t="s">
        <v>35</v>
      </c>
      <c r="N192" s="4" t="s">
        <v>786</v>
      </c>
    </row>
    <row r="193" spans="1:14" ht="14.4" customHeight="1" x14ac:dyDescent="0.3">
      <c r="A193" s="9" t="s">
        <v>149</v>
      </c>
      <c r="B193" s="105">
        <v>1</v>
      </c>
      <c r="C193" s="34" t="s">
        <v>6</v>
      </c>
      <c r="D193" s="109">
        <v>168</v>
      </c>
      <c r="E193" s="42" t="s">
        <v>35</v>
      </c>
      <c r="F193" s="109">
        <f>D193/F8</f>
        <v>7.4999999999999997E-2</v>
      </c>
      <c r="G193" s="42" t="s">
        <v>97</v>
      </c>
      <c r="H193" s="77"/>
      <c r="J193" s="128"/>
      <c r="L193" s="109"/>
      <c r="N193" s="4" t="s">
        <v>786</v>
      </c>
    </row>
    <row r="194" spans="1:14" x14ac:dyDescent="0.3">
      <c r="A194" s="4" t="s">
        <v>583</v>
      </c>
      <c r="B194" s="105">
        <v>1</v>
      </c>
      <c r="C194" s="40" t="s">
        <v>6</v>
      </c>
      <c r="D194" s="108">
        <v>168</v>
      </c>
      <c r="E194" s="42" t="s">
        <v>35</v>
      </c>
      <c r="N194" s="4" t="s">
        <v>786</v>
      </c>
    </row>
    <row r="195" spans="1:14" ht="14.4" customHeight="1" x14ac:dyDescent="0.3">
      <c r="A195" s="35" t="s">
        <v>23</v>
      </c>
      <c r="B195" s="105">
        <v>1</v>
      </c>
      <c r="C195" s="57" t="s">
        <v>6</v>
      </c>
      <c r="D195" s="108">
        <v>168</v>
      </c>
      <c r="E195" s="42" t="s">
        <v>35</v>
      </c>
      <c r="F195" s="110">
        <v>1.5</v>
      </c>
      <c r="G195" s="42" t="s">
        <v>36</v>
      </c>
      <c r="H195" s="80"/>
      <c r="J195" s="125"/>
      <c r="N195" s="4" t="s">
        <v>786</v>
      </c>
    </row>
    <row r="196" spans="1:14" x14ac:dyDescent="0.3">
      <c r="A196" s="4" t="s">
        <v>582</v>
      </c>
      <c r="B196" s="105">
        <v>1</v>
      </c>
      <c r="C196" s="40" t="s">
        <v>6</v>
      </c>
      <c r="D196" s="108">
        <v>168</v>
      </c>
      <c r="E196" s="42" t="s">
        <v>35</v>
      </c>
      <c r="N196" s="4" t="s">
        <v>786</v>
      </c>
    </row>
    <row r="197" spans="1:14" ht="14.4" customHeight="1" x14ac:dyDescent="0.3">
      <c r="A197" s="71" t="s">
        <v>155</v>
      </c>
      <c r="B197" s="105">
        <v>1</v>
      </c>
      <c r="C197" s="34" t="s">
        <v>6</v>
      </c>
      <c r="D197" s="113">
        <v>8.4163662066427641E-2</v>
      </c>
      <c r="E197" s="42" t="s">
        <v>97</v>
      </c>
      <c r="F197" s="113"/>
      <c r="H197" s="74"/>
      <c r="J197" s="77"/>
      <c r="L197" s="113"/>
      <c r="N197" s="4" t="s">
        <v>590</v>
      </c>
    </row>
    <row r="198" spans="1:14" x14ac:dyDescent="0.3">
      <c r="A198" s="4" t="s">
        <v>156</v>
      </c>
      <c r="B198" s="105">
        <v>1</v>
      </c>
      <c r="C198" s="40" t="s">
        <v>572</v>
      </c>
      <c r="D198" s="108">
        <v>220</v>
      </c>
      <c r="E198" s="42" t="s">
        <v>35</v>
      </c>
      <c r="N198" s="27" t="s">
        <v>758</v>
      </c>
    </row>
    <row r="199" spans="1:14" x14ac:dyDescent="0.3">
      <c r="A199" s="4" t="s">
        <v>156</v>
      </c>
      <c r="B199" s="105">
        <v>1</v>
      </c>
      <c r="C199" s="40" t="s">
        <v>6</v>
      </c>
      <c r="D199" s="108">
        <v>168</v>
      </c>
      <c r="E199" s="42" t="s">
        <v>35</v>
      </c>
      <c r="N199" s="27" t="s">
        <v>627</v>
      </c>
    </row>
    <row r="200" spans="1:14" ht="14.4" customHeight="1" x14ac:dyDescent="0.3">
      <c r="A200" s="71" t="s">
        <v>156</v>
      </c>
      <c r="B200" s="105">
        <v>1</v>
      </c>
      <c r="C200" s="34" t="s">
        <v>6</v>
      </c>
      <c r="D200" s="109">
        <v>9.5166810343815106E-2</v>
      </c>
      <c r="E200" s="42" t="s">
        <v>97</v>
      </c>
      <c r="F200" s="109"/>
      <c r="H200" s="128"/>
      <c r="J200" s="77"/>
      <c r="L200" s="109"/>
      <c r="N200" s="27" t="s">
        <v>590</v>
      </c>
    </row>
    <row r="201" spans="1:14" ht="14.4" customHeight="1" x14ac:dyDescent="0.3">
      <c r="A201" s="83" t="s">
        <v>80</v>
      </c>
      <c r="B201" s="105">
        <v>1</v>
      </c>
      <c r="C201" s="34" t="s">
        <v>68</v>
      </c>
      <c r="D201" s="109">
        <v>3.40835</v>
      </c>
      <c r="E201" s="42" t="s">
        <v>687</v>
      </c>
      <c r="F201" s="109">
        <f>D201*D205/D5</f>
        <v>5.9646125000000003</v>
      </c>
      <c r="G201" s="42" t="s">
        <v>36</v>
      </c>
      <c r="H201" s="77">
        <f>F201/D8</f>
        <v>0.29823062500000003</v>
      </c>
      <c r="I201" s="42" t="s">
        <v>97</v>
      </c>
      <c r="J201" s="128"/>
      <c r="L201" s="109"/>
      <c r="N201" s="27" t="s">
        <v>255</v>
      </c>
    </row>
    <row r="202" spans="1:14" x14ac:dyDescent="0.3">
      <c r="A202" s="4" t="s">
        <v>80</v>
      </c>
      <c r="B202" s="105">
        <v>1</v>
      </c>
      <c r="C202" s="40" t="s">
        <v>9</v>
      </c>
      <c r="D202" s="108">
        <v>225</v>
      </c>
      <c r="E202" s="42" t="s">
        <v>35</v>
      </c>
      <c r="N202" s="27" t="s">
        <v>627</v>
      </c>
    </row>
    <row r="203" spans="1:14" x14ac:dyDescent="0.3">
      <c r="A203" s="4" t="s">
        <v>715</v>
      </c>
      <c r="B203" s="105">
        <v>1</v>
      </c>
      <c r="C203" s="40" t="s">
        <v>9</v>
      </c>
      <c r="D203" s="108">
        <v>185</v>
      </c>
      <c r="E203" s="42" t="s">
        <v>35</v>
      </c>
      <c r="N203" s="27" t="s">
        <v>627</v>
      </c>
    </row>
    <row r="204" spans="1:14" x14ac:dyDescent="0.3">
      <c r="A204" s="4" t="s">
        <v>80</v>
      </c>
      <c r="B204" s="105">
        <v>1</v>
      </c>
      <c r="C204" s="40" t="s">
        <v>570</v>
      </c>
      <c r="D204" s="108">
        <v>34.375</v>
      </c>
      <c r="E204" s="42" t="s">
        <v>35</v>
      </c>
      <c r="N204" s="4" t="s">
        <v>789</v>
      </c>
    </row>
    <row r="205" spans="1:14" ht="14.4" customHeight="1" x14ac:dyDescent="0.3">
      <c r="A205" s="8" t="s">
        <v>80</v>
      </c>
      <c r="B205" s="105">
        <v>1</v>
      </c>
      <c r="C205" s="34" t="s">
        <v>6</v>
      </c>
      <c r="D205" s="113">
        <v>196</v>
      </c>
      <c r="E205" s="42" t="s">
        <v>35</v>
      </c>
      <c r="F205" s="109"/>
      <c r="H205" s="77"/>
      <c r="J205" s="128"/>
      <c r="L205" s="109"/>
      <c r="N205" s="27" t="s">
        <v>627</v>
      </c>
    </row>
    <row r="206" spans="1:14" x14ac:dyDescent="0.3">
      <c r="A206" s="4" t="s">
        <v>511</v>
      </c>
      <c r="B206" s="105">
        <v>1</v>
      </c>
      <c r="C206" s="40" t="s">
        <v>9</v>
      </c>
      <c r="D206" s="108">
        <v>225</v>
      </c>
      <c r="E206" s="42" t="s">
        <v>35</v>
      </c>
      <c r="N206" s="27" t="s">
        <v>627</v>
      </c>
    </row>
    <row r="207" spans="1:14" x14ac:dyDescent="0.3">
      <c r="A207" s="4" t="s">
        <v>511</v>
      </c>
      <c r="B207" s="105">
        <v>1</v>
      </c>
      <c r="C207" s="40" t="s">
        <v>570</v>
      </c>
      <c r="D207" s="108">
        <v>34</v>
      </c>
      <c r="E207" s="42" t="s">
        <v>35</v>
      </c>
      <c r="N207" s="27" t="s">
        <v>759</v>
      </c>
    </row>
    <row r="208" spans="1:14" x14ac:dyDescent="0.3">
      <c r="A208" s="4" t="s">
        <v>511</v>
      </c>
      <c r="B208" s="105">
        <v>1</v>
      </c>
      <c r="C208" s="40" t="s">
        <v>6</v>
      </c>
      <c r="D208" s="108">
        <v>168</v>
      </c>
      <c r="E208" s="42" t="s">
        <v>35</v>
      </c>
      <c r="N208" s="27" t="s">
        <v>598</v>
      </c>
    </row>
    <row r="209" spans="1:14" x14ac:dyDescent="0.3">
      <c r="A209" s="4" t="s">
        <v>515</v>
      </c>
      <c r="B209" s="105">
        <v>1</v>
      </c>
      <c r="C209" s="40" t="s">
        <v>9</v>
      </c>
      <c r="D209" s="108">
        <v>185</v>
      </c>
      <c r="E209" s="42" t="s">
        <v>35</v>
      </c>
      <c r="N209" s="27" t="s">
        <v>627</v>
      </c>
    </row>
    <row r="210" spans="1:14" x14ac:dyDescent="0.3">
      <c r="A210" s="4" t="s">
        <v>151</v>
      </c>
      <c r="B210" s="105">
        <v>1</v>
      </c>
      <c r="C210" s="40" t="s">
        <v>14</v>
      </c>
      <c r="D210" s="108">
        <v>278.92720306513411</v>
      </c>
      <c r="E210" s="42" t="s">
        <v>35</v>
      </c>
      <c r="N210" s="4" t="s">
        <v>746</v>
      </c>
    </row>
    <row r="211" spans="1:14" ht="14.4" customHeight="1" x14ac:dyDescent="0.3">
      <c r="A211" s="9" t="s">
        <v>151</v>
      </c>
      <c r="B211" s="105">
        <v>1</v>
      </c>
      <c r="C211" s="34" t="s">
        <v>85</v>
      </c>
      <c r="D211" s="113">
        <v>299</v>
      </c>
      <c r="E211" s="42" t="s">
        <v>35</v>
      </c>
      <c r="F211" s="109">
        <f>D211/F8</f>
        <v>0.13348214285714285</v>
      </c>
      <c r="G211" s="42" t="s">
        <v>97</v>
      </c>
      <c r="H211" s="77"/>
      <c r="J211" s="77"/>
      <c r="L211" s="109"/>
      <c r="N211" s="27" t="s">
        <v>760</v>
      </c>
    </row>
    <row r="212" spans="1:14" ht="14.4" customHeight="1" x14ac:dyDescent="0.3">
      <c r="A212" s="71" t="s">
        <v>153</v>
      </c>
      <c r="B212" s="105">
        <v>1</v>
      </c>
      <c r="C212" s="34" t="s">
        <v>6</v>
      </c>
      <c r="D212" s="113">
        <v>0.11378910933289715</v>
      </c>
      <c r="E212" s="42" t="s">
        <v>97</v>
      </c>
      <c r="F212" s="113"/>
      <c r="H212" s="74"/>
      <c r="J212" s="77"/>
      <c r="L212" s="113"/>
      <c r="N212" s="27" t="s">
        <v>590</v>
      </c>
    </row>
    <row r="213" spans="1:14" ht="14.4" customHeight="1" x14ac:dyDescent="0.3">
      <c r="A213" s="35" t="s">
        <v>77</v>
      </c>
      <c r="B213" s="105">
        <v>1</v>
      </c>
      <c r="C213" s="57" t="s">
        <v>34</v>
      </c>
      <c r="D213" s="110">
        <v>108</v>
      </c>
      <c r="E213" s="42" t="s">
        <v>35</v>
      </c>
      <c r="F213" s="114">
        <f>D213/F8</f>
        <v>4.8214285714285716E-2</v>
      </c>
      <c r="G213" s="42" t="s">
        <v>97</v>
      </c>
      <c r="H213" s="80"/>
      <c r="J213" s="125"/>
      <c r="N213" s="27" t="s">
        <v>255</v>
      </c>
    </row>
    <row r="214" spans="1:14" ht="14.4" customHeight="1" x14ac:dyDescent="0.3">
      <c r="A214" s="35" t="s">
        <v>77</v>
      </c>
      <c r="B214" s="105">
        <v>1</v>
      </c>
      <c r="C214" s="57" t="s">
        <v>67</v>
      </c>
      <c r="D214" s="110">
        <v>32.5</v>
      </c>
      <c r="E214" s="42" t="s">
        <v>35</v>
      </c>
      <c r="F214" s="114"/>
      <c r="H214" s="80"/>
      <c r="J214" s="125"/>
      <c r="N214" s="65" t="s">
        <v>255</v>
      </c>
    </row>
    <row r="215" spans="1:14" ht="14.4" customHeight="1" x14ac:dyDescent="0.3">
      <c r="A215" s="35" t="s">
        <v>551</v>
      </c>
      <c r="B215" s="105">
        <v>1</v>
      </c>
      <c r="C215" s="57" t="s">
        <v>780</v>
      </c>
      <c r="D215" s="110">
        <v>9</v>
      </c>
      <c r="E215" s="42" t="s">
        <v>688</v>
      </c>
      <c r="F215" s="110"/>
      <c r="H215" s="80"/>
      <c r="J215" s="125"/>
      <c r="N215" s="27" t="s">
        <v>640</v>
      </c>
    </row>
    <row r="216" spans="1:14" ht="14.4" customHeight="1" x14ac:dyDescent="0.3">
      <c r="A216" s="20" t="s">
        <v>599</v>
      </c>
      <c r="B216" s="105">
        <v>1</v>
      </c>
      <c r="C216" s="42" t="s">
        <v>62</v>
      </c>
      <c r="D216" s="107">
        <v>9</v>
      </c>
      <c r="E216" s="42" t="s">
        <v>688</v>
      </c>
      <c r="F216" s="107"/>
      <c r="H216" s="73"/>
      <c r="N216" s="27" t="s">
        <v>640</v>
      </c>
    </row>
    <row r="217" spans="1:14" x14ac:dyDescent="0.3">
      <c r="A217" s="12" t="s">
        <v>651</v>
      </c>
      <c r="B217" s="105">
        <v>1</v>
      </c>
      <c r="C217" s="40" t="s">
        <v>34</v>
      </c>
      <c r="D217" s="108">
        <v>20</v>
      </c>
      <c r="E217" s="42" t="s">
        <v>237</v>
      </c>
      <c r="J217" s="104"/>
      <c r="N217" s="4" t="s">
        <v>761</v>
      </c>
    </row>
    <row r="218" spans="1:14" x14ac:dyDescent="0.3">
      <c r="A218" s="12" t="s">
        <v>667</v>
      </c>
      <c r="B218" s="105">
        <v>1</v>
      </c>
      <c r="C218" s="40" t="s">
        <v>17</v>
      </c>
      <c r="D218" s="108">
        <f>5.34106*1.2009</f>
        <v>6.4140789539999998</v>
      </c>
      <c r="E218" s="42" t="s">
        <v>35</v>
      </c>
      <c r="J218" s="104"/>
      <c r="N218" s="4" t="s">
        <v>253</v>
      </c>
    </row>
    <row r="219" spans="1:14" x14ac:dyDescent="0.3">
      <c r="A219" s="12" t="s">
        <v>708</v>
      </c>
      <c r="B219" s="105">
        <v>1</v>
      </c>
      <c r="C219" s="40" t="s">
        <v>788</v>
      </c>
      <c r="D219" s="108">
        <v>2266.96</v>
      </c>
      <c r="E219" s="42" t="s">
        <v>35</v>
      </c>
      <c r="J219" s="104"/>
      <c r="L219" s="134">
        <f>290.77/3.785*7.6</f>
        <v>583.84464993394977</v>
      </c>
      <c r="N219" s="4" t="s">
        <v>666</v>
      </c>
    </row>
    <row r="220" spans="1:14" x14ac:dyDescent="0.3">
      <c r="A220" s="12" t="s">
        <v>708</v>
      </c>
      <c r="B220" s="105">
        <v>1</v>
      </c>
      <c r="C220" s="40" t="s">
        <v>17</v>
      </c>
      <c r="D220" s="108">
        <v>3.7850000000000001</v>
      </c>
      <c r="E220" s="42" t="s">
        <v>261</v>
      </c>
      <c r="J220" s="104"/>
      <c r="L220" s="134"/>
      <c r="N220" s="4" t="s">
        <v>664</v>
      </c>
    </row>
    <row r="221" spans="1:14" x14ac:dyDescent="0.3">
      <c r="A221" s="12" t="s">
        <v>710</v>
      </c>
      <c r="B221" s="105">
        <v>1</v>
      </c>
      <c r="C221" s="40" t="s">
        <v>235</v>
      </c>
      <c r="D221" s="108">
        <v>41</v>
      </c>
      <c r="E221" s="42" t="s">
        <v>35</v>
      </c>
      <c r="J221" s="104"/>
      <c r="N221" s="4" t="s">
        <v>250</v>
      </c>
    </row>
    <row r="222" spans="1:14" x14ac:dyDescent="0.3">
      <c r="A222" s="4" t="s">
        <v>8</v>
      </c>
      <c r="B222" s="105">
        <v>1</v>
      </c>
      <c r="C222" s="40" t="s">
        <v>6</v>
      </c>
      <c r="D222" s="108">
        <v>168</v>
      </c>
      <c r="E222" s="42" t="s">
        <v>35</v>
      </c>
      <c r="N222" s="65" t="s">
        <v>600</v>
      </c>
    </row>
    <row r="223" spans="1:14" x14ac:dyDescent="0.3">
      <c r="A223" s="4" t="s">
        <v>8</v>
      </c>
      <c r="B223" s="105">
        <v>1</v>
      </c>
      <c r="C223" s="40" t="s">
        <v>14</v>
      </c>
      <c r="D223" s="108">
        <v>336</v>
      </c>
      <c r="E223" s="42" t="s">
        <v>35</v>
      </c>
      <c r="N223" s="65" t="s">
        <v>600</v>
      </c>
    </row>
    <row r="224" spans="1:14" ht="14.4" customHeight="1" x14ac:dyDescent="0.3">
      <c r="A224" s="8" t="s">
        <v>8</v>
      </c>
      <c r="B224" s="105">
        <v>1</v>
      </c>
      <c r="C224" s="34" t="s">
        <v>9</v>
      </c>
      <c r="D224" s="113">
        <v>140.63</v>
      </c>
      <c r="E224" s="42" t="s">
        <v>35</v>
      </c>
      <c r="F224" s="109">
        <f>D224/D5</f>
        <v>1.255625</v>
      </c>
      <c r="G224" s="42" t="s">
        <v>36</v>
      </c>
      <c r="H224" s="77">
        <f>F224/D8</f>
        <v>6.2781249999999997E-2</v>
      </c>
      <c r="I224" s="42" t="s">
        <v>97</v>
      </c>
      <c r="J224" s="128"/>
      <c r="L224" s="109"/>
      <c r="N224" s="27" t="s">
        <v>762</v>
      </c>
    </row>
    <row r="225" spans="1:15" ht="14.4" customHeight="1" x14ac:dyDescent="0.3">
      <c r="A225" s="8" t="s">
        <v>8</v>
      </c>
      <c r="B225" s="105">
        <v>1</v>
      </c>
      <c r="C225" s="34" t="s">
        <v>81</v>
      </c>
      <c r="D225" s="113">
        <v>0.91576999999999997</v>
      </c>
      <c r="E225" s="42" t="s">
        <v>9</v>
      </c>
      <c r="F225" s="109">
        <f>F224*D225</f>
        <v>1.1498637062499999</v>
      </c>
      <c r="G225" s="42" t="s">
        <v>36</v>
      </c>
      <c r="H225" s="77">
        <f>F225/D8</f>
        <v>5.7493185312499993E-2</v>
      </c>
      <c r="I225" s="42" t="s">
        <v>97</v>
      </c>
      <c r="J225" s="128"/>
      <c r="L225" s="109"/>
      <c r="N225" s="65" t="s">
        <v>600</v>
      </c>
    </row>
    <row r="226" spans="1:15" ht="14.4" customHeight="1" x14ac:dyDescent="0.3">
      <c r="A226" s="81" t="s">
        <v>59</v>
      </c>
      <c r="B226" s="105">
        <v>1</v>
      </c>
      <c r="C226" s="34" t="s">
        <v>14</v>
      </c>
      <c r="D226" s="113">
        <v>165</v>
      </c>
      <c r="E226" s="42" t="s">
        <v>35</v>
      </c>
      <c r="F226" s="109">
        <f>D226/D5</f>
        <v>1.4732142857142858</v>
      </c>
      <c r="G226" s="42" t="s">
        <v>36</v>
      </c>
      <c r="H226" s="77">
        <f>F226/D8</f>
        <v>7.3660714285714288E-2</v>
      </c>
      <c r="I226" s="42" t="s">
        <v>97</v>
      </c>
      <c r="J226" s="128"/>
      <c r="L226" s="109"/>
      <c r="N226" s="65" t="s">
        <v>602</v>
      </c>
    </row>
    <row r="227" spans="1:15" x14ac:dyDescent="0.3">
      <c r="A227" s="4" t="s">
        <v>59</v>
      </c>
      <c r="B227" s="105">
        <v>1</v>
      </c>
      <c r="C227" s="40" t="s">
        <v>6</v>
      </c>
      <c r="D227" s="108">
        <v>112</v>
      </c>
      <c r="E227" s="42" t="s">
        <v>35</v>
      </c>
      <c r="N227" s="65" t="s">
        <v>786</v>
      </c>
    </row>
    <row r="228" spans="1:15" ht="14.4" customHeight="1" x14ac:dyDescent="0.3">
      <c r="A228" s="35" t="s">
        <v>59</v>
      </c>
      <c r="B228" s="105">
        <v>1</v>
      </c>
      <c r="C228" s="57" t="s">
        <v>6</v>
      </c>
      <c r="D228" s="114">
        <v>149</v>
      </c>
      <c r="E228" s="42" t="s">
        <v>35</v>
      </c>
      <c r="F228" s="110">
        <f>D228/D5</f>
        <v>1.3303571428571428</v>
      </c>
      <c r="G228" s="42" t="s">
        <v>36</v>
      </c>
      <c r="H228" s="80"/>
      <c r="J228" s="125"/>
      <c r="N228" s="65" t="s">
        <v>602</v>
      </c>
    </row>
    <row r="229" spans="1:15" x14ac:dyDescent="0.3">
      <c r="A229" s="4" t="s">
        <v>475</v>
      </c>
      <c r="B229" s="105">
        <v>1</v>
      </c>
      <c r="C229" s="40" t="s">
        <v>6</v>
      </c>
      <c r="D229" s="108">
        <v>150</v>
      </c>
      <c r="E229" s="42" t="s">
        <v>35</v>
      </c>
      <c r="N229" s="65" t="s">
        <v>601</v>
      </c>
    </row>
    <row r="230" spans="1:15" ht="14.4" customHeight="1" x14ac:dyDescent="0.3">
      <c r="A230" s="71" t="s">
        <v>132</v>
      </c>
      <c r="B230" s="105">
        <v>1</v>
      </c>
      <c r="C230" s="34" t="s">
        <v>9</v>
      </c>
      <c r="D230" s="113">
        <v>8.1140350877192985E-2</v>
      </c>
      <c r="E230" s="42" t="s">
        <v>97</v>
      </c>
      <c r="F230" s="113"/>
      <c r="H230" s="74"/>
      <c r="J230" s="77"/>
      <c r="L230" s="113"/>
      <c r="N230" s="65" t="s">
        <v>590</v>
      </c>
    </row>
    <row r="231" spans="1:15" ht="14.4" customHeight="1" x14ac:dyDescent="0.3">
      <c r="A231" s="71" t="s">
        <v>137</v>
      </c>
      <c r="B231" s="105">
        <v>1</v>
      </c>
      <c r="C231" s="34" t="s">
        <v>105</v>
      </c>
      <c r="D231" s="113">
        <v>7.8403988968191063E-2</v>
      </c>
      <c r="E231" s="42" t="s">
        <v>97</v>
      </c>
      <c r="F231" s="113"/>
      <c r="H231" s="74"/>
      <c r="J231" s="77"/>
      <c r="L231" s="113"/>
      <c r="N231" s="65" t="s">
        <v>590</v>
      </c>
    </row>
    <row r="232" spans="1:15" x14ac:dyDescent="0.3">
      <c r="A232" s="4" t="s">
        <v>480</v>
      </c>
      <c r="B232" s="105">
        <v>1</v>
      </c>
      <c r="C232" s="40" t="s">
        <v>6</v>
      </c>
      <c r="D232" s="108">
        <v>225</v>
      </c>
      <c r="E232" s="42" t="s">
        <v>35</v>
      </c>
      <c r="N232" s="65" t="s">
        <v>603</v>
      </c>
    </row>
    <row r="233" spans="1:15" x14ac:dyDescent="0.3">
      <c r="A233" s="4" t="s">
        <v>411</v>
      </c>
      <c r="B233" s="105">
        <v>1</v>
      </c>
      <c r="C233" s="40" t="s">
        <v>6</v>
      </c>
      <c r="D233" s="108">
        <v>168</v>
      </c>
      <c r="E233" s="42" t="s">
        <v>35</v>
      </c>
      <c r="N233" s="65" t="s">
        <v>604</v>
      </c>
    </row>
    <row r="234" spans="1:15" ht="15" customHeight="1" x14ac:dyDescent="0.3">
      <c r="A234" s="9" t="s">
        <v>112</v>
      </c>
      <c r="B234" s="105">
        <v>1</v>
      </c>
      <c r="C234" s="34" t="s">
        <v>68</v>
      </c>
      <c r="D234" s="113">
        <v>9.3939999999999996E-2</v>
      </c>
      <c r="E234" s="42" t="s">
        <v>97</v>
      </c>
      <c r="F234" s="109"/>
      <c r="N234" s="65" t="s">
        <v>604</v>
      </c>
    </row>
    <row r="235" spans="1:15" ht="14.4" customHeight="1" x14ac:dyDescent="0.3">
      <c r="A235" s="71" t="s">
        <v>139</v>
      </c>
      <c r="B235" s="105">
        <v>1</v>
      </c>
      <c r="C235" s="34" t="s">
        <v>9</v>
      </c>
      <c r="D235" s="108">
        <v>560</v>
      </c>
      <c r="E235" s="42" t="s">
        <v>35</v>
      </c>
      <c r="F235" s="113">
        <v>5</v>
      </c>
      <c r="G235" s="42" t="s">
        <v>36</v>
      </c>
      <c r="H235" s="74">
        <v>0.25</v>
      </c>
      <c r="I235" s="42" t="s">
        <v>97</v>
      </c>
      <c r="J235" s="77"/>
      <c r="L235" s="113"/>
      <c r="N235" s="65" t="s">
        <v>605</v>
      </c>
    </row>
    <row r="236" spans="1:15" ht="14.4" customHeight="1" x14ac:dyDescent="0.3">
      <c r="A236" s="3" t="s">
        <v>93</v>
      </c>
      <c r="B236" s="105">
        <v>1</v>
      </c>
      <c r="C236" s="42" t="s">
        <v>9</v>
      </c>
      <c r="D236" s="107">
        <v>153.125</v>
      </c>
      <c r="E236" s="42" t="s">
        <v>35</v>
      </c>
      <c r="F236" s="107">
        <f>D236/D5</f>
        <v>1.3671875</v>
      </c>
      <c r="G236" s="42" t="s">
        <v>36</v>
      </c>
      <c r="N236" s="65" t="s">
        <v>606</v>
      </c>
    </row>
    <row r="237" spans="1:15" ht="14.4" customHeight="1" x14ac:dyDescent="0.3">
      <c r="A237" s="10" t="s">
        <v>580</v>
      </c>
      <c r="B237" s="105">
        <v>1</v>
      </c>
      <c r="C237" s="34" t="s">
        <v>14</v>
      </c>
      <c r="D237" s="113">
        <v>250</v>
      </c>
      <c r="E237" s="42" t="s">
        <v>35</v>
      </c>
      <c r="F237" s="109">
        <f>D237/D5</f>
        <v>2.2321428571428572</v>
      </c>
      <c r="G237" s="42" t="s">
        <v>36</v>
      </c>
      <c r="H237" s="77"/>
      <c r="J237" s="77"/>
      <c r="N237" s="65" t="s">
        <v>607</v>
      </c>
    </row>
    <row r="238" spans="1:15" ht="14.4" customHeight="1" x14ac:dyDescent="0.3">
      <c r="A238" s="81" t="s">
        <v>78</v>
      </c>
      <c r="B238" s="105">
        <v>1</v>
      </c>
      <c r="C238" s="34" t="s">
        <v>6</v>
      </c>
      <c r="D238" s="113">
        <v>236</v>
      </c>
      <c r="E238" s="42" t="s">
        <v>35</v>
      </c>
      <c r="F238" s="113">
        <f>D238/F8</f>
        <v>0.10535714285714286</v>
      </c>
      <c r="G238" s="42" t="s">
        <v>97</v>
      </c>
      <c r="H238" s="128"/>
      <c r="J238" s="128"/>
      <c r="N238" s="27" t="s">
        <v>763</v>
      </c>
      <c r="O238" s="44"/>
    </row>
    <row r="239" spans="1:15" x14ac:dyDescent="0.3">
      <c r="A239" s="4" t="s">
        <v>78</v>
      </c>
      <c r="B239" s="105">
        <v>1</v>
      </c>
      <c r="C239" s="40" t="s">
        <v>85</v>
      </c>
      <c r="D239" s="108">
        <v>168</v>
      </c>
      <c r="E239" s="42" t="s">
        <v>35</v>
      </c>
      <c r="N239" s="65" t="s">
        <v>609</v>
      </c>
    </row>
    <row r="240" spans="1:15" x14ac:dyDescent="0.3">
      <c r="A240" s="4" t="s">
        <v>78</v>
      </c>
      <c r="B240" s="105">
        <v>1</v>
      </c>
      <c r="C240" s="40" t="s">
        <v>9</v>
      </c>
      <c r="D240" s="108">
        <v>25</v>
      </c>
      <c r="E240" s="42" t="s">
        <v>35</v>
      </c>
      <c r="N240" s="65" t="s">
        <v>608</v>
      </c>
    </row>
    <row r="241" spans="1:20" x14ac:dyDescent="0.3">
      <c r="A241" s="65" t="s">
        <v>78</v>
      </c>
      <c r="B241" s="105">
        <v>1</v>
      </c>
      <c r="C241" s="42" t="s">
        <v>34</v>
      </c>
      <c r="D241" s="107">
        <v>0.5</v>
      </c>
      <c r="E241" s="42" t="s">
        <v>36</v>
      </c>
      <c r="N241" s="65" t="s">
        <v>255</v>
      </c>
    </row>
    <row r="242" spans="1:20" x14ac:dyDescent="0.3">
      <c r="A242" s="12" t="s">
        <v>78</v>
      </c>
      <c r="B242" s="105">
        <v>1</v>
      </c>
      <c r="C242" s="40" t="s">
        <v>100</v>
      </c>
      <c r="D242" s="108">
        <f>Commodities!$D$87*D243</f>
        <v>37.027749999999997</v>
      </c>
      <c r="E242" s="42" t="s">
        <v>35</v>
      </c>
      <c r="J242" s="104"/>
      <c r="N242" s="65" t="s">
        <v>255</v>
      </c>
    </row>
    <row r="243" spans="1:20" x14ac:dyDescent="0.3">
      <c r="A243" s="12" t="s">
        <v>78</v>
      </c>
      <c r="B243" s="105">
        <v>1</v>
      </c>
      <c r="C243" s="40" t="s">
        <v>235</v>
      </c>
      <c r="D243" s="108">
        <v>37</v>
      </c>
      <c r="E243" s="42" t="s">
        <v>35</v>
      </c>
      <c r="J243" s="104"/>
      <c r="N243" s="4" t="s">
        <v>252</v>
      </c>
    </row>
    <row r="244" spans="1:20" x14ac:dyDescent="0.3">
      <c r="A244" s="4" t="s">
        <v>481</v>
      </c>
      <c r="B244" s="105">
        <v>1</v>
      </c>
      <c r="C244" s="40" t="s">
        <v>6</v>
      </c>
      <c r="D244" s="108">
        <v>280</v>
      </c>
      <c r="E244" s="42" t="s">
        <v>35</v>
      </c>
      <c r="N244" s="27" t="s">
        <v>627</v>
      </c>
    </row>
    <row r="245" spans="1:20" x14ac:dyDescent="0.3">
      <c r="A245" s="4" t="s">
        <v>454</v>
      </c>
      <c r="B245" s="105">
        <v>1</v>
      </c>
      <c r="C245" s="40" t="s">
        <v>6</v>
      </c>
      <c r="D245" s="108">
        <v>182</v>
      </c>
      <c r="E245" s="42" t="s">
        <v>35</v>
      </c>
      <c r="N245" s="65" t="s">
        <v>255</v>
      </c>
    </row>
    <row r="246" spans="1:20" x14ac:dyDescent="0.3">
      <c r="A246" s="4" t="s">
        <v>456</v>
      </c>
      <c r="B246" s="105">
        <v>1</v>
      </c>
      <c r="C246" s="40" t="s">
        <v>6</v>
      </c>
      <c r="D246" s="108">
        <v>175</v>
      </c>
      <c r="E246" s="42" t="s">
        <v>35</v>
      </c>
      <c r="N246" s="27" t="s">
        <v>627</v>
      </c>
    </row>
    <row r="247" spans="1:20" x14ac:dyDescent="0.3">
      <c r="A247" s="4" t="s">
        <v>577</v>
      </c>
      <c r="B247" s="105">
        <v>1</v>
      </c>
      <c r="C247" s="40" t="s">
        <v>6</v>
      </c>
      <c r="D247" s="108">
        <v>236</v>
      </c>
      <c r="E247" s="42" t="s">
        <v>35</v>
      </c>
      <c r="N247" s="27" t="s">
        <v>763</v>
      </c>
    </row>
    <row r="248" spans="1:20" ht="14.4" customHeight="1" x14ac:dyDescent="0.3">
      <c r="A248" s="71" t="s">
        <v>145</v>
      </c>
      <c r="B248" s="105">
        <v>1</v>
      </c>
      <c r="C248" s="34" t="s">
        <v>6</v>
      </c>
      <c r="D248" s="113">
        <v>182</v>
      </c>
      <c r="E248" s="42" t="s">
        <v>35</v>
      </c>
      <c r="F248" s="113">
        <f>D248/F8</f>
        <v>8.1250000000000003E-2</v>
      </c>
      <c r="G248" s="42" t="s">
        <v>97</v>
      </c>
      <c r="H248" s="128"/>
      <c r="J248" s="128"/>
      <c r="L248" s="109"/>
      <c r="N248" s="65" t="s">
        <v>786</v>
      </c>
    </row>
    <row r="249" spans="1:20" ht="14.4" customHeight="1" x14ac:dyDescent="0.3">
      <c r="A249" s="4" t="s">
        <v>10</v>
      </c>
      <c r="B249" s="105">
        <v>1</v>
      </c>
      <c r="C249" s="40" t="s">
        <v>11</v>
      </c>
      <c r="D249" s="108">
        <v>15.9</v>
      </c>
      <c r="E249" s="42" t="s">
        <v>1</v>
      </c>
      <c r="N249" s="47" t="s">
        <v>12</v>
      </c>
    </row>
    <row r="250" spans="1:20" x14ac:dyDescent="0.3">
      <c r="A250" s="4" t="s">
        <v>21</v>
      </c>
      <c r="B250" s="105">
        <v>1</v>
      </c>
      <c r="C250" s="40" t="s">
        <v>572</v>
      </c>
      <c r="D250" s="108">
        <v>224</v>
      </c>
      <c r="E250" s="42" t="s">
        <v>35</v>
      </c>
      <c r="N250" s="4" t="s">
        <v>610</v>
      </c>
    </row>
    <row r="251" spans="1:20" ht="14.4" customHeight="1" x14ac:dyDescent="0.3">
      <c r="A251" s="4" t="s">
        <v>21</v>
      </c>
      <c r="B251" s="105">
        <v>1</v>
      </c>
      <c r="C251" s="40" t="s">
        <v>6</v>
      </c>
      <c r="D251" s="108">
        <v>168</v>
      </c>
      <c r="E251" s="42" t="s">
        <v>35</v>
      </c>
      <c r="F251" s="108">
        <v>1.5</v>
      </c>
      <c r="G251" s="42" t="s">
        <v>36</v>
      </c>
      <c r="N251" s="4" t="s">
        <v>594</v>
      </c>
    </row>
    <row r="252" spans="1:20" x14ac:dyDescent="0.3">
      <c r="A252" s="12" t="s">
        <v>21</v>
      </c>
      <c r="B252" s="105">
        <v>1</v>
      </c>
      <c r="C252" s="40" t="s">
        <v>71</v>
      </c>
      <c r="D252" s="108">
        <v>50</v>
      </c>
      <c r="E252" s="42" t="s">
        <v>244</v>
      </c>
      <c r="J252" s="104"/>
      <c r="L252" s="133"/>
      <c r="N252" s="4" t="s">
        <v>739</v>
      </c>
      <c r="O252" s="65"/>
      <c r="P252" s="65"/>
      <c r="T252" s="65"/>
    </row>
    <row r="253" spans="1:20" x14ac:dyDescent="0.3">
      <c r="A253" s="12" t="s">
        <v>21</v>
      </c>
      <c r="B253" s="105">
        <v>1</v>
      </c>
      <c r="C253" s="40" t="s">
        <v>235</v>
      </c>
      <c r="D253" s="108">
        <f>D255*Commodities!D87</f>
        <v>44.533374999999999</v>
      </c>
      <c r="E253" s="42" t="s">
        <v>35</v>
      </c>
      <c r="J253" s="104"/>
      <c r="N253" s="4" t="s">
        <v>243</v>
      </c>
    </row>
    <row r="254" spans="1:20" x14ac:dyDescent="0.3">
      <c r="A254" s="12" t="s">
        <v>21</v>
      </c>
      <c r="B254" s="105">
        <v>1</v>
      </c>
      <c r="C254" s="40" t="s">
        <v>788</v>
      </c>
      <c r="D254" s="108">
        <f>D256</f>
        <v>400.5</v>
      </c>
      <c r="E254" s="42" t="s">
        <v>35</v>
      </c>
      <c r="J254" s="104"/>
      <c r="N254" s="65" t="s">
        <v>255</v>
      </c>
    </row>
    <row r="255" spans="1:20" x14ac:dyDescent="0.3">
      <c r="A255" s="12" t="s">
        <v>21</v>
      </c>
      <c r="B255" s="105">
        <v>1</v>
      </c>
      <c r="C255" s="40" t="s">
        <v>244</v>
      </c>
      <c r="D255" s="108">
        <v>44.5</v>
      </c>
      <c r="E255" s="42" t="s">
        <v>35</v>
      </c>
      <c r="F255" s="108">
        <v>16</v>
      </c>
      <c r="G255" s="42" t="s">
        <v>115</v>
      </c>
      <c r="J255" s="104"/>
      <c r="N255" s="4" t="s">
        <v>739</v>
      </c>
      <c r="O255" s="65"/>
      <c r="P255" s="65"/>
      <c r="T255" s="65"/>
    </row>
    <row r="256" spans="1:20" x14ac:dyDescent="0.3">
      <c r="A256" s="12" t="s">
        <v>21</v>
      </c>
      <c r="B256" s="105">
        <v>1</v>
      </c>
      <c r="C256" s="40" t="s">
        <v>118</v>
      </c>
      <c r="D256" s="108">
        <f>F256*D255</f>
        <v>400.5</v>
      </c>
      <c r="E256" s="42" t="s">
        <v>35</v>
      </c>
      <c r="F256" s="108">
        <v>9</v>
      </c>
      <c r="G256" s="42" t="s">
        <v>244</v>
      </c>
      <c r="J256" s="104"/>
      <c r="N256" s="4" t="s">
        <v>739</v>
      </c>
      <c r="O256" s="65"/>
      <c r="P256" s="65"/>
      <c r="T256" s="65"/>
    </row>
    <row r="257" spans="1:23" x14ac:dyDescent="0.3">
      <c r="A257" s="12" t="s">
        <v>21</v>
      </c>
      <c r="B257" s="105">
        <v>1</v>
      </c>
      <c r="C257" s="40" t="s">
        <v>244</v>
      </c>
      <c r="D257" s="108">
        <v>44.5</v>
      </c>
      <c r="E257" s="42" t="s">
        <v>35</v>
      </c>
      <c r="J257" s="104"/>
      <c r="N257" s="4" t="s">
        <v>243</v>
      </c>
      <c r="V257" s="20"/>
      <c r="W257" s="90"/>
    </row>
    <row r="258" spans="1:23" ht="14.4" customHeight="1" x14ac:dyDescent="0.3">
      <c r="A258" s="71" t="s">
        <v>131</v>
      </c>
      <c r="B258" s="105">
        <v>1</v>
      </c>
      <c r="C258" s="34" t="s">
        <v>85</v>
      </c>
      <c r="D258" s="113">
        <v>5.4778349309226142E-2</v>
      </c>
      <c r="E258" s="42" t="s">
        <v>97</v>
      </c>
      <c r="F258" s="113"/>
      <c r="H258" s="74"/>
      <c r="J258" s="77"/>
      <c r="L258" s="113"/>
      <c r="N258" s="65" t="s">
        <v>590</v>
      </c>
    </row>
    <row r="259" spans="1:23" ht="14.4" customHeight="1" x14ac:dyDescent="0.3">
      <c r="A259" s="71" t="s">
        <v>134</v>
      </c>
      <c r="B259" s="105">
        <v>1</v>
      </c>
      <c r="C259" s="34" t="s">
        <v>105</v>
      </c>
      <c r="D259" s="113">
        <v>4.3150510615134224E-2</v>
      </c>
      <c r="E259" s="42" t="s">
        <v>97</v>
      </c>
      <c r="F259" s="113"/>
      <c r="H259" s="74"/>
      <c r="J259" s="77"/>
      <c r="L259" s="113"/>
      <c r="N259" s="65" t="s">
        <v>590</v>
      </c>
    </row>
    <row r="260" spans="1:23" ht="14.4" customHeight="1" x14ac:dyDescent="0.3">
      <c r="A260" s="9" t="s">
        <v>7</v>
      </c>
      <c r="B260" s="105">
        <v>1</v>
      </c>
      <c r="C260" s="34" t="s">
        <v>6</v>
      </c>
      <c r="D260" s="108">
        <v>196</v>
      </c>
      <c r="E260" s="42" t="s">
        <v>35</v>
      </c>
      <c r="F260" s="109">
        <v>1.75</v>
      </c>
      <c r="G260" s="42" t="s">
        <v>36</v>
      </c>
      <c r="H260" s="77">
        <f>F260/D8</f>
        <v>8.7499999999999994E-2</v>
      </c>
      <c r="I260" s="42" t="s">
        <v>97</v>
      </c>
      <c r="J260" s="128"/>
      <c r="L260" s="109"/>
      <c r="N260" s="4" t="s">
        <v>764</v>
      </c>
    </row>
    <row r="261" spans="1:23" x14ac:dyDescent="0.3">
      <c r="A261" s="4" t="s">
        <v>7</v>
      </c>
      <c r="B261" s="105">
        <v>1</v>
      </c>
      <c r="C261" s="40" t="s">
        <v>572</v>
      </c>
      <c r="D261" s="108">
        <v>224</v>
      </c>
      <c r="E261" s="42" t="s">
        <v>35</v>
      </c>
      <c r="N261" s="4" t="s">
        <v>765</v>
      </c>
    </row>
    <row r="262" spans="1:23" x14ac:dyDescent="0.3">
      <c r="A262" s="4" t="s">
        <v>719</v>
      </c>
      <c r="B262" s="105">
        <v>1</v>
      </c>
      <c r="C262" s="40" t="s">
        <v>572</v>
      </c>
      <c r="D262" s="108">
        <v>224</v>
      </c>
      <c r="E262" s="42" t="s">
        <v>35</v>
      </c>
      <c r="N262" s="4" t="s">
        <v>765</v>
      </c>
    </row>
    <row r="263" spans="1:23" x14ac:dyDescent="0.3">
      <c r="A263" s="4" t="s">
        <v>718</v>
      </c>
      <c r="B263" s="105">
        <v>1</v>
      </c>
      <c r="C263" s="40" t="s">
        <v>572</v>
      </c>
      <c r="D263" s="108">
        <v>224</v>
      </c>
      <c r="E263" s="42" t="s">
        <v>35</v>
      </c>
      <c r="N263" s="4" t="s">
        <v>765</v>
      </c>
    </row>
    <row r="264" spans="1:23" x14ac:dyDescent="0.3">
      <c r="A264" s="12" t="s">
        <v>669</v>
      </c>
      <c r="B264" s="105">
        <v>1</v>
      </c>
      <c r="C264" s="40" t="s">
        <v>71</v>
      </c>
      <c r="D264" s="108">
        <v>36</v>
      </c>
      <c r="E264" s="42" t="s">
        <v>244</v>
      </c>
      <c r="J264" s="104"/>
      <c r="L264" s="133"/>
      <c r="N264" s="4" t="s">
        <v>739</v>
      </c>
      <c r="O264" s="65"/>
      <c r="P264" s="65"/>
      <c r="T264" s="65"/>
    </row>
    <row r="265" spans="1:23" x14ac:dyDescent="0.3">
      <c r="A265" s="12" t="s">
        <v>669</v>
      </c>
      <c r="B265" s="105">
        <v>1</v>
      </c>
      <c r="C265" s="40" t="s">
        <v>118</v>
      </c>
      <c r="D265" s="108">
        <f>F265*D269</f>
        <v>396.5</v>
      </c>
      <c r="E265" s="42" t="s">
        <v>35</v>
      </c>
      <c r="F265" s="108">
        <v>6.5</v>
      </c>
      <c r="G265" s="42" t="s">
        <v>244</v>
      </c>
      <c r="J265" s="104"/>
      <c r="L265" s="133"/>
      <c r="N265" s="4" t="s">
        <v>739</v>
      </c>
      <c r="O265" s="65"/>
      <c r="P265" s="65"/>
      <c r="T265" s="65"/>
    </row>
    <row r="266" spans="1:23" x14ac:dyDescent="0.3">
      <c r="A266" s="12" t="s">
        <v>707</v>
      </c>
      <c r="B266" s="105">
        <v>1</v>
      </c>
      <c r="C266" s="40" t="s">
        <v>788</v>
      </c>
      <c r="D266" s="108">
        <f>D265</f>
        <v>396.5</v>
      </c>
      <c r="E266" s="42" t="s">
        <v>35</v>
      </c>
      <c r="J266" s="104"/>
      <c r="N266" s="65" t="s">
        <v>255</v>
      </c>
    </row>
    <row r="267" spans="1:23" x14ac:dyDescent="0.3">
      <c r="A267" s="12" t="s">
        <v>7</v>
      </c>
      <c r="B267" s="105">
        <v>1</v>
      </c>
      <c r="C267" s="40" t="s">
        <v>235</v>
      </c>
      <c r="D267" s="108">
        <f>D269*Commodities!D87</f>
        <v>61.045749999999998</v>
      </c>
      <c r="E267" s="42" t="s">
        <v>35</v>
      </c>
      <c r="J267" s="104"/>
      <c r="N267" s="4" t="s">
        <v>243</v>
      </c>
    </row>
    <row r="268" spans="1:23" x14ac:dyDescent="0.3">
      <c r="A268" s="12" t="s">
        <v>7</v>
      </c>
      <c r="B268" s="105">
        <v>1</v>
      </c>
      <c r="C268" s="40" t="s">
        <v>244</v>
      </c>
      <c r="D268" s="108">
        <v>61</v>
      </c>
      <c r="E268" s="42" t="s">
        <v>35</v>
      </c>
      <c r="J268" s="104"/>
      <c r="N268" s="4" t="s">
        <v>243</v>
      </c>
    </row>
    <row r="269" spans="1:23" x14ac:dyDescent="0.3">
      <c r="A269" s="12" t="s">
        <v>7</v>
      </c>
      <c r="B269" s="105">
        <v>1</v>
      </c>
      <c r="C269" s="40" t="s">
        <v>244</v>
      </c>
      <c r="D269" s="108">
        <v>61</v>
      </c>
      <c r="E269" s="42" t="s">
        <v>35</v>
      </c>
      <c r="F269" s="108">
        <v>22</v>
      </c>
      <c r="G269" s="42" t="s">
        <v>115</v>
      </c>
      <c r="J269" s="104"/>
      <c r="N269" s="4" t="s">
        <v>739</v>
      </c>
      <c r="O269" s="65"/>
      <c r="P269" s="65"/>
      <c r="T269" s="65"/>
    </row>
    <row r="270" spans="1:23" x14ac:dyDescent="0.3">
      <c r="A270" s="12" t="s">
        <v>7</v>
      </c>
      <c r="B270" s="105">
        <v>1</v>
      </c>
      <c r="C270" s="40" t="s">
        <v>6</v>
      </c>
      <c r="D270" s="108">
        <v>220</v>
      </c>
      <c r="E270" s="42" t="s">
        <v>35</v>
      </c>
      <c r="J270" s="104"/>
      <c r="N270" s="4" t="s">
        <v>766</v>
      </c>
    </row>
    <row r="271" spans="1:23" x14ac:dyDescent="0.3">
      <c r="A271" s="4" t="s">
        <v>446</v>
      </c>
      <c r="B271" s="105">
        <v>1</v>
      </c>
      <c r="C271" s="40" t="s">
        <v>6</v>
      </c>
      <c r="D271" s="108">
        <v>182</v>
      </c>
      <c r="E271" s="42" t="s">
        <v>35</v>
      </c>
      <c r="N271" s="65" t="s">
        <v>602</v>
      </c>
    </row>
    <row r="272" spans="1:23" x14ac:dyDescent="0.3">
      <c r="A272" s="4" t="s">
        <v>447</v>
      </c>
      <c r="B272" s="105">
        <v>1</v>
      </c>
      <c r="C272" s="40" t="s">
        <v>6</v>
      </c>
      <c r="D272" s="108">
        <v>182</v>
      </c>
      <c r="E272" s="42" t="s">
        <v>35</v>
      </c>
      <c r="N272" s="65" t="s">
        <v>602</v>
      </c>
    </row>
    <row r="273" spans="1:20" x14ac:dyDescent="0.3">
      <c r="A273" s="4" t="s">
        <v>448</v>
      </c>
      <c r="B273" s="105">
        <v>1</v>
      </c>
      <c r="C273" s="40" t="s">
        <v>6</v>
      </c>
      <c r="D273" s="108">
        <v>182</v>
      </c>
      <c r="E273" s="42" t="s">
        <v>35</v>
      </c>
      <c r="N273" s="65" t="s">
        <v>602</v>
      </c>
    </row>
    <row r="274" spans="1:20" ht="14.4" customHeight="1" x14ac:dyDescent="0.3">
      <c r="A274" s="10" t="s">
        <v>578</v>
      </c>
      <c r="B274" s="105">
        <v>1</v>
      </c>
      <c r="C274" s="34" t="s">
        <v>6</v>
      </c>
      <c r="D274" s="109">
        <v>1.625</v>
      </c>
      <c r="E274" s="42" t="s">
        <v>36</v>
      </c>
      <c r="F274" s="109">
        <f>D274/D8</f>
        <v>8.1250000000000003E-2</v>
      </c>
      <c r="G274" s="42" t="s">
        <v>97</v>
      </c>
      <c r="H274" s="77"/>
      <c r="J274" s="128"/>
      <c r="L274" s="109"/>
      <c r="N274" s="65" t="s">
        <v>602</v>
      </c>
    </row>
    <row r="275" spans="1:20" ht="14.4" customHeight="1" x14ac:dyDescent="0.3">
      <c r="A275" s="8" t="s">
        <v>58</v>
      </c>
      <c r="B275" s="105">
        <v>1</v>
      </c>
      <c r="C275" s="34" t="s">
        <v>105</v>
      </c>
      <c r="D275" s="113">
        <v>196</v>
      </c>
      <c r="E275" s="42" t="s">
        <v>35</v>
      </c>
      <c r="F275" s="109">
        <f>D275/D5</f>
        <v>1.75</v>
      </c>
      <c r="G275" s="42" t="s">
        <v>36</v>
      </c>
      <c r="H275" s="77"/>
      <c r="J275" s="77"/>
      <c r="N275" s="65" t="s">
        <v>827</v>
      </c>
    </row>
    <row r="276" spans="1:20" ht="14.4" customHeight="1" x14ac:dyDescent="0.3">
      <c r="A276" s="83" t="s">
        <v>58</v>
      </c>
      <c r="B276" s="105">
        <v>1</v>
      </c>
      <c r="C276" s="34" t="s">
        <v>106</v>
      </c>
      <c r="D276" s="113">
        <v>280</v>
      </c>
      <c r="E276" s="42" t="s">
        <v>35</v>
      </c>
      <c r="F276" s="109">
        <f>D276/D5</f>
        <v>2.5</v>
      </c>
      <c r="G276" s="42" t="s">
        <v>36</v>
      </c>
      <c r="H276" s="77"/>
      <c r="J276" s="77"/>
      <c r="N276" s="65" t="s">
        <v>611</v>
      </c>
    </row>
    <row r="277" spans="1:20" x14ac:dyDescent="0.3">
      <c r="A277" s="4" t="s">
        <v>399</v>
      </c>
      <c r="B277" s="105">
        <v>1</v>
      </c>
      <c r="C277" s="40" t="s">
        <v>571</v>
      </c>
      <c r="D277" s="108">
        <v>140</v>
      </c>
      <c r="E277" s="42" t="s">
        <v>35</v>
      </c>
      <c r="N277" s="65" t="s">
        <v>767</v>
      </c>
    </row>
    <row r="278" spans="1:20" ht="14.4" customHeight="1" x14ac:dyDescent="0.3">
      <c r="A278" s="4" t="s">
        <v>399</v>
      </c>
      <c r="B278" s="105">
        <v>1</v>
      </c>
      <c r="C278" s="42" t="s">
        <v>6</v>
      </c>
      <c r="D278" s="108">
        <v>168</v>
      </c>
      <c r="E278" s="42" t="s">
        <v>35</v>
      </c>
      <c r="F278" s="108">
        <v>1.5</v>
      </c>
      <c r="G278" s="42" t="s">
        <v>36</v>
      </c>
      <c r="N278" s="4" t="s">
        <v>594</v>
      </c>
    </row>
    <row r="279" spans="1:20" x14ac:dyDescent="0.3">
      <c r="A279" s="4" t="s">
        <v>399</v>
      </c>
      <c r="B279" s="105">
        <v>1</v>
      </c>
      <c r="C279" s="40" t="s">
        <v>9</v>
      </c>
      <c r="D279" s="108">
        <v>56</v>
      </c>
      <c r="E279" s="42" t="s">
        <v>35</v>
      </c>
      <c r="N279" s="65" t="s">
        <v>594</v>
      </c>
    </row>
    <row r="280" spans="1:20" x14ac:dyDescent="0.3">
      <c r="A280" s="4" t="s">
        <v>399</v>
      </c>
      <c r="B280" s="105">
        <v>1</v>
      </c>
      <c r="C280" s="40" t="s">
        <v>574</v>
      </c>
      <c r="D280" s="108">
        <v>112</v>
      </c>
      <c r="E280" s="42" t="s">
        <v>35</v>
      </c>
      <c r="N280" s="4" t="s">
        <v>818</v>
      </c>
    </row>
    <row r="281" spans="1:20" x14ac:dyDescent="0.3">
      <c r="A281" s="4" t="s">
        <v>413</v>
      </c>
      <c r="B281" s="105">
        <v>1</v>
      </c>
      <c r="C281" s="40" t="s">
        <v>6</v>
      </c>
      <c r="D281" s="108">
        <v>168</v>
      </c>
      <c r="E281" s="42" t="s">
        <v>35</v>
      </c>
      <c r="N281" s="4" t="s">
        <v>594</v>
      </c>
    </row>
    <row r="282" spans="1:20" x14ac:dyDescent="0.3">
      <c r="A282" s="4" t="s">
        <v>16</v>
      </c>
      <c r="B282" s="105">
        <v>1</v>
      </c>
      <c r="C282" s="40" t="s">
        <v>6</v>
      </c>
      <c r="D282" s="108">
        <v>92</v>
      </c>
      <c r="E282" s="42" t="s">
        <v>35</v>
      </c>
      <c r="N282" s="4" t="s">
        <v>594</v>
      </c>
    </row>
    <row r="283" spans="1:20" x14ac:dyDescent="0.3">
      <c r="A283" s="4" t="s">
        <v>16</v>
      </c>
      <c r="B283" s="105">
        <v>1</v>
      </c>
      <c r="C283" s="40" t="s">
        <v>9</v>
      </c>
      <c r="D283" s="108">
        <v>80</v>
      </c>
      <c r="E283" s="42" t="s">
        <v>35</v>
      </c>
      <c r="N283" s="4" t="s">
        <v>819</v>
      </c>
    </row>
    <row r="284" spans="1:20" x14ac:dyDescent="0.3">
      <c r="A284" s="4" t="s">
        <v>16</v>
      </c>
      <c r="B284" s="105">
        <v>1</v>
      </c>
      <c r="C284" s="40" t="s">
        <v>570</v>
      </c>
      <c r="D284" s="108">
        <v>55</v>
      </c>
      <c r="E284" s="42" t="s">
        <v>35</v>
      </c>
      <c r="N284" s="4" t="s">
        <v>768</v>
      </c>
    </row>
    <row r="285" spans="1:20" ht="14.4" customHeight="1" x14ac:dyDescent="0.3">
      <c r="A285" s="4" t="s">
        <v>16</v>
      </c>
      <c r="B285" s="105">
        <v>1</v>
      </c>
      <c r="C285" s="42" t="s">
        <v>782</v>
      </c>
      <c r="D285" s="108">
        <v>9</v>
      </c>
      <c r="E285" s="42" t="s">
        <v>688</v>
      </c>
      <c r="N285" s="27" t="s">
        <v>640</v>
      </c>
    </row>
    <row r="286" spans="1:20" ht="14.4" customHeight="1" x14ac:dyDescent="0.3">
      <c r="A286" s="4" t="s">
        <v>22</v>
      </c>
      <c r="B286" s="105">
        <v>1</v>
      </c>
      <c r="C286" s="42" t="s">
        <v>6</v>
      </c>
      <c r="D286" s="108">
        <v>168</v>
      </c>
      <c r="E286" s="42" t="s">
        <v>35</v>
      </c>
      <c r="F286" s="108">
        <v>1.5</v>
      </c>
      <c r="G286" s="42" t="s">
        <v>36</v>
      </c>
      <c r="N286" s="65" t="s">
        <v>612</v>
      </c>
    </row>
    <row r="287" spans="1:20" x14ac:dyDescent="0.3">
      <c r="A287" s="12" t="s">
        <v>22</v>
      </c>
      <c r="B287" s="105">
        <v>1</v>
      </c>
      <c r="C287" s="40" t="s">
        <v>106</v>
      </c>
      <c r="D287" s="108">
        <f>1.25*112</f>
        <v>140</v>
      </c>
      <c r="E287" s="42" t="s">
        <v>35</v>
      </c>
      <c r="J287" s="104"/>
      <c r="N287" s="4" t="s">
        <v>654</v>
      </c>
      <c r="S287" s="116"/>
      <c r="T287" s="116"/>
    </row>
    <row r="288" spans="1:20" x14ac:dyDescent="0.3">
      <c r="A288" s="4" t="s">
        <v>445</v>
      </c>
      <c r="B288" s="105">
        <v>1</v>
      </c>
      <c r="C288" s="40" t="s">
        <v>6</v>
      </c>
      <c r="D288" s="108">
        <v>182</v>
      </c>
      <c r="E288" s="42" t="s">
        <v>35</v>
      </c>
      <c r="N288" s="65" t="s">
        <v>602</v>
      </c>
    </row>
    <row r="289" spans="1:14" x14ac:dyDescent="0.3">
      <c r="A289" s="4" t="s">
        <v>449</v>
      </c>
      <c r="B289" s="105">
        <v>1</v>
      </c>
      <c r="C289" s="40" t="s">
        <v>6</v>
      </c>
      <c r="D289" s="108">
        <v>182</v>
      </c>
      <c r="E289" s="42" t="s">
        <v>35</v>
      </c>
      <c r="N289" s="65" t="s">
        <v>602</v>
      </c>
    </row>
    <row r="290" spans="1:14" x14ac:dyDescent="0.3">
      <c r="A290" s="12" t="s">
        <v>449</v>
      </c>
      <c r="B290" s="105">
        <v>1</v>
      </c>
      <c r="C290" s="40" t="s">
        <v>235</v>
      </c>
      <c r="D290" s="108">
        <f>D269*Commodities!D87</f>
        <v>61.045749999999998</v>
      </c>
      <c r="E290" s="42" t="s">
        <v>35</v>
      </c>
      <c r="J290" s="104"/>
      <c r="N290" s="65" t="s">
        <v>255</v>
      </c>
    </row>
    <row r="291" spans="1:14" x14ac:dyDescent="0.3">
      <c r="A291" s="4" t="s">
        <v>455</v>
      </c>
      <c r="B291" s="105">
        <v>1</v>
      </c>
      <c r="C291" s="40" t="s">
        <v>6</v>
      </c>
      <c r="D291" s="108">
        <v>182</v>
      </c>
      <c r="E291" s="42" t="s">
        <v>35</v>
      </c>
      <c r="N291" s="65" t="s">
        <v>602</v>
      </c>
    </row>
    <row r="292" spans="1:14" x14ac:dyDescent="0.3">
      <c r="A292" s="4" t="s">
        <v>474</v>
      </c>
      <c r="B292" s="105">
        <v>1</v>
      </c>
      <c r="C292" s="40" t="s">
        <v>571</v>
      </c>
      <c r="D292" s="108">
        <v>140</v>
      </c>
      <c r="E292" s="42" t="s">
        <v>35</v>
      </c>
      <c r="N292" s="65" t="s">
        <v>614</v>
      </c>
    </row>
    <row r="293" spans="1:14" x14ac:dyDescent="0.3">
      <c r="A293" s="4" t="s">
        <v>474</v>
      </c>
      <c r="B293" s="105">
        <v>1</v>
      </c>
      <c r="C293" s="40" t="s">
        <v>6</v>
      </c>
      <c r="D293" s="108">
        <v>150</v>
      </c>
      <c r="E293" s="42" t="s">
        <v>35</v>
      </c>
      <c r="N293" s="65" t="s">
        <v>614</v>
      </c>
    </row>
    <row r="294" spans="1:14" x14ac:dyDescent="0.3">
      <c r="A294" s="4" t="s">
        <v>477</v>
      </c>
      <c r="B294" s="105">
        <v>1</v>
      </c>
      <c r="C294" s="40" t="s">
        <v>6</v>
      </c>
      <c r="D294" s="108">
        <v>160</v>
      </c>
      <c r="E294" s="42" t="s">
        <v>35</v>
      </c>
      <c r="N294" s="65" t="s">
        <v>613</v>
      </c>
    </row>
    <row r="295" spans="1:14" x14ac:dyDescent="0.3">
      <c r="A295" s="4" t="s">
        <v>435</v>
      </c>
      <c r="B295" s="105">
        <v>1</v>
      </c>
      <c r="C295" s="40" t="s">
        <v>6</v>
      </c>
      <c r="D295" s="108">
        <v>168</v>
      </c>
      <c r="E295" s="42" t="s">
        <v>35</v>
      </c>
      <c r="N295" s="27" t="s">
        <v>786</v>
      </c>
    </row>
    <row r="296" spans="1:14" x14ac:dyDescent="0.3">
      <c r="A296" s="4" t="s">
        <v>451</v>
      </c>
      <c r="B296" s="105">
        <v>1</v>
      </c>
      <c r="C296" s="40" t="s">
        <v>6</v>
      </c>
      <c r="D296" s="108">
        <v>182</v>
      </c>
      <c r="E296" s="42" t="s">
        <v>35</v>
      </c>
      <c r="N296" s="65" t="s">
        <v>602</v>
      </c>
    </row>
    <row r="297" spans="1:14" x14ac:dyDescent="0.3">
      <c r="A297" s="4" t="s">
        <v>450</v>
      </c>
      <c r="B297" s="105">
        <v>1</v>
      </c>
      <c r="C297" s="40" t="s">
        <v>6</v>
      </c>
      <c r="D297" s="108">
        <v>182</v>
      </c>
      <c r="E297" s="42" t="s">
        <v>35</v>
      </c>
      <c r="N297" s="65" t="s">
        <v>602</v>
      </c>
    </row>
    <row r="298" spans="1:14" x14ac:dyDescent="0.3">
      <c r="A298" s="12" t="s">
        <v>450</v>
      </c>
      <c r="B298" s="105">
        <v>1</v>
      </c>
      <c r="C298" s="40" t="s">
        <v>235</v>
      </c>
      <c r="D298" s="108">
        <f>D269*Commodities!D87</f>
        <v>61.045749999999998</v>
      </c>
      <c r="E298" s="42" t="s">
        <v>35</v>
      </c>
      <c r="J298" s="104"/>
      <c r="N298" s="4" t="s">
        <v>250</v>
      </c>
    </row>
    <row r="299" spans="1:14" ht="15.6" customHeight="1" x14ac:dyDescent="0.3">
      <c r="A299" s="12" t="s">
        <v>450</v>
      </c>
      <c r="B299" s="105">
        <v>1</v>
      </c>
      <c r="C299" s="40" t="s">
        <v>100</v>
      </c>
      <c r="D299" s="108">
        <f>D269</f>
        <v>61</v>
      </c>
      <c r="E299" s="42" t="s">
        <v>35</v>
      </c>
      <c r="J299" s="104"/>
      <c r="N299" s="4" t="s">
        <v>739</v>
      </c>
    </row>
    <row r="300" spans="1:14" x14ac:dyDescent="0.3">
      <c r="A300" s="4" t="s">
        <v>452</v>
      </c>
      <c r="B300" s="105">
        <v>1</v>
      </c>
      <c r="C300" s="40" t="s">
        <v>6</v>
      </c>
      <c r="D300" s="108">
        <v>182</v>
      </c>
      <c r="E300" s="42" t="s">
        <v>35</v>
      </c>
      <c r="N300" s="65" t="s">
        <v>602</v>
      </c>
    </row>
    <row r="301" spans="1:14" ht="14.4" customHeight="1" x14ac:dyDescent="0.3">
      <c r="A301" s="71" t="s">
        <v>154</v>
      </c>
      <c r="B301" s="105">
        <v>1</v>
      </c>
      <c r="C301" s="34" t="s">
        <v>6</v>
      </c>
      <c r="D301" s="113">
        <v>7.6176461110207927E-2</v>
      </c>
      <c r="E301" s="42" t="s">
        <v>97</v>
      </c>
      <c r="F301" s="113"/>
      <c r="H301" s="74"/>
      <c r="J301" s="77"/>
      <c r="L301" s="113"/>
      <c r="N301" s="65" t="s">
        <v>590</v>
      </c>
    </row>
    <row r="302" spans="1:14" ht="14.4" customHeight="1" x14ac:dyDescent="0.3">
      <c r="A302" s="11" t="s">
        <v>33</v>
      </c>
      <c r="B302" s="105">
        <v>1</v>
      </c>
      <c r="C302" s="42" t="s">
        <v>158</v>
      </c>
      <c r="D302" s="108">
        <v>102</v>
      </c>
      <c r="E302" s="42" t="s">
        <v>35</v>
      </c>
      <c r="F302" s="108">
        <v>0.88400000000000001</v>
      </c>
      <c r="G302" s="42" t="s">
        <v>36</v>
      </c>
      <c r="N302" s="65" t="s">
        <v>615</v>
      </c>
    </row>
    <row r="303" spans="1:14" ht="14.4" customHeight="1" x14ac:dyDescent="0.3">
      <c r="A303" s="3" t="s">
        <v>33</v>
      </c>
      <c r="B303" s="105">
        <v>1</v>
      </c>
      <c r="C303" s="38" t="s">
        <v>34</v>
      </c>
      <c r="D303" s="107">
        <v>99.007999999999996</v>
      </c>
      <c r="E303" s="42" t="s">
        <v>35</v>
      </c>
      <c r="F303" s="122"/>
      <c r="N303" s="65" t="s">
        <v>615</v>
      </c>
    </row>
    <row r="304" spans="1:14" ht="14.4" customHeight="1" x14ac:dyDescent="0.3">
      <c r="A304" s="11" t="s">
        <v>160</v>
      </c>
      <c r="B304" s="105">
        <v>1</v>
      </c>
      <c r="C304" s="42" t="s">
        <v>6</v>
      </c>
      <c r="D304" s="115">
        <v>182</v>
      </c>
      <c r="E304" s="42" t="s">
        <v>35</v>
      </c>
      <c r="F304" s="115">
        <f>D304/D5</f>
        <v>1.625</v>
      </c>
      <c r="G304" s="42" t="s">
        <v>36</v>
      </c>
      <c r="H304" s="104"/>
      <c r="J304" s="79"/>
      <c r="N304" s="65" t="s">
        <v>602</v>
      </c>
    </row>
    <row r="305" spans="1:20" x14ac:dyDescent="0.3">
      <c r="A305" s="12" t="s">
        <v>668</v>
      </c>
      <c r="B305" s="105">
        <v>1</v>
      </c>
      <c r="C305" s="40" t="s">
        <v>245</v>
      </c>
      <c r="D305" s="108">
        <f>D307</f>
        <v>416.25</v>
      </c>
      <c r="E305" s="42" t="s">
        <v>35</v>
      </c>
      <c r="J305" s="104"/>
      <c r="N305" s="65" t="s">
        <v>255</v>
      </c>
    </row>
    <row r="306" spans="1:20" x14ac:dyDescent="0.3">
      <c r="A306" s="12" t="s">
        <v>670</v>
      </c>
      <c r="B306" s="105">
        <v>1</v>
      </c>
      <c r="C306" s="40" t="s">
        <v>71</v>
      </c>
      <c r="D306" s="108">
        <v>40</v>
      </c>
      <c r="E306" s="42" t="s">
        <v>244</v>
      </c>
      <c r="J306" s="104"/>
      <c r="L306" s="133"/>
      <c r="N306" s="4" t="s">
        <v>739</v>
      </c>
      <c r="O306" s="65"/>
      <c r="P306" s="65"/>
      <c r="T306" s="65"/>
    </row>
    <row r="307" spans="1:20" x14ac:dyDescent="0.3">
      <c r="A307" s="12" t="s">
        <v>668</v>
      </c>
      <c r="B307" s="105">
        <v>1</v>
      </c>
      <c r="C307" s="40" t="s">
        <v>118</v>
      </c>
      <c r="D307" s="108">
        <f>F307*D308</f>
        <v>416.25</v>
      </c>
      <c r="E307" s="42" t="s">
        <v>35</v>
      </c>
      <c r="F307" s="108">
        <v>7.5</v>
      </c>
      <c r="G307" s="42" t="s">
        <v>244</v>
      </c>
      <c r="J307" s="104"/>
      <c r="L307" s="133"/>
      <c r="N307" s="4" t="s">
        <v>739</v>
      </c>
      <c r="O307" s="65"/>
      <c r="P307" s="65"/>
      <c r="T307" s="65"/>
    </row>
    <row r="308" spans="1:20" x14ac:dyDescent="0.3">
      <c r="A308" s="12" t="s">
        <v>668</v>
      </c>
      <c r="B308" s="105">
        <v>1</v>
      </c>
      <c r="C308" s="40" t="s">
        <v>244</v>
      </c>
      <c r="D308" s="108">
        <v>55.5</v>
      </c>
      <c r="E308" s="42" t="s">
        <v>35</v>
      </c>
      <c r="F308" s="108">
        <v>20</v>
      </c>
      <c r="G308" s="42" t="s">
        <v>115</v>
      </c>
      <c r="J308" s="104"/>
      <c r="N308" s="4" t="s">
        <v>739</v>
      </c>
      <c r="O308" s="65"/>
      <c r="P308" s="65"/>
      <c r="T308" s="65"/>
    </row>
    <row r="309" spans="1:20" x14ac:dyDescent="0.3">
      <c r="A309" s="12" t="s">
        <v>160</v>
      </c>
      <c r="B309" s="105">
        <v>1</v>
      </c>
      <c r="C309" s="40" t="s">
        <v>235</v>
      </c>
      <c r="D309" s="108">
        <v>60</v>
      </c>
      <c r="E309" s="42" t="s">
        <v>35</v>
      </c>
      <c r="J309" s="104"/>
      <c r="N309" s="4" t="s">
        <v>250</v>
      </c>
    </row>
    <row r="310" spans="1:20" x14ac:dyDescent="0.3">
      <c r="A310" s="12" t="s">
        <v>160</v>
      </c>
      <c r="B310" s="105">
        <v>1</v>
      </c>
      <c r="C310" s="40" t="s">
        <v>100</v>
      </c>
      <c r="D310" s="108">
        <f>D308</f>
        <v>55.5</v>
      </c>
      <c r="E310" s="42" t="s">
        <v>35</v>
      </c>
      <c r="J310" s="104"/>
      <c r="N310" s="4" t="s">
        <v>739</v>
      </c>
    </row>
    <row r="311" spans="1:20" x14ac:dyDescent="0.3">
      <c r="A311" s="12" t="s">
        <v>704</v>
      </c>
      <c r="B311" s="105">
        <v>1</v>
      </c>
      <c r="C311" s="40" t="s">
        <v>100</v>
      </c>
      <c r="D311" s="108">
        <f>D308</f>
        <v>55.5</v>
      </c>
      <c r="E311" s="42" t="s">
        <v>35</v>
      </c>
      <c r="J311" s="104"/>
      <c r="N311" s="4" t="s">
        <v>739</v>
      </c>
    </row>
    <row r="312" spans="1:20" x14ac:dyDescent="0.3">
      <c r="A312" s="12" t="s">
        <v>704</v>
      </c>
      <c r="B312" s="105">
        <v>1</v>
      </c>
      <c r="C312" s="40" t="s">
        <v>235</v>
      </c>
      <c r="D312" s="108">
        <f>D308*Commodities!D87</f>
        <v>55.541625000000003</v>
      </c>
      <c r="E312" s="42" t="s">
        <v>35</v>
      </c>
      <c r="J312" s="104"/>
      <c r="N312" s="4" t="s">
        <v>250</v>
      </c>
    </row>
    <row r="313" spans="1:20" x14ac:dyDescent="0.3">
      <c r="A313" s="12" t="s">
        <v>449</v>
      </c>
      <c r="B313" s="105">
        <v>1</v>
      </c>
      <c r="C313" s="40" t="s">
        <v>100</v>
      </c>
      <c r="D313" s="108">
        <f>Commodities!$D$87*D290</f>
        <v>61.091534312500002</v>
      </c>
      <c r="E313" s="42" t="s">
        <v>35</v>
      </c>
      <c r="J313" s="104"/>
      <c r="N313" s="4" t="s">
        <v>739</v>
      </c>
    </row>
    <row r="314" spans="1:20" x14ac:dyDescent="0.3">
      <c r="A314" s="12" t="s">
        <v>5</v>
      </c>
      <c r="B314" s="105">
        <v>1</v>
      </c>
      <c r="C314" s="40" t="s">
        <v>106</v>
      </c>
      <c r="D314" s="108">
        <f>1.5*112</f>
        <v>168</v>
      </c>
      <c r="E314" s="42" t="s">
        <v>35</v>
      </c>
      <c r="J314" s="104"/>
      <c r="N314" s="65" t="s">
        <v>786</v>
      </c>
      <c r="S314" s="116"/>
      <c r="T314" s="116"/>
    </row>
    <row r="315" spans="1:20" ht="14.4" customHeight="1" x14ac:dyDescent="0.3">
      <c r="A315" s="10" t="s">
        <v>5</v>
      </c>
      <c r="B315" s="105">
        <v>1</v>
      </c>
      <c r="C315" s="43" t="s">
        <v>6</v>
      </c>
      <c r="D315" s="109">
        <v>1.5</v>
      </c>
      <c r="E315" s="42" t="s">
        <v>36</v>
      </c>
      <c r="F315" s="109">
        <f>D315*D5</f>
        <v>168</v>
      </c>
      <c r="G315" s="42" t="s">
        <v>35</v>
      </c>
      <c r="H315" s="77">
        <f>D315/D8</f>
        <v>7.4999999999999997E-2</v>
      </c>
      <c r="I315" s="42" t="s">
        <v>97</v>
      </c>
      <c r="J315" s="128"/>
      <c r="N315" s="65" t="s">
        <v>616</v>
      </c>
    </row>
    <row r="316" spans="1:20" x14ac:dyDescent="0.3">
      <c r="A316" s="4" t="s">
        <v>453</v>
      </c>
      <c r="B316" s="105">
        <v>1</v>
      </c>
      <c r="C316" s="40" t="s">
        <v>6</v>
      </c>
      <c r="D316" s="108">
        <v>182</v>
      </c>
      <c r="E316" s="42" t="s">
        <v>35</v>
      </c>
      <c r="N316" s="65" t="s">
        <v>602</v>
      </c>
    </row>
    <row r="317" spans="1:20" ht="14.4" customHeight="1" x14ac:dyDescent="0.3">
      <c r="A317" s="71" t="s">
        <v>138</v>
      </c>
      <c r="B317" s="105">
        <v>1</v>
      </c>
      <c r="C317" s="34" t="s">
        <v>105</v>
      </c>
      <c r="D317" s="113">
        <v>7.0813103369529576E-2</v>
      </c>
      <c r="E317" s="42" t="s">
        <v>97</v>
      </c>
      <c r="F317" s="113"/>
      <c r="H317" s="74"/>
      <c r="J317" s="77"/>
      <c r="L317" s="113"/>
      <c r="N317" s="65" t="s">
        <v>590</v>
      </c>
    </row>
    <row r="318" spans="1:20" x14ac:dyDescent="0.3">
      <c r="A318" s="12" t="s">
        <v>138</v>
      </c>
      <c r="B318" s="105">
        <v>1</v>
      </c>
      <c r="C318" s="40" t="s">
        <v>235</v>
      </c>
      <c r="D318" s="108">
        <v>60</v>
      </c>
      <c r="E318" s="42" t="s">
        <v>35</v>
      </c>
      <c r="J318" s="104"/>
      <c r="N318" s="4" t="s">
        <v>251</v>
      </c>
    </row>
    <row r="319" spans="1:20" x14ac:dyDescent="0.3">
      <c r="A319" s="4" t="s">
        <v>438</v>
      </c>
      <c r="B319" s="105">
        <v>1</v>
      </c>
      <c r="C319" s="40" t="s">
        <v>6</v>
      </c>
      <c r="D319" s="108">
        <v>168</v>
      </c>
      <c r="E319" s="42" t="s">
        <v>35</v>
      </c>
      <c r="N319" s="65" t="s">
        <v>617</v>
      </c>
    </row>
    <row r="320" spans="1:20" x14ac:dyDescent="0.3">
      <c r="A320" s="4" t="s">
        <v>439</v>
      </c>
      <c r="B320" s="105">
        <v>1</v>
      </c>
      <c r="C320" s="40" t="s">
        <v>6</v>
      </c>
      <c r="D320" s="108">
        <v>112</v>
      </c>
      <c r="E320" s="42" t="s">
        <v>35</v>
      </c>
      <c r="N320" s="65" t="s">
        <v>602</v>
      </c>
    </row>
    <row r="321" spans="1:27" x14ac:dyDescent="0.3">
      <c r="A321" s="4" t="s">
        <v>517</v>
      </c>
      <c r="B321" s="105">
        <v>1</v>
      </c>
      <c r="C321" s="40" t="s">
        <v>241</v>
      </c>
      <c r="D321" s="108">
        <v>269.41547952433137</v>
      </c>
      <c r="E321" s="42" t="s">
        <v>35</v>
      </c>
      <c r="N321" s="27" t="s">
        <v>255</v>
      </c>
    </row>
    <row r="322" spans="1:27" s="117" customFormat="1" x14ac:dyDescent="0.3">
      <c r="A322" s="12" t="s">
        <v>692</v>
      </c>
      <c r="B322" s="105">
        <v>1</v>
      </c>
      <c r="C322" s="40" t="s">
        <v>74</v>
      </c>
      <c r="D322" s="108">
        <v>9.7003395361346126E-2</v>
      </c>
      <c r="E322" s="42" t="s">
        <v>35</v>
      </c>
      <c r="F322" s="108"/>
      <c r="G322" s="42"/>
      <c r="H322" s="72"/>
      <c r="I322" s="42"/>
      <c r="J322" s="104"/>
      <c r="K322" s="42"/>
      <c r="L322" s="135"/>
      <c r="M322" s="42"/>
      <c r="N322" s="27" t="s">
        <v>255</v>
      </c>
      <c r="O322" s="4"/>
      <c r="P322" s="4"/>
      <c r="Q322" s="4"/>
      <c r="R322" s="4"/>
      <c r="S322" s="4"/>
      <c r="T322" s="4"/>
      <c r="U322" s="4"/>
      <c r="V322" s="4"/>
      <c r="W322" s="4"/>
      <c r="X322" s="4"/>
      <c r="Y322" s="4"/>
      <c r="Z322" s="4"/>
      <c r="AA322" s="4"/>
    </row>
    <row r="323" spans="1:27" s="117" customFormat="1" x14ac:dyDescent="0.3">
      <c r="A323" s="12" t="s">
        <v>694</v>
      </c>
      <c r="B323" s="105">
        <v>1</v>
      </c>
      <c r="C323" s="40" t="s">
        <v>74</v>
      </c>
      <c r="D323" s="108">
        <v>9.9208017983194903E-3</v>
      </c>
      <c r="E323" s="42" t="s">
        <v>35</v>
      </c>
      <c r="F323" s="108"/>
      <c r="G323" s="42"/>
      <c r="H323" s="72"/>
      <c r="I323" s="42"/>
      <c r="J323" s="104"/>
      <c r="K323" s="42"/>
      <c r="L323" s="135"/>
      <c r="M323" s="42"/>
      <c r="N323" s="27" t="s">
        <v>255</v>
      </c>
      <c r="O323" s="4"/>
      <c r="P323" s="4"/>
      <c r="Q323" s="4"/>
      <c r="R323" s="4"/>
      <c r="S323" s="4"/>
      <c r="T323" s="4"/>
      <c r="U323" s="4"/>
      <c r="V323" s="4"/>
      <c r="W323" s="4"/>
      <c r="X323" s="4"/>
      <c r="Y323" s="4"/>
      <c r="Z323" s="4"/>
      <c r="AA323" s="4"/>
    </row>
    <row r="324" spans="1:27" s="118" customFormat="1" x14ac:dyDescent="0.3">
      <c r="A324" s="12" t="s">
        <v>695</v>
      </c>
      <c r="B324" s="105">
        <v>1</v>
      </c>
      <c r="C324" s="40" t="s">
        <v>74</v>
      </c>
      <c r="D324" s="108">
        <v>1.2963181016470799</v>
      </c>
      <c r="E324" s="42" t="s">
        <v>35</v>
      </c>
      <c r="F324" s="108"/>
      <c r="G324" s="42"/>
      <c r="H324" s="72"/>
      <c r="I324" s="42"/>
      <c r="J324" s="104"/>
      <c r="K324" s="42"/>
      <c r="L324" s="136"/>
      <c r="M324" s="42"/>
      <c r="N324" s="27" t="s">
        <v>255</v>
      </c>
      <c r="O324" s="90"/>
      <c r="P324" s="90"/>
      <c r="Q324" s="90"/>
      <c r="R324" s="90"/>
      <c r="S324" s="90"/>
      <c r="T324" s="90"/>
      <c r="U324" s="90"/>
      <c r="V324" s="90"/>
      <c r="W324" s="90"/>
      <c r="X324" s="90"/>
      <c r="Y324" s="90"/>
      <c r="Z324" s="90"/>
      <c r="AA324" s="90"/>
    </row>
    <row r="325" spans="1:27" s="118" customFormat="1" x14ac:dyDescent="0.3">
      <c r="A325" s="12" t="s">
        <v>696</v>
      </c>
      <c r="B325" s="105">
        <v>1</v>
      </c>
      <c r="C325" s="40" t="s">
        <v>74</v>
      </c>
      <c r="D325" s="108">
        <v>0.62170357936135467</v>
      </c>
      <c r="E325" s="42" t="s">
        <v>35</v>
      </c>
      <c r="F325" s="108"/>
      <c r="G325" s="42"/>
      <c r="H325" s="72"/>
      <c r="I325" s="42"/>
      <c r="J325" s="104"/>
      <c r="K325" s="42"/>
      <c r="L325" s="136"/>
      <c r="M325" s="42"/>
      <c r="N325" s="27" t="s">
        <v>255</v>
      </c>
      <c r="O325" s="90"/>
      <c r="P325" s="90"/>
      <c r="Q325" s="90"/>
      <c r="R325" s="90"/>
      <c r="S325" s="90"/>
      <c r="T325" s="90"/>
      <c r="U325" s="90"/>
      <c r="V325" s="90"/>
      <c r="W325" s="90"/>
      <c r="X325" s="90"/>
      <c r="Y325" s="90"/>
      <c r="Z325" s="90"/>
      <c r="AA325" s="90"/>
    </row>
    <row r="326" spans="1:27" s="117" customFormat="1" x14ac:dyDescent="0.3">
      <c r="A326" s="12" t="s">
        <v>697</v>
      </c>
      <c r="B326" s="105">
        <v>1</v>
      </c>
      <c r="C326" s="40" t="s">
        <v>74</v>
      </c>
      <c r="D326" s="108">
        <v>4.5</v>
      </c>
      <c r="E326" s="42" t="s">
        <v>35</v>
      </c>
      <c r="F326" s="108"/>
      <c r="G326" s="42"/>
      <c r="H326" s="72"/>
      <c r="I326" s="42"/>
      <c r="J326" s="104"/>
      <c r="K326" s="42"/>
      <c r="L326" s="135"/>
      <c r="M326" s="42"/>
      <c r="N326" s="27" t="s">
        <v>255</v>
      </c>
      <c r="O326" s="4"/>
      <c r="P326" s="4"/>
      <c r="Q326" s="4"/>
      <c r="R326" s="4"/>
      <c r="S326" s="4"/>
      <c r="T326" s="4"/>
      <c r="U326" s="4"/>
      <c r="V326" s="4"/>
      <c r="W326" s="4"/>
      <c r="X326" s="4"/>
      <c r="Y326" s="4"/>
      <c r="Z326" s="4"/>
      <c r="AA326" s="4"/>
    </row>
    <row r="327" spans="1:27" s="117" customFormat="1" x14ac:dyDescent="0.3">
      <c r="A327" s="12" t="s">
        <v>698</v>
      </c>
      <c r="B327" s="105">
        <v>1</v>
      </c>
      <c r="C327" s="40" t="s">
        <v>74</v>
      </c>
      <c r="D327" s="108">
        <v>0.66138678655463268</v>
      </c>
      <c r="E327" s="42" t="s">
        <v>35</v>
      </c>
      <c r="F327" s="108"/>
      <c r="G327" s="42"/>
      <c r="H327" s="72"/>
      <c r="I327" s="42"/>
      <c r="J327" s="104"/>
      <c r="K327" s="42"/>
      <c r="L327" s="108"/>
      <c r="M327" s="42"/>
      <c r="N327" s="27" t="s">
        <v>255</v>
      </c>
      <c r="O327" s="4"/>
      <c r="P327" s="4"/>
      <c r="Q327" s="4"/>
      <c r="R327" s="4"/>
      <c r="S327" s="4"/>
      <c r="T327" s="4"/>
      <c r="U327" s="4"/>
      <c r="V327" s="4"/>
      <c r="W327" s="4"/>
      <c r="X327" s="4"/>
      <c r="Y327" s="4"/>
      <c r="Z327" s="4"/>
      <c r="AA327" s="4"/>
    </row>
    <row r="328" spans="1:27" s="117" customFormat="1" x14ac:dyDescent="0.3">
      <c r="A328" s="12" t="s">
        <v>694</v>
      </c>
      <c r="B328" s="105">
        <v>1</v>
      </c>
      <c r="C328" s="40" t="s">
        <v>74</v>
      </c>
      <c r="D328" s="108">
        <v>9.9208017983194903E-3</v>
      </c>
      <c r="E328" s="42" t="s">
        <v>35</v>
      </c>
      <c r="F328" s="108"/>
      <c r="G328" s="42"/>
      <c r="H328" s="72"/>
      <c r="I328" s="42"/>
      <c r="J328" s="104"/>
      <c r="K328" s="42"/>
      <c r="L328" s="108"/>
      <c r="M328" s="42"/>
      <c r="N328" s="27" t="s">
        <v>255</v>
      </c>
      <c r="O328" s="4"/>
      <c r="P328" s="4"/>
      <c r="Q328" s="4"/>
      <c r="R328" s="4"/>
      <c r="S328" s="4"/>
      <c r="T328" s="4"/>
      <c r="U328" s="4"/>
      <c r="V328" s="4"/>
      <c r="W328" s="4"/>
      <c r="X328" s="4"/>
      <c r="Y328" s="4"/>
      <c r="Z328" s="4"/>
      <c r="AA328" s="4"/>
    </row>
    <row r="329" spans="1:27" s="117" customFormat="1" x14ac:dyDescent="0.3">
      <c r="A329" s="12" t="s">
        <v>699</v>
      </c>
      <c r="B329" s="105">
        <v>1</v>
      </c>
      <c r="C329" s="40" t="s">
        <v>74</v>
      </c>
      <c r="D329" s="108">
        <v>6.6138678655463273E-2</v>
      </c>
      <c r="E329" s="42" t="s">
        <v>35</v>
      </c>
      <c r="F329" s="108"/>
      <c r="G329" s="42"/>
      <c r="H329" s="72"/>
      <c r="I329" s="42"/>
      <c r="J329" s="104"/>
      <c r="K329" s="42"/>
      <c r="L329" s="108"/>
      <c r="M329" s="42"/>
      <c r="N329" s="27" t="s">
        <v>255</v>
      </c>
      <c r="O329" s="4"/>
      <c r="P329" s="4"/>
      <c r="Q329" s="4"/>
      <c r="R329" s="4"/>
      <c r="S329" s="4"/>
      <c r="T329" s="4"/>
      <c r="U329" s="4"/>
      <c r="V329" s="4"/>
      <c r="W329" s="4"/>
      <c r="X329" s="4"/>
      <c r="Y329" s="4"/>
      <c r="Z329" s="4"/>
      <c r="AA329" s="4"/>
    </row>
    <row r="330" spans="1:27" x14ac:dyDescent="0.3">
      <c r="A330" s="12" t="s">
        <v>703</v>
      </c>
      <c r="B330" s="105">
        <v>1</v>
      </c>
      <c r="C330" s="40" t="s">
        <v>244</v>
      </c>
      <c r="D330" s="108">
        <v>61</v>
      </c>
      <c r="E330" s="42" t="s">
        <v>35</v>
      </c>
      <c r="J330" s="104"/>
      <c r="N330" s="4" t="s">
        <v>243</v>
      </c>
    </row>
    <row r="331" spans="1:27" x14ac:dyDescent="0.3">
      <c r="A331" s="12" t="s">
        <v>702</v>
      </c>
      <c r="B331" s="105">
        <v>1</v>
      </c>
      <c r="C331" s="40" t="s">
        <v>235</v>
      </c>
      <c r="D331" s="108">
        <f>5/4*43</f>
        <v>53.75</v>
      </c>
      <c r="E331" s="42" t="s">
        <v>35</v>
      </c>
      <c r="J331" s="104"/>
      <c r="N331" s="27" t="s">
        <v>255</v>
      </c>
    </row>
    <row r="332" spans="1:27" x14ac:dyDescent="0.3">
      <c r="A332" s="12" t="s">
        <v>702</v>
      </c>
      <c r="B332" s="105">
        <v>1</v>
      </c>
      <c r="C332" s="40" t="s">
        <v>34</v>
      </c>
      <c r="D332" s="108">
        <v>80</v>
      </c>
      <c r="E332" s="42" t="s">
        <v>35</v>
      </c>
      <c r="J332" s="104"/>
      <c r="N332" s="4" t="s">
        <v>660</v>
      </c>
    </row>
    <row r="333" spans="1:27" x14ac:dyDescent="0.3">
      <c r="A333" s="12" t="s">
        <v>702</v>
      </c>
      <c r="B333" s="105">
        <v>1</v>
      </c>
      <c r="C333" s="40" t="s">
        <v>100</v>
      </c>
      <c r="D333" s="108">
        <f>Commodities!$D$87*D331</f>
        <v>53.790312499999999</v>
      </c>
      <c r="E333" s="42" t="s">
        <v>35</v>
      </c>
      <c r="J333" s="104"/>
      <c r="N333" s="27" t="s">
        <v>255</v>
      </c>
    </row>
    <row r="334" spans="1:27" s="117" customFormat="1" x14ac:dyDescent="0.3">
      <c r="A334" s="12" t="s">
        <v>693</v>
      </c>
      <c r="B334" s="105">
        <v>1</v>
      </c>
      <c r="C334" s="40" t="s">
        <v>74</v>
      </c>
      <c r="D334" s="108">
        <v>0.53333289828780261</v>
      </c>
      <c r="E334" s="42" t="s">
        <v>35</v>
      </c>
      <c r="F334" s="108"/>
      <c r="G334" s="42"/>
      <c r="H334" s="72"/>
      <c r="I334" s="42"/>
      <c r="J334" s="104"/>
      <c r="K334" s="42"/>
      <c r="L334" s="135"/>
      <c r="M334" s="42"/>
      <c r="N334" s="27" t="s">
        <v>255</v>
      </c>
      <c r="O334" s="4"/>
      <c r="P334" s="4"/>
      <c r="Q334" s="4"/>
      <c r="R334" s="4"/>
      <c r="S334" s="4"/>
      <c r="T334" s="4"/>
      <c r="U334" s="4"/>
      <c r="V334" s="4"/>
      <c r="W334" s="4"/>
      <c r="X334" s="4"/>
      <c r="Y334" s="4"/>
      <c r="Z334" s="4"/>
      <c r="AA334" s="4"/>
    </row>
    <row r="335" spans="1:27" s="117" customFormat="1" x14ac:dyDescent="0.3">
      <c r="A335" s="12" t="s">
        <v>700</v>
      </c>
      <c r="B335" s="105">
        <v>1</v>
      </c>
      <c r="C335" s="40" t="s">
        <v>74</v>
      </c>
      <c r="D335" s="108">
        <v>0.22046226218487758</v>
      </c>
      <c r="E335" s="42" t="s">
        <v>35</v>
      </c>
      <c r="F335" s="108"/>
      <c r="G335" s="42"/>
      <c r="H335" s="72"/>
      <c r="I335" s="42"/>
      <c r="J335" s="104"/>
      <c r="K335" s="42"/>
      <c r="L335" s="108"/>
      <c r="M335" s="42"/>
      <c r="N335" s="27" t="s">
        <v>255</v>
      </c>
      <c r="O335" s="4"/>
      <c r="P335" s="4"/>
      <c r="Q335" s="4"/>
      <c r="R335" s="4"/>
      <c r="S335" s="4"/>
      <c r="T335" s="4"/>
      <c r="U335" s="4"/>
      <c r="V335" s="4"/>
      <c r="W335" s="4"/>
      <c r="X335" s="4"/>
      <c r="Y335" s="4"/>
      <c r="Z335" s="4"/>
      <c r="AA335" s="4"/>
    </row>
    <row r="336" spans="1:27" s="117" customFormat="1" x14ac:dyDescent="0.3">
      <c r="A336" s="12" t="s">
        <v>701</v>
      </c>
      <c r="B336" s="105">
        <v>1</v>
      </c>
      <c r="C336" s="40" t="s">
        <v>74</v>
      </c>
      <c r="D336" s="108">
        <v>20</v>
      </c>
      <c r="E336" s="42" t="s">
        <v>35</v>
      </c>
      <c r="F336" s="108"/>
      <c r="G336" s="42"/>
      <c r="H336" s="72"/>
      <c r="I336" s="42"/>
      <c r="J336" s="104"/>
      <c r="K336" s="42"/>
      <c r="L336" s="135"/>
      <c r="M336" s="42"/>
      <c r="N336" s="27" t="s">
        <v>255</v>
      </c>
      <c r="O336" s="4"/>
      <c r="P336" s="4"/>
      <c r="Q336" s="4"/>
      <c r="R336" s="4"/>
      <c r="S336" s="4"/>
      <c r="T336" s="4"/>
      <c r="U336" s="4"/>
      <c r="V336" s="4"/>
      <c r="W336" s="4"/>
      <c r="X336" s="4"/>
      <c r="Y336" s="4"/>
      <c r="Z336" s="4"/>
      <c r="AA336" s="4"/>
    </row>
    <row r="337" spans="1:20" x14ac:dyDescent="0.3">
      <c r="A337" s="65" t="s">
        <v>466</v>
      </c>
      <c r="B337" s="105">
        <v>1</v>
      </c>
      <c r="C337" s="40" t="s">
        <v>6</v>
      </c>
      <c r="D337" s="108">
        <v>196</v>
      </c>
      <c r="E337" s="42" t="s">
        <v>35</v>
      </c>
      <c r="N337" s="27" t="s">
        <v>786</v>
      </c>
    </row>
    <row r="338" spans="1:20" x14ac:dyDescent="0.3">
      <c r="A338" s="4" t="s">
        <v>429</v>
      </c>
      <c r="B338" s="105">
        <v>1</v>
      </c>
      <c r="C338" s="40" t="s">
        <v>6</v>
      </c>
      <c r="D338" s="108">
        <v>168</v>
      </c>
      <c r="E338" s="42" t="s">
        <v>35</v>
      </c>
      <c r="N338" s="27" t="s">
        <v>786</v>
      </c>
    </row>
    <row r="339" spans="1:20" x14ac:dyDescent="0.3">
      <c r="A339" s="4" t="s">
        <v>440</v>
      </c>
      <c r="B339" s="105">
        <v>1</v>
      </c>
      <c r="C339" s="40" t="s">
        <v>6</v>
      </c>
      <c r="D339" s="108">
        <v>112</v>
      </c>
      <c r="E339" s="42" t="s">
        <v>35</v>
      </c>
      <c r="N339" s="65" t="s">
        <v>618</v>
      </c>
    </row>
    <row r="340" spans="1:20" x14ac:dyDescent="0.3">
      <c r="A340" s="4" t="s">
        <v>441</v>
      </c>
      <c r="B340" s="105">
        <v>1</v>
      </c>
      <c r="C340" s="40" t="s">
        <v>6</v>
      </c>
      <c r="D340" s="108">
        <v>112</v>
      </c>
      <c r="E340" s="42" t="s">
        <v>35</v>
      </c>
      <c r="N340" s="65" t="s">
        <v>619</v>
      </c>
    </row>
    <row r="341" spans="1:20" x14ac:dyDescent="0.3">
      <c r="A341" s="4" t="s">
        <v>465</v>
      </c>
      <c r="B341" s="105">
        <v>1</v>
      </c>
      <c r="C341" s="40" t="s">
        <v>6</v>
      </c>
      <c r="D341" s="108">
        <v>196</v>
      </c>
      <c r="E341" s="42" t="s">
        <v>35</v>
      </c>
      <c r="N341" s="65" t="s">
        <v>602</v>
      </c>
    </row>
    <row r="342" spans="1:20" x14ac:dyDescent="0.3">
      <c r="A342" s="4" t="s">
        <v>405</v>
      </c>
      <c r="B342" s="105">
        <v>1</v>
      </c>
      <c r="C342" s="40" t="s">
        <v>9</v>
      </c>
      <c r="D342" s="108">
        <v>448</v>
      </c>
      <c r="E342" s="42" t="s">
        <v>35</v>
      </c>
      <c r="N342" s="65" t="s">
        <v>622</v>
      </c>
    </row>
    <row r="343" spans="1:20" x14ac:dyDescent="0.3">
      <c r="A343" s="4" t="s">
        <v>18</v>
      </c>
      <c r="B343" s="105">
        <v>1</v>
      </c>
      <c r="C343" s="40" t="s">
        <v>9</v>
      </c>
      <c r="D343" s="108">
        <v>448</v>
      </c>
      <c r="E343" s="42" t="s">
        <v>35</v>
      </c>
      <c r="N343" s="65" t="s">
        <v>622</v>
      </c>
    </row>
    <row r="344" spans="1:20" ht="14.4" customHeight="1" x14ac:dyDescent="0.3">
      <c r="A344" s="9" t="s">
        <v>18</v>
      </c>
      <c r="B344" s="105">
        <v>1</v>
      </c>
      <c r="C344" s="34" t="s">
        <v>9</v>
      </c>
      <c r="D344" s="109">
        <v>175</v>
      </c>
      <c r="E344" s="42" t="s">
        <v>35</v>
      </c>
      <c r="F344" s="109"/>
      <c r="H344" s="77"/>
      <c r="J344" s="128"/>
      <c r="N344" s="27" t="s">
        <v>255</v>
      </c>
    </row>
    <row r="345" spans="1:20" ht="14.4" customHeight="1" x14ac:dyDescent="0.3">
      <c r="A345" s="9" t="s">
        <v>18</v>
      </c>
      <c r="B345" s="105">
        <v>1</v>
      </c>
      <c r="C345" s="34" t="s">
        <v>6</v>
      </c>
      <c r="D345" s="109">
        <v>1.75</v>
      </c>
      <c r="E345" s="42" t="s">
        <v>36</v>
      </c>
      <c r="F345" s="109">
        <f>D345*D5</f>
        <v>196</v>
      </c>
      <c r="G345" s="42" t="s">
        <v>35</v>
      </c>
      <c r="H345" s="77"/>
      <c r="J345" s="128"/>
      <c r="N345" s="65" t="s">
        <v>620</v>
      </c>
    </row>
    <row r="346" spans="1:20" x14ac:dyDescent="0.3">
      <c r="A346" s="4" t="s">
        <v>18</v>
      </c>
      <c r="B346" s="105">
        <v>1</v>
      </c>
      <c r="C346" s="40" t="s">
        <v>6</v>
      </c>
      <c r="D346" s="108">
        <v>168</v>
      </c>
      <c r="E346" s="42" t="s">
        <v>35</v>
      </c>
      <c r="N346" s="65" t="s">
        <v>620</v>
      </c>
    </row>
    <row r="347" spans="1:20" x14ac:dyDescent="0.3">
      <c r="A347" s="12" t="s">
        <v>18</v>
      </c>
      <c r="B347" s="105">
        <v>1</v>
      </c>
      <c r="C347" s="40" t="s">
        <v>106</v>
      </c>
      <c r="D347" s="108">
        <f>1.5*112</f>
        <v>168</v>
      </c>
      <c r="E347" s="42" t="s">
        <v>35</v>
      </c>
      <c r="J347" s="104"/>
      <c r="N347" s="65" t="s">
        <v>823</v>
      </c>
      <c r="S347" s="116"/>
      <c r="T347" s="116"/>
    </row>
    <row r="348" spans="1:20" x14ac:dyDescent="0.3">
      <c r="A348" s="4" t="s">
        <v>426</v>
      </c>
      <c r="B348" s="105">
        <v>1</v>
      </c>
      <c r="C348" s="40" t="s">
        <v>6</v>
      </c>
      <c r="D348" s="108">
        <v>168</v>
      </c>
      <c r="E348" s="42" t="s">
        <v>35</v>
      </c>
      <c r="N348" s="65" t="s">
        <v>620</v>
      </c>
    </row>
    <row r="349" spans="1:20" x14ac:dyDescent="0.3">
      <c r="A349" s="4" t="s">
        <v>427</v>
      </c>
      <c r="B349" s="105">
        <v>1</v>
      </c>
      <c r="C349" s="40" t="s">
        <v>6</v>
      </c>
      <c r="D349" s="108">
        <v>168</v>
      </c>
      <c r="E349" s="42" t="s">
        <v>35</v>
      </c>
      <c r="N349" s="65" t="s">
        <v>620</v>
      </c>
    </row>
    <row r="350" spans="1:20" x14ac:dyDescent="0.3">
      <c r="A350" s="4" t="s">
        <v>405</v>
      </c>
      <c r="B350" s="105">
        <v>1</v>
      </c>
      <c r="C350" s="40" t="s">
        <v>6</v>
      </c>
      <c r="D350" s="108">
        <v>168</v>
      </c>
      <c r="E350" s="42" t="s">
        <v>35</v>
      </c>
      <c r="N350" s="65" t="s">
        <v>620</v>
      </c>
    </row>
    <row r="351" spans="1:20" x14ac:dyDescent="0.3">
      <c r="A351" s="4" t="s">
        <v>428</v>
      </c>
      <c r="B351" s="105">
        <v>1</v>
      </c>
      <c r="C351" s="40" t="s">
        <v>6</v>
      </c>
      <c r="D351" s="108">
        <v>168</v>
      </c>
      <c r="E351" s="42" t="s">
        <v>35</v>
      </c>
      <c r="N351" s="65" t="s">
        <v>620</v>
      </c>
    </row>
    <row r="352" spans="1:20" x14ac:dyDescent="0.3">
      <c r="A352" s="4" t="s">
        <v>406</v>
      </c>
      <c r="B352" s="105">
        <v>1</v>
      </c>
      <c r="C352" s="40" t="s">
        <v>9</v>
      </c>
      <c r="D352" s="108">
        <v>102</v>
      </c>
      <c r="E352" s="42" t="s">
        <v>35</v>
      </c>
      <c r="N352" s="65" t="s">
        <v>623</v>
      </c>
    </row>
    <row r="353" spans="1:16" x14ac:dyDescent="0.3">
      <c r="A353" s="4" t="s">
        <v>444</v>
      </c>
      <c r="B353" s="105">
        <v>1</v>
      </c>
      <c r="C353" s="40" t="s">
        <v>6</v>
      </c>
      <c r="D353" s="108">
        <v>91</v>
      </c>
      <c r="E353" s="42" t="s">
        <v>35</v>
      </c>
      <c r="N353" s="65" t="s">
        <v>621</v>
      </c>
    </row>
    <row r="354" spans="1:16" x14ac:dyDescent="0.3">
      <c r="A354" s="4" t="s">
        <v>485</v>
      </c>
      <c r="B354" s="105">
        <v>1</v>
      </c>
      <c r="C354" s="40" t="s">
        <v>6</v>
      </c>
      <c r="D354" s="108">
        <v>14.062499999999998</v>
      </c>
      <c r="E354" s="42" t="s">
        <v>35</v>
      </c>
      <c r="N354" s="65" t="s">
        <v>621</v>
      </c>
    </row>
    <row r="355" spans="1:16" x14ac:dyDescent="0.3">
      <c r="A355" s="4" t="s">
        <v>427</v>
      </c>
      <c r="B355" s="105">
        <v>1</v>
      </c>
      <c r="C355" s="40" t="s">
        <v>570</v>
      </c>
      <c r="D355" s="108">
        <v>20.5</v>
      </c>
      <c r="E355" s="42" t="s">
        <v>35</v>
      </c>
      <c r="N355" s="27" t="s">
        <v>769</v>
      </c>
    </row>
    <row r="356" spans="1:16" x14ac:dyDescent="0.3">
      <c r="A356" s="4" t="s">
        <v>405</v>
      </c>
      <c r="B356" s="105">
        <v>1</v>
      </c>
      <c r="C356" s="40" t="s">
        <v>570</v>
      </c>
      <c r="D356" s="108">
        <v>17.7</v>
      </c>
      <c r="E356" s="42" t="s">
        <v>35</v>
      </c>
      <c r="N356" s="27" t="s">
        <v>770</v>
      </c>
    </row>
    <row r="357" spans="1:16" x14ac:dyDescent="0.3">
      <c r="A357" s="4" t="s">
        <v>476</v>
      </c>
      <c r="B357" s="105">
        <v>1</v>
      </c>
      <c r="C357" s="40" t="s">
        <v>6</v>
      </c>
      <c r="D357" s="108">
        <v>150</v>
      </c>
      <c r="E357" s="42" t="s">
        <v>35</v>
      </c>
      <c r="N357" s="65" t="s">
        <v>624</v>
      </c>
    </row>
    <row r="358" spans="1:16" ht="14.4" customHeight="1" x14ac:dyDescent="0.3">
      <c r="A358" s="9" t="s">
        <v>64</v>
      </c>
      <c r="B358" s="105">
        <v>1</v>
      </c>
      <c r="C358" s="34" t="s">
        <v>6</v>
      </c>
      <c r="D358" s="108">
        <v>112</v>
      </c>
      <c r="E358" s="42" t="s">
        <v>35</v>
      </c>
      <c r="F358" s="113">
        <f>600/400</f>
        <v>1.5</v>
      </c>
      <c r="G358" s="42" t="s">
        <v>36</v>
      </c>
      <c r="H358" s="74">
        <f>F358/D8</f>
        <v>7.4999999999999997E-2</v>
      </c>
      <c r="I358" s="42" t="s">
        <v>97</v>
      </c>
      <c r="J358" s="128"/>
      <c r="N358" s="65" t="s">
        <v>589</v>
      </c>
    </row>
    <row r="359" spans="1:16" ht="14.4" customHeight="1" x14ac:dyDescent="0.3">
      <c r="A359" s="71" t="s">
        <v>130</v>
      </c>
      <c r="B359" s="105">
        <v>1</v>
      </c>
      <c r="C359" s="34" t="s">
        <v>105</v>
      </c>
      <c r="D359" s="113">
        <v>17</v>
      </c>
      <c r="E359" s="42" t="s">
        <v>97</v>
      </c>
      <c r="F359" s="113"/>
      <c r="H359" s="74"/>
      <c r="J359" s="77"/>
      <c r="L359" s="113"/>
      <c r="N359" s="65" t="s">
        <v>590</v>
      </c>
    </row>
    <row r="360" spans="1:16" ht="14.4" customHeight="1" x14ac:dyDescent="0.3">
      <c r="A360" s="9" t="s">
        <v>110</v>
      </c>
      <c r="B360" s="105">
        <v>1</v>
      </c>
      <c r="C360" s="34" t="s">
        <v>6</v>
      </c>
      <c r="D360" s="113">
        <v>112</v>
      </c>
      <c r="E360" s="42" t="s">
        <v>35</v>
      </c>
      <c r="F360" s="109">
        <f>D360/D5</f>
        <v>1</v>
      </c>
      <c r="G360" s="42" t="s">
        <v>36</v>
      </c>
      <c r="H360" s="77"/>
      <c r="J360" s="77"/>
      <c r="N360" s="65" t="s">
        <v>625</v>
      </c>
    </row>
    <row r="361" spans="1:16" x14ac:dyDescent="0.3">
      <c r="A361" s="4" t="s">
        <v>488</v>
      </c>
      <c r="B361" s="105">
        <v>1</v>
      </c>
      <c r="C361" s="40" t="s">
        <v>9</v>
      </c>
      <c r="D361" s="108">
        <v>8.129032258064516</v>
      </c>
      <c r="E361" s="42" t="s">
        <v>689</v>
      </c>
      <c r="N361" s="65" t="s">
        <v>626</v>
      </c>
    </row>
    <row r="362" spans="1:16" x14ac:dyDescent="0.3">
      <c r="A362" s="12" t="s">
        <v>659</v>
      </c>
      <c r="B362" s="105">
        <v>1</v>
      </c>
      <c r="C362" s="40" t="s">
        <v>105</v>
      </c>
      <c r="D362" s="108">
        <v>300</v>
      </c>
      <c r="E362" s="42" t="s">
        <v>35</v>
      </c>
      <c r="J362" s="104"/>
      <c r="N362" s="4" t="s">
        <v>658</v>
      </c>
      <c r="O362" s="20"/>
      <c r="P362" s="20"/>
    </row>
    <row r="363" spans="1:16" x14ac:dyDescent="0.3">
      <c r="A363" s="12" t="s">
        <v>24</v>
      </c>
      <c r="B363" s="105">
        <v>1</v>
      </c>
      <c r="C363" s="40" t="s">
        <v>99</v>
      </c>
      <c r="D363" s="108">
        <v>1</v>
      </c>
      <c r="E363" s="42" t="s">
        <v>261</v>
      </c>
      <c r="J363" s="104"/>
      <c r="N363" s="4" t="s">
        <v>661</v>
      </c>
      <c r="O363" s="20"/>
      <c r="P363" s="20"/>
    </row>
    <row r="364" spans="1:16" x14ac:dyDescent="0.3">
      <c r="A364" s="12" t="s">
        <v>24</v>
      </c>
      <c r="B364" s="105">
        <v>1</v>
      </c>
      <c r="C364" s="40" t="s">
        <v>17</v>
      </c>
      <c r="D364" s="108">
        <v>9.9600000000000009</v>
      </c>
      <c r="E364" s="42" t="s">
        <v>35</v>
      </c>
      <c r="J364" s="104"/>
      <c r="N364" s="4" t="s">
        <v>661</v>
      </c>
      <c r="O364" s="20"/>
      <c r="P364" s="20"/>
    </row>
    <row r="365" spans="1:16" ht="14.4" customHeight="1" x14ac:dyDescent="0.3">
      <c r="A365" s="65" t="s">
        <v>24</v>
      </c>
      <c r="B365" s="105">
        <v>1</v>
      </c>
      <c r="C365" s="42" t="s">
        <v>9</v>
      </c>
      <c r="D365" s="107">
        <v>164</v>
      </c>
      <c r="E365" s="42" t="s">
        <v>35</v>
      </c>
      <c r="F365" s="108">
        <f>D365/D5</f>
        <v>1.4642857142857142</v>
      </c>
      <c r="G365" s="42" t="s">
        <v>36</v>
      </c>
      <c r="N365" s="4" t="s">
        <v>627</v>
      </c>
    </row>
    <row r="366" spans="1:16" ht="14.4" customHeight="1" x14ac:dyDescent="0.3">
      <c r="A366" s="82" t="s">
        <v>24</v>
      </c>
      <c r="B366" s="105">
        <v>1</v>
      </c>
      <c r="C366" s="42" t="s">
        <v>550</v>
      </c>
      <c r="D366" s="107">
        <v>18.559999999999999</v>
      </c>
      <c r="E366" s="42" t="s">
        <v>688</v>
      </c>
      <c r="F366" s="107"/>
      <c r="N366" s="65" t="s">
        <v>628</v>
      </c>
    </row>
    <row r="367" spans="1:16" ht="14.4" customHeight="1" x14ac:dyDescent="0.3">
      <c r="A367" s="71" t="s">
        <v>24</v>
      </c>
      <c r="B367" s="105">
        <v>1</v>
      </c>
      <c r="C367" s="34" t="s">
        <v>105</v>
      </c>
      <c r="D367" s="109">
        <v>0.58532677089776675</v>
      </c>
      <c r="E367" s="42" t="s">
        <v>97</v>
      </c>
      <c r="F367" s="113"/>
      <c r="H367" s="74"/>
      <c r="J367" s="77"/>
      <c r="L367" s="113"/>
      <c r="N367" s="65" t="s">
        <v>590</v>
      </c>
    </row>
    <row r="368" spans="1:16" x14ac:dyDescent="0.3">
      <c r="A368" s="4" t="s">
        <v>520</v>
      </c>
      <c r="B368" s="105">
        <v>1</v>
      </c>
      <c r="C368" s="40" t="s">
        <v>573</v>
      </c>
      <c r="D368" s="108">
        <v>448</v>
      </c>
      <c r="E368" s="42" t="s">
        <v>35</v>
      </c>
      <c r="N368" s="65" t="s">
        <v>630</v>
      </c>
    </row>
    <row r="369" spans="1:14" ht="14.4" customHeight="1" x14ac:dyDescent="0.3">
      <c r="A369" s="71" t="s">
        <v>125</v>
      </c>
      <c r="B369" s="105">
        <v>1</v>
      </c>
      <c r="C369" s="34" t="s">
        <v>105</v>
      </c>
      <c r="D369" s="113">
        <v>0.53096076565428107</v>
      </c>
      <c r="E369" s="42" t="s">
        <v>97</v>
      </c>
      <c r="F369" s="113"/>
      <c r="H369" s="74"/>
      <c r="J369" s="77"/>
      <c r="L369" s="113"/>
      <c r="N369" s="65" t="s">
        <v>590</v>
      </c>
    </row>
    <row r="370" spans="1:14" ht="14.4" customHeight="1" x14ac:dyDescent="0.3">
      <c r="A370" s="85" t="s">
        <v>127</v>
      </c>
      <c r="B370" s="105">
        <v>1</v>
      </c>
      <c r="C370" s="34" t="s">
        <v>9</v>
      </c>
      <c r="D370" s="113">
        <v>0.12134545867226537</v>
      </c>
      <c r="E370" s="42" t="s">
        <v>97</v>
      </c>
      <c r="F370" s="113"/>
      <c r="H370" s="74"/>
      <c r="J370" s="77"/>
      <c r="L370" s="113"/>
      <c r="N370" s="65" t="s">
        <v>590</v>
      </c>
    </row>
    <row r="371" spans="1:14" ht="15" customHeight="1" x14ac:dyDescent="0.3">
      <c r="A371" s="65" t="s">
        <v>63</v>
      </c>
      <c r="B371" s="105">
        <v>1</v>
      </c>
      <c r="C371" s="40" t="s">
        <v>73</v>
      </c>
      <c r="D371" s="107">
        <v>6</v>
      </c>
      <c r="E371" s="42" t="s">
        <v>74</v>
      </c>
      <c r="N371" s="119" t="s">
        <v>631</v>
      </c>
    </row>
    <row r="372" spans="1:14" ht="14.4" customHeight="1" x14ac:dyDescent="0.3">
      <c r="A372" s="9" t="s">
        <v>63</v>
      </c>
      <c r="B372" s="105">
        <v>1</v>
      </c>
      <c r="C372" s="34" t="s">
        <v>9</v>
      </c>
      <c r="D372" s="113">
        <f>756/3720</f>
        <v>0.20322580645161289</v>
      </c>
      <c r="E372" s="42" t="s">
        <v>36</v>
      </c>
      <c r="F372" s="113">
        <f>D372/D8</f>
        <v>1.0161290322580644E-2</v>
      </c>
      <c r="G372" s="42" t="s">
        <v>97</v>
      </c>
      <c r="H372" s="74"/>
      <c r="J372" s="128"/>
      <c r="L372" s="113"/>
      <c r="N372" s="65" t="s">
        <v>589</v>
      </c>
    </row>
    <row r="373" spans="1:14" ht="14.4" customHeight="1" x14ac:dyDescent="0.3">
      <c r="A373" s="71" t="s">
        <v>63</v>
      </c>
      <c r="B373" s="105">
        <v>1</v>
      </c>
      <c r="C373" s="34" t="s">
        <v>34</v>
      </c>
      <c r="D373" s="113">
        <v>4.3930495048408791E-2</v>
      </c>
      <c r="E373" s="42" t="s">
        <v>97</v>
      </c>
      <c r="F373" s="113"/>
      <c r="H373" s="74"/>
      <c r="J373" s="77"/>
      <c r="L373" s="113"/>
      <c r="N373" s="65" t="s">
        <v>590</v>
      </c>
    </row>
    <row r="374" spans="1:14" ht="14.4" customHeight="1" x14ac:dyDescent="0.3">
      <c r="A374" s="35" t="s">
        <v>66</v>
      </c>
      <c r="B374" s="105">
        <v>1</v>
      </c>
      <c r="C374" s="57" t="s">
        <v>9</v>
      </c>
      <c r="D374" s="114">
        <f>3600/2400</f>
        <v>1.5</v>
      </c>
      <c r="E374" s="42" t="s">
        <v>36</v>
      </c>
      <c r="F374" s="114">
        <f>D374/D8</f>
        <v>7.4999999999999997E-2</v>
      </c>
      <c r="G374" s="42" t="s">
        <v>97</v>
      </c>
      <c r="H374" s="75"/>
      <c r="J374" s="125"/>
      <c r="N374" s="65" t="s">
        <v>589</v>
      </c>
    </row>
    <row r="375" spans="1:14" x14ac:dyDescent="0.3">
      <c r="A375" s="4" t="s">
        <v>108</v>
      </c>
      <c r="B375" s="105">
        <v>1</v>
      </c>
      <c r="C375" s="40" t="s">
        <v>6</v>
      </c>
      <c r="D375" s="108">
        <v>196</v>
      </c>
      <c r="E375" s="42" t="s">
        <v>35</v>
      </c>
      <c r="N375" s="4" t="s">
        <v>594</v>
      </c>
    </row>
    <row r="376" spans="1:14" ht="14.4" customHeight="1" x14ac:dyDescent="0.3">
      <c r="A376" s="81" t="s">
        <v>108</v>
      </c>
      <c r="B376" s="105">
        <v>1</v>
      </c>
      <c r="C376" s="34" t="s">
        <v>9</v>
      </c>
      <c r="D376" s="113">
        <v>1.8635190955568657</v>
      </c>
      <c r="E376" s="42" t="s">
        <v>36</v>
      </c>
      <c r="F376" s="109"/>
      <c r="H376" s="77"/>
      <c r="J376" s="77"/>
      <c r="L376" s="109"/>
      <c r="N376" s="65" t="s">
        <v>590</v>
      </c>
    </row>
    <row r="377" spans="1:14" x14ac:dyDescent="0.3">
      <c r="A377" s="4" t="s">
        <v>159</v>
      </c>
      <c r="B377" s="105">
        <v>1</v>
      </c>
      <c r="C377" s="40" t="s">
        <v>6</v>
      </c>
      <c r="D377" s="108">
        <v>373</v>
      </c>
      <c r="E377" s="42" t="s">
        <v>35</v>
      </c>
      <c r="N377" s="65" t="s">
        <v>602</v>
      </c>
    </row>
    <row r="378" spans="1:14" ht="14.4" customHeight="1" x14ac:dyDescent="0.3">
      <c r="A378" s="11" t="s">
        <v>159</v>
      </c>
      <c r="B378" s="105">
        <v>1</v>
      </c>
      <c r="C378" s="34" t="s">
        <v>85</v>
      </c>
      <c r="D378" s="113">
        <v>2.39975</v>
      </c>
      <c r="E378" s="42" t="s">
        <v>36</v>
      </c>
      <c r="F378" s="109">
        <f>D378/D8</f>
        <v>0.1199875</v>
      </c>
      <c r="G378" s="42" t="s">
        <v>97</v>
      </c>
      <c r="H378" s="77"/>
      <c r="J378" s="77"/>
      <c r="L378" s="109"/>
      <c r="N378" s="65" t="s">
        <v>255</v>
      </c>
    </row>
    <row r="379" spans="1:14" x14ac:dyDescent="0.3">
      <c r="A379" s="4" t="s">
        <v>482</v>
      </c>
      <c r="B379" s="105">
        <v>1</v>
      </c>
      <c r="C379" s="40" t="s">
        <v>6</v>
      </c>
      <c r="D379" s="108">
        <v>392</v>
      </c>
      <c r="E379" s="42" t="s">
        <v>35</v>
      </c>
      <c r="N379" s="65" t="s">
        <v>255</v>
      </c>
    </row>
    <row r="380" spans="1:14" ht="14.4" customHeight="1" x14ac:dyDescent="0.3">
      <c r="A380" s="71" t="s">
        <v>126</v>
      </c>
      <c r="B380" s="105">
        <v>1</v>
      </c>
      <c r="C380" s="34" t="s">
        <v>105</v>
      </c>
      <c r="D380" s="113">
        <v>1.3714285714285714E-2</v>
      </c>
      <c r="E380" s="42" t="s">
        <v>97</v>
      </c>
      <c r="F380" s="113"/>
      <c r="H380" s="74"/>
      <c r="J380" s="77"/>
      <c r="L380" s="113"/>
      <c r="N380" s="65" t="s">
        <v>590</v>
      </c>
    </row>
    <row r="381" spans="1:14" x14ac:dyDescent="0.3">
      <c r="A381" s="4" t="s">
        <v>128</v>
      </c>
      <c r="B381" s="105">
        <v>1</v>
      </c>
      <c r="C381" s="40" t="s">
        <v>9</v>
      </c>
      <c r="D381" s="108">
        <v>640</v>
      </c>
      <c r="E381" s="42" t="s">
        <v>35</v>
      </c>
      <c r="N381" s="65" t="s">
        <v>602</v>
      </c>
    </row>
    <row r="382" spans="1:14" ht="14.4" customHeight="1" x14ac:dyDescent="0.3">
      <c r="A382" s="85" t="s">
        <v>128</v>
      </c>
      <c r="B382" s="105">
        <v>1</v>
      </c>
      <c r="C382" s="34" t="s">
        <v>9</v>
      </c>
      <c r="D382" s="113">
        <v>0.119895260262378</v>
      </c>
      <c r="E382" s="42" t="s">
        <v>97</v>
      </c>
      <c r="F382" s="113"/>
      <c r="H382" s="74"/>
      <c r="J382" s="77"/>
      <c r="L382" s="113"/>
      <c r="N382" s="65" t="s">
        <v>590</v>
      </c>
    </row>
    <row r="383" spans="1:14" ht="14.4" customHeight="1" x14ac:dyDescent="0.3">
      <c r="A383" s="70" t="s">
        <v>60</v>
      </c>
      <c r="B383" s="105">
        <v>1</v>
      </c>
      <c r="C383" s="57" t="s">
        <v>14</v>
      </c>
      <c r="D383" s="114">
        <v>80</v>
      </c>
      <c r="E383" s="42" t="s">
        <v>35</v>
      </c>
      <c r="F383" s="114">
        <f>D383/D5</f>
        <v>0.7142857142857143</v>
      </c>
      <c r="G383" s="42" t="s">
        <v>36</v>
      </c>
      <c r="H383" s="75"/>
      <c r="J383" s="125"/>
      <c r="N383" s="65" t="s">
        <v>632</v>
      </c>
    </row>
    <row r="384" spans="1:14" ht="14.4" customHeight="1" x14ac:dyDescent="0.3">
      <c r="A384" s="71" t="s">
        <v>129</v>
      </c>
      <c r="B384" s="105">
        <v>1</v>
      </c>
      <c r="C384" s="34" t="s">
        <v>14</v>
      </c>
      <c r="D384" s="113">
        <v>0.36460614317562545</v>
      </c>
      <c r="E384" s="42" t="s">
        <v>97</v>
      </c>
      <c r="F384" s="113"/>
      <c r="H384" s="74"/>
      <c r="J384" s="77"/>
      <c r="L384" s="113"/>
      <c r="N384" s="65" t="s">
        <v>590</v>
      </c>
    </row>
    <row r="385" spans="1:14" x14ac:dyDescent="0.3">
      <c r="A385" s="4" t="s">
        <v>129</v>
      </c>
      <c r="B385" s="105">
        <v>1</v>
      </c>
      <c r="C385" s="40" t="s">
        <v>14</v>
      </c>
      <c r="D385" s="108">
        <v>1120</v>
      </c>
      <c r="E385" s="42" t="s">
        <v>35</v>
      </c>
      <c r="N385" s="65" t="s">
        <v>602</v>
      </c>
    </row>
    <row r="386" spans="1:14" ht="14.4" customHeight="1" x14ac:dyDescent="0.3">
      <c r="A386" s="8" t="s">
        <v>133</v>
      </c>
      <c r="B386" s="105">
        <v>1</v>
      </c>
      <c r="C386" s="34" t="s">
        <v>85</v>
      </c>
      <c r="D386" s="108">
        <v>168</v>
      </c>
      <c r="E386" s="42" t="s">
        <v>35</v>
      </c>
      <c r="F386" s="113">
        <v>1.5</v>
      </c>
      <c r="G386" s="42" t="s">
        <v>36</v>
      </c>
      <c r="H386" s="74"/>
      <c r="J386" s="77"/>
      <c r="L386" s="113"/>
      <c r="N386" s="65" t="s">
        <v>633</v>
      </c>
    </row>
    <row r="387" spans="1:14" ht="14.4" customHeight="1" x14ac:dyDescent="0.3">
      <c r="A387" s="8" t="s">
        <v>133</v>
      </c>
      <c r="B387" s="105">
        <v>1</v>
      </c>
      <c r="C387" s="34" t="s">
        <v>6</v>
      </c>
      <c r="D387" s="113">
        <v>168</v>
      </c>
      <c r="E387" s="42" t="s">
        <v>35</v>
      </c>
      <c r="F387" s="113">
        <f>D387/D5</f>
        <v>1.5</v>
      </c>
      <c r="G387" s="42" t="s">
        <v>36</v>
      </c>
      <c r="H387" s="74"/>
      <c r="J387" s="77"/>
      <c r="L387" s="113"/>
      <c r="N387" s="65" t="s">
        <v>633</v>
      </c>
    </row>
    <row r="388" spans="1:14" ht="14.4" customHeight="1" x14ac:dyDescent="0.3">
      <c r="A388" s="71" t="s">
        <v>135</v>
      </c>
      <c r="B388" s="105">
        <v>1</v>
      </c>
      <c r="C388" s="34" t="s">
        <v>9</v>
      </c>
      <c r="D388" s="113">
        <v>0.13773788635443379</v>
      </c>
      <c r="E388" s="42" t="s">
        <v>97</v>
      </c>
      <c r="F388" s="113"/>
      <c r="H388" s="74"/>
      <c r="J388" s="77"/>
      <c r="L388" s="113"/>
      <c r="N388" s="65" t="s">
        <v>590</v>
      </c>
    </row>
    <row r="389" spans="1:14" x14ac:dyDescent="0.3">
      <c r="A389" s="4" t="s">
        <v>109</v>
      </c>
      <c r="B389" s="105">
        <v>1</v>
      </c>
      <c r="C389" s="40" t="s">
        <v>9</v>
      </c>
      <c r="D389" s="108">
        <v>280</v>
      </c>
      <c r="E389" s="42" t="s">
        <v>35</v>
      </c>
      <c r="N389" s="65" t="s">
        <v>634</v>
      </c>
    </row>
    <row r="390" spans="1:14" ht="14.4" customHeight="1" x14ac:dyDescent="0.3">
      <c r="A390" s="8" t="s">
        <v>86</v>
      </c>
      <c r="B390" s="105">
        <v>1</v>
      </c>
      <c r="C390" s="34" t="s">
        <v>9</v>
      </c>
      <c r="D390" s="113">
        <v>746.66700000000003</v>
      </c>
      <c r="E390" s="42" t="s">
        <v>35</v>
      </c>
      <c r="F390" s="109">
        <f>D390/D5</f>
        <v>6.6666696428571433</v>
      </c>
      <c r="G390" s="42" t="s">
        <v>36</v>
      </c>
      <c r="H390" s="77">
        <f>F390/D8</f>
        <v>0.33333348214285718</v>
      </c>
      <c r="I390" s="42" t="s">
        <v>97</v>
      </c>
      <c r="J390" s="128"/>
      <c r="N390" s="65" t="s">
        <v>602</v>
      </c>
    </row>
    <row r="391" spans="1:14" x14ac:dyDescent="0.3">
      <c r="A391" s="4" t="s">
        <v>401</v>
      </c>
      <c r="B391" s="105">
        <v>1</v>
      </c>
      <c r="C391" s="40" t="s">
        <v>9</v>
      </c>
      <c r="D391" s="108">
        <v>252</v>
      </c>
      <c r="E391" s="42" t="s">
        <v>35</v>
      </c>
      <c r="N391" s="65" t="s">
        <v>634</v>
      </c>
    </row>
    <row r="392" spans="1:14" ht="14.4" customHeight="1" x14ac:dyDescent="0.3">
      <c r="A392" s="20" t="s">
        <v>65</v>
      </c>
      <c r="B392" s="105">
        <v>1</v>
      </c>
      <c r="C392" s="42" t="s">
        <v>9</v>
      </c>
      <c r="D392" s="107">
        <f>700/1400</f>
        <v>0.5</v>
      </c>
      <c r="E392" s="42" t="s">
        <v>61</v>
      </c>
      <c r="F392" s="107"/>
      <c r="H392" s="73"/>
      <c r="N392" s="4" t="s">
        <v>589</v>
      </c>
    </row>
    <row r="393" spans="1:14" ht="14.4" customHeight="1" x14ac:dyDescent="0.3">
      <c r="A393" s="71" t="s">
        <v>136</v>
      </c>
      <c r="B393" s="105">
        <v>1</v>
      </c>
      <c r="C393" s="34" t="s">
        <v>9</v>
      </c>
      <c r="D393" s="113">
        <v>5.7020544233599854E-2</v>
      </c>
      <c r="E393" s="42" t="s">
        <v>97</v>
      </c>
      <c r="F393" s="113"/>
      <c r="H393" s="74"/>
      <c r="J393" s="77"/>
      <c r="L393" s="113"/>
      <c r="N393" s="4" t="s">
        <v>590</v>
      </c>
    </row>
    <row r="394" spans="1:14" x14ac:dyDescent="0.3">
      <c r="A394" s="4" t="s">
        <v>400</v>
      </c>
      <c r="B394" s="105">
        <v>1</v>
      </c>
      <c r="C394" s="40" t="s">
        <v>9</v>
      </c>
      <c r="D394" s="108">
        <v>62</v>
      </c>
      <c r="E394" s="42" t="s">
        <v>35</v>
      </c>
      <c r="N394" s="4" t="s">
        <v>771</v>
      </c>
    </row>
    <row r="395" spans="1:14" x14ac:dyDescent="0.3">
      <c r="A395" s="4" t="s">
        <v>402</v>
      </c>
      <c r="B395" s="105">
        <v>1</v>
      </c>
      <c r="C395" s="40" t="s">
        <v>9</v>
      </c>
      <c r="D395" s="108">
        <v>186.66666666666669</v>
      </c>
      <c r="E395" s="42" t="s">
        <v>35</v>
      </c>
      <c r="N395" s="27" t="s">
        <v>627</v>
      </c>
    </row>
    <row r="396" spans="1:14" x14ac:dyDescent="0.3">
      <c r="A396" s="4" t="s">
        <v>404</v>
      </c>
      <c r="B396" s="105">
        <v>1</v>
      </c>
      <c r="C396" s="40" t="s">
        <v>9</v>
      </c>
      <c r="D396" s="108">
        <v>350</v>
      </c>
      <c r="E396" s="42" t="s">
        <v>35</v>
      </c>
      <c r="N396" s="65" t="s">
        <v>635</v>
      </c>
    </row>
    <row r="397" spans="1:14" x14ac:dyDescent="0.3">
      <c r="A397" s="4" t="s">
        <v>637</v>
      </c>
      <c r="B397" s="105">
        <v>1</v>
      </c>
      <c r="C397" s="40" t="s">
        <v>85</v>
      </c>
      <c r="D397" s="108">
        <v>153.125</v>
      </c>
      <c r="E397" s="42" t="s">
        <v>35</v>
      </c>
      <c r="N397" s="65" t="s">
        <v>636</v>
      </c>
    </row>
    <row r="398" spans="1:14" ht="14.4" customHeight="1" x14ac:dyDescent="0.3">
      <c r="A398" s="71" t="s">
        <v>140</v>
      </c>
      <c r="B398" s="105">
        <v>1</v>
      </c>
      <c r="C398" s="34" t="s">
        <v>105</v>
      </c>
      <c r="D398" s="113">
        <v>0.25686383566700421</v>
      </c>
      <c r="E398" s="42" t="s">
        <v>97</v>
      </c>
      <c r="F398" s="113"/>
      <c r="H398" s="74"/>
      <c r="J398" s="77"/>
      <c r="L398" s="113"/>
      <c r="N398" s="65" t="s">
        <v>590</v>
      </c>
    </row>
    <row r="399" spans="1:14" ht="14.4" customHeight="1" x14ac:dyDescent="0.3">
      <c r="A399" s="71" t="s">
        <v>140</v>
      </c>
      <c r="B399" s="105">
        <v>1</v>
      </c>
      <c r="C399" s="34" t="s">
        <v>6</v>
      </c>
      <c r="D399" s="113">
        <v>5.5807592311643672E-2</v>
      </c>
      <c r="E399" s="42" t="s">
        <v>97</v>
      </c>
      <c r="F399" s="113"/>
      <c r="H399" s="74"/>
      <c r="J399" s="77"/>
      <c r="L399" s="113"/>
      <c r="N399" s="65" t="s">
        <v>590</v>
      </c>
    </row>
    <row r="400" spans="1:14" x14ac:dyDescent="0.3">
      <c r="A400" s="4" t="s">
        <v>490</v>
      </c>
      <c r="B400" s="105">
        <v>1</v>
      </c>
      <c r="C400" s="40" t="s">
        <v>68</v>
      </c>
      <c r="D400" s="108">
        <v>168</v>
      </c>
      <c r="E400" s="42" t="s">
        <v>35</v>
      </c>
      <c r="N400" s="65" t="s">
        <v>638</v>
      </c>
    </row>
    <row r="401" spans="1:14" x14ac:dyDescent="0.3">
      <c r="A401" s="4" t="s">
        <v>499</v>
      </c>
      <c r="B401" s="105">
        <v>1</v>
      </c>
      <c r="C401" s="40" t="s">
        <v>68</v>
      </c>
      <c r="D401" s="108">
        <v>168</v>
      </c>
      <c r="E401" s="42" t="s">
        <v>35</v>
      </c>
      <c r="N401" s="65" t="s">
        <v>638</v>
      </c>
    </row>
    <row r="402" spans="1:14" x14ac:dyDescent="0.3">
      <c r="A402" s="4" t="s">
        <v>498</v>
      </c>
      <c r="B402" s="105">
        <v>1</v>
      </c>
      <c r="C402" s="40" t="s">
        <v>68</v>
      </c>
      <c r="D402" s="108">
        <v>168</v>
      </c>
      <c r="E402" s="42" t="s">
        <v>35</v>
      </c>
      <c r="N402" s="65" t="s">
        <v>638</v>
      </c>
    </row>
    <row r="403" spans="1:14" x14ac:dyDescent="0.3">
      <c r="A403" s="4" t="s">
        <v>495</v>
      </c>
      <c r="B403" s="105">
        <v>1</v>
      </c>
      <c r="C403" s="40" t="s">
        <v>68</v>
      </c>
      <c r="D403" s="108">
        <v>168</v>
      </c>
      <c r="E403" s="42" t="s">
        <v>35</v>
      </c>
      <c r="N403" s="65" t="s">
        <v>638</v>
      </c>
    </row>
    <row r="404" spans="1:14" x14ac:dyDescent="0.3">
      <c r="A404" s="4" t="s">
        <v>581</v>
      </c>
      <c r="B404" s="105">
        <v>1</v>
      </c>
      <c r="C404" s="40" t="s">
        <v>68</v>
      </c>
      <c r="D404" s="108">
        <v>168</v>
      </c>
      <c r="E404" s="42" t="s">
        <v>35</v>
      </c>
      <c r="N404" s="65" t="s">
        <v>638</v>
      </c>
    </row>
    <row r="405" spans="1:14" x14ac:dyDescent="0.3">
      <c r="A405" s="4" t="s">
        <v>496</v>
      </c>
      <c r="B405" s="105">
        <v>1</v>
      </c>
      <c r="C405" s="40" t="s">
        <v>68</v>
      </c>
      <c r="D405" s="108">
        <v>168</v>
      </c>
      <c r="E405" s="42" t="s">
        <v>35</v>
      </c>
      <c r="N405" s="65" t="s">
        <v>638</v>
      </c>
    </row>
    <row r="406" spans="1:14" x14ac:dyDescent="0.3">
      <c r="A406" s="4" t="s">
        <v>497</v>
      </c>
      <c r="B406" s="105">
        <v>1</v>
      </c>
      <c r="C406" s="40" t="s">
        <v>68</v>
      </c>
      <c r="D406" s="108">
        <v>168</v>
      </c>
      <c r="E406" s="42" t="s">
        <v>35</v>
      </c>
      <c r="N406" s="65" t="s">
        <v>638</v>
      </c>
    </row>
    <row r="407" spans="1:14" x14ac:dyDescent="0.3">
      <c r="A407" s="4" t="s">
        <v>493</v>
      </c>
      <c r="B407" s="105">
        <v>1</v>
      </c>
      <c r="C407" s="40" t="s">
        <v>68</v>
      </c>
      <c r="D407" s="108">
        <v>168</v>
      </c>
      <c r="E407" s="42" t="s">
        <v>35</v>
      </c>
      <c r="N407" s="65" t="s">
        <v>638</v>
      </c>
    </row>
    <row r="408" spans="1:14" x14ac:dyDescent="0.3">
      <c r="A408" s="4" t="s">
        <v>491</v>
      </c>
      <c r="B408" s="105">
        <v>1</v>
      </c>
      <c r="C408" s="40" t="s">
        <v>68</v>
      </c>
      <c r="D408" s="108">
        <v>168</v>
      </c>
      <c r="E408" s="42" t="s">
        <v>35</v>
      </c>
      <c r="N408" s="65" t="s">
        <v>638</v>
      </c>
    </row>
    <row r="409" spans="1:14" x14ac:dyDescent="0.3">
      <c r="A409" s="4" t="s">
        <v>492</v>
      </c>
      <c r="B409" s="105">
        <v>1</v>
      </c>
      <c r="C409" s="40" t="s">
        <v>68</v>
      </c>
      <c r="D409" s="108">
        <v>168</v>
      </c>
      <c r="E409" s="42" t="s">
        <v>35</v>
      </c>
      <c r="N409" s="65" t="s">
        <v>638</v>
      </c>
    </row>
    <row r="410" spans="1:14" x14ac:dyDescent="0.3">
      <c r="A410" s="4" t="s">
        <v>494</v>
      </c>
      <c r="B410" s="105">
        <v>1</v>
      </c>
      <c r="C410" s="40" t="s">
        <v>68</v>
      </c>
      <c r="D410" s="108">
        <v>168</v>
      </c>
      <c r="E410" s="42" t="s">
        <v>35</v>
      </c>
      <c r="N410" s="65" t="s">
        <v>638</v>
      </c>
    </row>
    <row r="411" spans="1:14" x14ac:dyDescent="0.3">
      <c r="A411" s="4" t="s">
        <v>407</v>
      </c>
      <c r="B411" s="105">
        <v>1</v>
      </c>
      <c r="C411" s="40" t="s">
        <v>575</v>
      </c>
      <c r="D411" s="108">
        <v>164.26666666666668</v>
      </c>
      <c r="E411" s="42" t="s">
        <v>35</v>
      </c>
      <c r="N411" s="65" t="s">
        <v>639</v>
      </c>
    </row>
    <row r="412" spans="1:14" x14ac:dyDescent="0.3">
      <c r="A412" s="4" t="s">
        <v>408</v>
      </c>
      <c r="B412" s="105">
        <v>1</v>
      </c>
      <c r="C412" s="40" t="s">
        <v>6</v>
      </c>
      <c r="D412" s="108">
        <v>168</v>
      </c>
      <c r="E412" s="42" t="s">
        <v>35</v>
      </c>
      <c r="N412" s="65" t="s">
        <v>786</v>
      </c>
    </row>
    <row r="413" spans="1:14" x14ac:dyDescent="0.3">
      <c r="A413" s="12" t="s">
        <v>705</v>
      </c>
      <c r="B413" s="105">
        <v>1</v>
      </c>
      <c r="C413" s="40" t="s">
        <v>100</v>
      </c>
      <c r="D413" s="108">
        <v>7.7561156950258345</v>
      </c>
      <c r="E413" s="42" t="s">
        <v>35</v>
      </c>
      <c r="J413" s="104"/>
      <c r="N413" s="65" t="s">
        <v>255</v>
      </c>
    </row>
    <row r="414" spans="1:14" x14ac:dyDescent="0.3">
      <c r="A414" s="4" t="s">
        <v>409</v>
      </c>
      <c r="B414" s="105">
        <v>1</v>
      </c>
      <c r="C414" s="40" t="s">
        <v>6</v>
      </c>
      <c r="D414" s="108">
        <v>168</v>
      </c>
      <c r="E414" s="42" t="s">
        <v>35</v>
      </c>
      <c r="N414" s="65" t="s">
        <v>786</v>
      </c>
    </row>
    <row r="415" spans="1:14" x14ac:dyDescent="0.3">
      <c r="A415" s="4" t="s">
        <v>410</v>
      </c>
      <c r="B415" s="105">
        <v>1</v>
      </c>
      <c r="C415" s="40" t="s">
        <v>9</v>
      </c>
      <c r="D415" s="108">
        <v>84</v>
      </c>
      <c r="E415" s="42" t="s">
        <v>35</v>
      </c>
      <c r="N415" s="65" t="s">
        <v>640</v>
      </c>
    </row>
    <row r="416" spans="1:14" x14ac:dyDescent="0.3">
      <c r="A416" s="4" t="s">
        <v>410</v>
      </c>
      <c r="B416" s="105">
        <v>1</v>
      </c>
      <c r="C416" s="40" t="s">
        <v>6</v>
      </c>
      <c r="D416" s="108">
        <v>168</v>
      </c>
      <c r="E416" s="42" t="s">
        <v>35</v>
      </c>
      <c r="N416" s="65" t="s">
        <v>786</v>
      </c>
    </row>
    <row r="417" spans="1:14" x14ac:dyDescent="0.3">
      <c r="A417" s="4" t="s">
        <v>415</v>
      </c>
      <c r="B417" s="105">
        <v>1</v>
      </c>
      <c r="C417" s="40" t="s">
        <v>6</v>
      </c>
      <c r="D417" s="108">
        <v>168</v>
      </c>
      <c r="E417" s="42" t="s">
        <v>35</v>
      </c>
      <c r="N417" s="65" t="s">
        <v>786</v>
      </c>
    </row>
    <row r="418" spans="1:14" x14ac:dyDescent="0.3">
      <c r="A418" s="4" t="s">
        <v>416</v>
      </c>
      <c r="B418" s="105">
        <v>1</v>
      </c>
      <c r="C418" s="40" t="s">
        <v>6</v>
      </c>
      <c r="D418" s="108">
        <v>168</v>
      </c>
      <c r="E418" s="42" t="s">
        <v>35</v>
      </c>
      <c r="N418" s="65" t="s">
        <v>786</v>
      </c>
    </row>
    <row r="419" spans="1:14" x14ac:dyDescent="0.3">
      <c r="A419" s="4" t="s">
        <v>417</v>
      </c>
      <c r="B419" s="105">
        <v>1</v>
      </c>
      <c r="C419" s="40" t="s">
        <v>6</v>
      </c>
      <c r="D419" s="108">
        <v>168</v>
      </c>
      <c r="E419" s="42" t="s">
        <v>35</v>
      </c>
      <c r="N419" s="65" t="s">
        <v>786</v>
      </c>
    </row>
    <row r="420" spans="1:14" x14ac:dyDescent="0.3">
      <c r="A420" s="4" t="s">
        <v>418</v>
      </c>
      <c r="B420" s="105">
        <v>1</v>
      </c>
      <c r="C420" s="40" t="s">
        <v>6</v>
      </c>
      <c r="D420" s="108">
        <v>168</v>
      </c>
      <c r="E420" s="42" t="s">
        <v>35</v>
      </c>
      <c r="N420" s="65" t="s">
        <v>786</v>
      </c>
    </row>
    <row r="421" spans="1:14" x14ac:dyDescent="0.3">
      <c r="A421" s="12" t="s">
        <v>709</v>
      </c>
      <c r="B421" s="105">
        <v>1</v>
      </c>
      <c r="C421" s="40" t="s">
        <v>235</v>
      </c>
      <c r="D421" s="108">
        <f>D269*Commodities!D87</f>
        <v>61.045749999999998</v>
      </c>
      <c r="E421" s="42" t="s">
        <v>35</v>
      </c>
      <c r="J421" s="104"/>
      <c r="N421" s="4" t="s">
        <v>243</v>
      </c>
    </row>
    <row r="422" spans="1:14" x14ac:dyDescent="0.3">
      <c r="A422" s="4" t="s">
        <v>419</v>
      </c>
      <c r="B422" s="105">
        <v>1</v>
      </c>
      <c r="C422" s="40" t="s">
        <v>6</v>
      </c>
      <c r="D422" s="108">
        <v>168</v>
      </c>
      <c r="E422" s="42" t="s">
        <v>35</v>
      </c>
      <c r="N422" s="65" t="s">
        <v>786</v>
      </c>
    </row>
    <row r="423" spans="1:14" x14ac:dyDescent="0.3">
      <c r="A423" s="4" t="s">
        <v>421</v>
      </c>
      <c r="B423" s="105">
        <v>1</v>
      </c>
      <c r="C423" s="40" t="s">
        <v>6</v>
      </c>
      <c r="D423" s="108">
        <v>168</v>
      </c>
      <c r="E423" s="42" t="s">
        <v>35</v>
      </c>
      <c r="N423" s="65" t="s">
        <v>786</v>
      </c>
    </row>
    <row r="424" spans="1:14" x14ac:dyDescent="0.3">
      <c r="A424" s="4" t="s">
        <v>423</v>
      </c>
      <c r="B424" s="105">
        <v>1</v>
      </c>
      <c r="C424" s="40" t="s">
        <v>6</v>
      </c>
      <c r="D424" s="108">
        <v>168</v>
      </c>
      <c r="E424" s="42" t="s">
        <v>35</v>
      </c>
      <c r="N424" s="65" t="s">
        <v>786</v>
      </c>
    </row>
    <row r="425" spans="1:14" x14ac:dyDescent="0.3">
      <c r="A425" s="4" t="s">
        <v>425</v>
      </c>
      <c r="B425" s="105">
        <v>1</v>
      </c>
      <c r="C425" s="40" t="s">
        <v>6</v>
      </c>
      <c r="D425" s="108">
        <v>168</v>
      </c>
      <c r="E425" s="42" t="s">
        <v>35</v>
      </c>
      <c r="N425" s="65" t="s">
        <v>786</v>
      </c>
    </row>
    <row r="426" spans="1:14" x14ac:dyDescent="0.3">
      <c r="A426" s="4" t="s">
        <v>430</v>
      </c>
      <c r="B426" s="105">
        <v>1</v>
      </c>
      <c r="C426" s="40" t="s">
        <v>6</v>
      </c>
      <c r="D426" s="108">
        <v>168</v>
      </c>
      <c r="E426" s="42" t="s">
        <v>35</v>
      </c>
      <c r="N426" s="65" t="s">
        <v>786</v>
      </c>
    </row>
    <row r="427" spans="1:14" x14ac:dyDescent="0.3">
      <c r="A427" s="4" t="s">
        <v>431</v>
      </c>
      <c r="B427" s="105">
        <v>1</v>
      </c>
      <c r="C427" s="40" t="s">
        <v>6</v>
      </c>
      <c r="D427" s="108">
        <v>168</v>
      </c>
      <c r="E427" s="42" t="s">
        <v>35</v>
      </c>
      <c r="N427" s="65" t="s">
        <v>786</v>
      </c>
    </row>
    <row r="428" spans="1:14" x14ac:dyDescent="0.3">
      <c r="A428" s="4" t="s">
        <v>432</v>
      </c>
      <c r="B428" s="105">
        <v>1</v>
      </c>
      <c r="C428" s="40" t="s">
        <v>6</v>
      </c>
      <c r="D428" s="108">
        <v>168</v>
      </c>
      <c r="E428" s="42" t="s">
        <v>35</v>
      </c>
      <c r="N428" s="65" t="s">
        <v>786</v>
      </c>
    </row>
    <row r="429" spans="1:14" x14ac:dyDescent="0.3">
      <c r="A429" s="4" t="s">
        <v>433</v>
      </c>
      <c r="B429" s="105">
        <v>1</v>
      </c>
      <c r="C429" s="40" t="s">
        <v>6</v>
      </c>
      <c r="D429" s="108">
        <v>168</v>
      </c>
      <c r="E429" s="42" t="s">
        <v>35</v>
      </c>
      <c r="N429" s="65" t="s">
        <v>650</v>
      </c>
    </row>
    <row r="430" spans="1:14" x14ac:dyDescent="0.3">
      <c r="A430" s="4" t="s">
        <v>434</v>
      </c>
      <c r="B430" s="105">
        <v>1</v>
      </c>
      <c r="C430" s="40" t="s">
        <v>6</v>
      </c>
      <c r="D430" s="108">
        <v>168</v>
      </c>
      <c r="E430" s="42" t="s">
        <v>35</v>
      </c>
      <c r="N430" s="65" t="s">
        <v>650</v>
      </c>
    </row>
    <row r="431" spans="1:14" x14ac:dyDescent="0.3">
      <c r="A431" s="4" t="s">
        <v>433</v>
      </c>
      <c r="B431" s="105">
        <v>1</v>
      </c>
      <c r="C431" s="40" t="s">
        <v>14</v>
      </c>
      <c r="D431" s="108">
        <v>336</v>
      </c>
      <c r="E431" s="42" t="s">
        <v>35</v>
      </c>
      <c r="N431" s="65" t="s">
        <v>787</v>
      </c>
    </row>
    <row r="432" spans="1:14" x14ac:dyDescent="0.3">
      <c r="A432" s="4" t="s">
        <v>434</v>
      </c>
      <c r="B432" s="105">
        <v>1</v>
      </c>
      <c r="C432" s="40" t="s">
        <v>14</v>
      </c>
      <c r="D432" s="108">
        <v>336</v>
      </c>
      <c r="E432" s="42" t="s">
        <v>35</v>
      </c>
      <c r="N432" s="65" t="s">
        <v>786</v>
      </c>
    </row>
    <row r="433" spans="1:14" x14ac:dyDescent="0.3">
      <c r="A433" s="4" t="s">
        <v>436</v>
      </c>
      <c r="B433" s="105">
        <v>1</v>
      </c>
      <c r="C433" s="40" t="s">
        <v>6</v>
      </c>
      <c r="D433" s="108">
        <v>168</v>
      </c>
      <c r="E433" s="42" t="s">
        <v>35</v>
      </c>
      <c r="N433" s="65" t="s">
        <v>786</v>
      </c>
    </row>
    <row r="434" spans="1:14" x14ac:dyDescent="0.3">
      <c r="A434" s="4" t="s">
        <v>437</v>
      </c>
      <c r="B434" s="105">
        <v>1</v>
      </c>
      <c r="C434" s="40" t="s">
        <v>9</v>
      </c>
      <c r="D434" s="108">
        <v>225</v>
      </c>
      <c r="E434" s="42" t="s">
        <v>35</v>
      </c>
      <c r="N434" s="65" t="s">
        <v>629</v>
      </c>
    </row>
    <row r="435" spans="1:14" x14ac:dyDescent="0.3">
      <c r="A435" s="4" t="s">
        <v>437</v>
      </c>
      <c r="B435" s="105">
        <v>1</v>
      </c>
      <c r="C435" s="40" t="s">
        <v>6</v>
      </c>
      <c r="D435" s="108">
        <v>1680</v>
      </c>
      <c r="E435" s="42" t="s">
        <v>35</v>
      </c>
      <c r="N435" s="65" t="s">
        <v>629</v>
      </c>
    </row>
    <row r="436" spans="1:14" x14ac:dyDescent="0.3">
      <c r="A436" s="12" t="s">
        <v>437</v>
      </c>
      <c r="B436" s="105">
        <v>1</v>
      </c>
      <c r="C436" s="40" t="s">
        <v>124</v>
      </c>
      <c r="D436" s="108">
        <v>0.35</v>
      </c>
      <c r="E436" s="42" t="s">
        <v>35</v>
      </c>
      <c r="J436" s="104"/>
      <c r="L436" s="134"/>
      <c r="N436" s="4" t="s">
        <v>665</v>
      </c>
    </row>
    <row r="437" spans="1:14" x14ac:dyDescent="0.3">
      <c r="A437" s="12" t="s">
        <v>437</v>
      </c>
      <c r="B437" s="105">
        <v>1</v>
      </c>
      <c r="C437" s="40" t="s">
        <v>788</v>
      </c>
      <c r="D437" s="108">
        <v>2266.96</v>
      </c>
      <c r="E437" s="42" t="s">
        <v>35</v>
      </c>
      <c r="J437" s="104"/>
      <c r="L437" s="134">
        <f>290.77*0.35</f>
        <v>101.76949999999999</v>
      </c>
      <c r="N437" s="4" t="s">
        <v>666</v>
      </c>
    </row>
    <row r="438" spans="1:14" x14ac:dyDescent="0.3">
      <c r="A438" s="4" t="s">
        <v>442</v>
      </c>
      <c r="B438" s="105">
        <v>1</v>
      </c>
      <c r="C438" s="40" t="s">
        <v>6</v>
      </c>
      <c r="D438" s="108">
        <v>112</v>
      </c>
      <c r="E438" s="42" t="s">
        <v>35</v>
      </c>
      <c r="N438" s="65" t="s">
        <v>641</v>
      </c>
    </row>
    <row r="439" spans="1:14" x14ac:dyDescent="0.3">
      <c r="A439" s="4" t="s">
        <v>443</v>
      </c>
      <c r="B439" s="105">
        <v>1</v>
      </c>
      <c r="C439" s="40" t="s">
        <v>6</v>
      </c>
      <c r="D439" s="108">
        <v>112</v>
      </c>
      <c r="E439" s="42" t="s">
        <v>35</v>
      </c>
      <c r="N439" s="65" t="s">
        <v>786</v>
      </c>
    </row>
    <row r="440" spans="1:14" x14ac:dyDescent="0.3">
      <c r="A440" s="4" t="s">
        <v>458</v>
      </c>
      <c r="B440" s="105">
        <v>1</v>
      </c>
      <c r="C440" s="40" t="s">
        <v>9</v>
      </c>
      <c r="D440" s="108">
        <v>165</v>
      </c>
      <c r="E440" s="42" t="s">
        <v>35</v>
      </c>
      <c r="N440" s="65" t="s">
        <v>787</v>
      </c>
    </row>
    <row r="441" spans="1:14" x14ac:dyDescent="0.3">
      <c r="A441" s="4" t="s">
        <v>458</v>
      </c>
      <c r="B441" s="105">
        <v>1</v>
      </c>
      <c r="C441" s="40" t="s">
        <v>6</v>
      </c>
      <c r="D441" s="108">
        <v>160</v>
      </c>
      <c r="E441" s="42" t="s">
        <v>35</v>
      </c>
      <c r="N441" s="27" t="s">
        <v>597</v>
      </c>
    </row>
    <row r="442" spans="1:14" x14ac:dyDescent="0.3">
      <c r="A442" s="4" t="s">
        <v>463</v>
      </c>
      <c r="B442" s="105">
        <v>1</v>
      </c>
      <c r="C442" s="40" t="s">
        <v>6</v>
      </c>
      <c r="D442" s="108">
        <v>190</v>
      </c>
      <c r="E442" s="42" t="s">
        <v>35</v>
      </c>
      <c r="N442" s="27" t="s">
        <v>787</v>
      </c>
    </row>
    <row r="443" spans="1:14" x14ac:dyDescent="0.3">
      <c r="A443" s="4" t="s">
        <v>424</v>
      </c>
      <c r="B443" s="105">
        <v>1</v>
      </c>
      <c r="C443" s="40" t="s">
        <v>6</v>
      </c>
      <c r="D443" s="108">
        <v>168</v>
      </c>
      <c r="E443" s="42" t="s">
        <v>35</v>
      </c>
      <c r="N443" s="65" t="s">
        <v>787</v>
      </c>
    </row>
    <row r="444" spans="1:14" x14ac:dyDescent="0.3">
      <c r="A444" s="4" t="s">
        <v>464</v>
      </c>
      <c r="B444" s="105">
        <v>1</v>
      </c>
      <c r="C444" s="40" t="s">
        <v>6</v>
      </c>
      <c r="D444" s="108">
        <v>190</v>
      </c>
      <c r="E444" s="42" t="s">
        <v>35</v>
      </c>
      <c r="N444" s="27" t="s">
        <v>627</v>
      </c>
    </row>
    <row r="445" spans="1:14" x14ac:dyDescent="0.3">
      <c r="A445" s="12" t="s">
        <v>706</v>
      </c>
      <c r="B445" s="105">
        <v>1</v>
      </c>
      <c r="C445" s="40" t="s">
        <v>239</v>
      </c>
      <c r="D445" s="108">
        <v>34</v>
      </c>
      <c r="E445" s="42" t="s">
        <v>662</v>
      </c>
      <c r="J445" s="104"/>
      <c r="N445" s="4" t="s">
        <v>663</v>
      </c>
    </row>
    <row r="446" spans="1:14" x14ac:dyDescent="0.3">
      <c r="A446" s="4" t="s">
        <v>473</v>
      </c>
      <c r="B446" s="105">
        <v>1</v>
      </c>
      <c r="C446" s="40" t="s">
        <v>6</v>
      </c>
      <c r="D446" s="108">
        <v>150</v>
      </c>
      <c r="E446" s="42" t="s">
        <v>35</v>
      </c>
      <c r="N446" s="65" t="s">
        <v>642</v>
      </c>
    </row>
    <row r="447" spans="1:14" x14ac:dyDescent="0.3">
      <c r="A447" s="4" t="s">
        <v>478</v>
      </c>
      <c r="B447" s="105">
        <v>1</v>
      </c>
      <c r="C447" s="40" t="s">
        <v>6</v>
      </c>
      <c r="D447" s="108">
        <v>225</v>
      </c>
      <c r="E447" s="42" t="s">
        <v>35</v>
      </c>
      <c r="N447" s="65" t="s">
        <v>786</v>
      </c>
    </row>
    <row r="448" spans="1:14" x14ac:dyDescent="0.3">
      <c r="A448" s="4" t="s">
        <v>717</v>
      </c>
      <c r="B448" s="105">
        <v>1</v>
      </c>
      <c r="C448" s="40" t="s">
        <v>573</v>
      </c>
      <c r="D448" s="108">
        <v>80</v>
      </c>
      <c r="E448" s="42" t="s">
        <v>97</v>
      </c>
      <c r="N448" s="65" t="s">
        <v>643</v>
      </c>
    </row>
    <row r="449" spans="1:21" x14ac:dyDescent="0.3">
      <c r="A449" s="4" t="s">
        <v>479</v>
      </c>
      <c r="B449" s="105">
        <v>1</v>
      </c>
      <c r="C449" s="40" t="s">
        <v>6</v>
      </c>
      <c r="D449" s="108">
        <v>225</v>
      </c>
      <c r="E449" s="42" t="s">
        <v>35</v>
      </c>
      <c r="N449" s="65" t="s">
        <v>643</v>
      </c>
    </row>
    <row r="450" spans="1:21" x14ac:dyDescent="0.3">
      <c r="A450" s="12" t="s">
        <v>479</v>
      </c>
      <c r="B450" s="105">
        <v>1</v>
      </c>
      <c r="C450" s="40" t="s">
        <v>105</v>
      </c>
      <c r="D450" s="108">
        <v>300</v>
      </c>
      <c r="E450" s="42" t="s">
        <v>35</v>
      </c>
      <c r="J450" s="104"/>
      <c r="N450" s="4" t="s">
        <v>240</v>
      </c>
      <c r="S450" s="195"/>
      <c r="T450" s="195"/>
      <c r="U450" s="195"/>
    </row>
    <row r="451" spans="1:21" x14ac:dyDescent="0.3">
      <c r="A451" s="4" t="s">
        <v>483</v>
      </c>
      <c r="B451" s="105">
        <v>1</v>
      </c>
      <c r="C451" s="40" t="s">
        <v>6</v>
      </c>
      <c r="D451" s="108">
        <v>222.14876033057851</v>
      </c>
      <c r="E451" s="42" t="s">
        <v>35</v>
      </c>
      <c r="N451" s="27" t="s">
        <v>597</v>
      </c>
    </row>
    <row r="452" spans="1:21" x14ac:dyDescent="0.3">
      <c r="A452" s="4" t="s">
        <v>487</v>
      </c>
      <c r="B452" s="105">
        <v>1</v>
      </c>
      <c r="C452" s="40" t="s">
        <v>14</v>
      </c>
      <c r="D452" s="108">
        <v>334</v>
      </c>
      <c r="E452" s="42" t="s">
        <v>35</v>
      </c>
      <c r="N452" s="65" t="s">
        <v>786</v>
      </c>
    </row>
    <row r="453" spans="1:21" x14ac:dyDescent="0.3">
      <c r="A453" s="4" t="s">
        <v>501</v>
      </c>
      <c r="B453" s="105">
        <v>1</v>
      </c>
      <c r="C453" s="40" t="s">
        <v>242</v>
      </c>
      <c r="D453" s="108">
        <v>84</v>
      </c>
      <c r="E453" s="42" t="s">
        <v>35</v>
      </c>
      <c r="N453" s="65" t="s">
        <v>786</v>
      </c>
    </row>
    <row r="454" spans="1:21" x14ac:dyDescent="0.3">
      <c r="A454" s="4" t="s">
        <v>502</v>
      </c>
      <c r="B454" s="105">
        <v>1</v>
      </c>
      <c r="C454" s="40" t="s">
        <v>242</v>
      </c>
      <c r="D454" s="108">
        <v>84</v>
      </c>
      <c r="E454" s="42" t="s">
        <v>35</v>
      </c>
      <c r="N454" s="65" t="s">
        <v>786</v>
      </c>
    </row>
    <row r="455" spans="1:21" x14ac:dyDescent="0.3">
      <c r="A455" s="4" t="s">
        <v>503</v>
      </c>
      <c r="B455" s="105">
        <v>1</v>
      </c>
      <c r="C455" s="40" t="s">
        <v>242</v>
      </c>
      <c r="D455" s="108">
        <v>84</v>
      </c>
      <c r="E455" s="42" t="s">
        <v>35</v>
      </c>
      <c r="N455" s="65" t="s">
        <v>644</v>
      </c>
    </row>
    <row r="456" spans="1:21" x14ac:dyDescent="0.3">
      <c r="A456" s="4" t="s">
        <v>504</v>
      </c>
      <c r="B456" s="105">
        <v>1</v>
      </c>
      <c r="C456" s="40" t="s">
        <v>242</v>
      </c>
      <c r="D456" s="108">
        <v>84</v>
      </c>
      <c r="E456" s="42" t="s">
        <v>35</v>
      </c>
      <c r="N456" s="65" t="s">
        <v>786</v>
      </c>
    </row>
    <row r="457" spans="1:21" x14ac:dyDescent="0.3">
      <c r="A457" s="4" t="s">
        <v>505</v>
      </c>
      <c r="B457" s="105">
        <v>1</v>
      </c>
      <c r="C457" s="40" t="s">
        <v>242</v>
      </c>
      <c r="D457" s="108">
        <v>84</v>
      </c>
      <c r="E457" s="42" t="s">
        <v>35</v>
      </c>
      <c r="N457" s="65" t="s">
        <v>786</v>
      </c>
    </row>
    <row r="458" spans="1:21" x14ac:dyDescent="0.3">
      <c r="A458" s="4" t="s">
        <v>716</v>
      </c>
      <c r="B458" s="105">
        <v>1</v>
      </c>
      <c r="C458" s="40" t="s">
        <v>242</v>
      </c>
      <c r="D458" s="108">
        <v>84</v>
      </c>
      <c r="E458" s="42" t="s">
        <v>35</v>
      </c>
      <c r="N458" s="65" t="s">
        <v>786</v>
      </c>
    </row>
    <row r="459" spans="1:21" x14ac:dyDescent="0.3">
      <c r="A459" s="4" t="s">
        <v>508</v>
      </c>
      <c r="B459" s="105">
        <v>1</v>
      </c>
      <c r="C459" s="40" t="s">
        <v>571</v>
      </c>
      <c r="D459" s="108">
        <v>140</v>
      </c>
      <c r="E459" s="42" t="s">
        <v>35</v>
      </c>
      <c r="N459" s="65" t="s">
        <v>786</v>
      </c>
    </row>
    <row r="460" spans="1:21" x14ac:dyDescent="0.3">
      <c r="A460" s="4" t="s">
        <v>512</v>
      </c>
      <c r="B460" s="105">
        <v>1</v>
      </c>
      <c r="C460" s="40" t="s">
        <v>9</v>
      </c>
      <c r="D460" s="108">
        <v>225</v>
      </c>
      <c r="E460" s="42" t="s">
        <v>35</v>
      </c>
      <c r="N460" s="27" t="s">
        <v>627</v>
      </c>
    </row>
    <row r="461" spans="1:21" x14ac:dyDescent="0.3">
      <c r="A461" s="4" t="s">
        <v>514</v>
      </c>
      <c r="B461" s="105">
        <v>1</v>
      </c>
      <c r="C461" s="40" t="s">
        <v>9</v>
      </c>
      <c r="D461" s="108">
        <v>80</v>
      </c>
      <c r="E461" s="42" t="s">
        <v>35</v>
      </c>
      <c r="N461" s="65" t="s">
        <v>632</v>
      </c>
    </row>
    <row r="462" spans="1:21" x14ac:dyDescent="0.3">
      <c r="A462" s="4" t="s">
        <v>512</v>
      </c>
      <c r="B462" s="105">
        <v>1</v>
      </c>
      <c r="C462" s="40" t="s">
        <v>105</v>
      </c>
      <c r="D462" s="108">
        <v>269.41547952433137</v>
      </c>
      <c r="E462" s="42" t="s">
        <v>35</v>
      </c>
      <c r="N462" s="4" t="s">
        <v>594</v>
      </c>
    </row>
    <row r="463" spans="1:21" x14ac:dyDescent="0.3">
      <c r="A463" s="4" t="s">
        <v>519</v>
      </c>
      <c r="B463" s="105">
        <v>1</v>
      </c>
      <c r="C463" s="40" t="s">
        <v>573</v>
      </c>
      <c r="D463" s="108">
        <v>200</v>
      </c>
      <c r="E463" s="42" t="s">
        <v>35</v>
      </c>
      <c r="N463" s="65" t="s">
        <v>645</v>
      </c>
    </row>
    <row r="464" spans="1:21" x14ac:dyDescent="0.3">
      <c r="A464" s="4" t="s">
        <v>521</v>
      </c>
      <c r="B464" s="105">
        <v>1</v>
      </c>
      <c r="C464" s="40" t="s">
        <v>573</v>
      </c>
      <c r="D464" s="108">
        <v>2128</v>
      </c>
      <c r="E464" s="42" t="s">
        <v>35</v>
      </c>
      <c r="N464" s="65" t="s">
        <v>646</v>
      </c>
    </row>
    <row r="465" spans="1:20" x14ac:dyDescent="0.3">
      <c r="A465" s="4" t="s">
        <v>522</v>
      </c>
      <c r="B465" s="105">
        <v>1</v>
      </c>
      <c r="C465" s="40" t="s">
        <v>81</v>
      </c>
      <c r="D465" s="108">
        <v>373.33333333333331</v>
      </c>
      <c r="E465" s="42" t="s">
        <v>35</v>
      </c>
      <c r="N465" s="65" t="s">
        <v>602</v>
      </c>
    </row>
    <row r="466" spans="1:20" x14ac:dyDescent="0.3">
      <c r="A466" s="12" t="s">
        <v>652</v>
      </c>
      <c r="B466" s="105">
        <v>1</v>
      </c>
      <c r="C466" s="40" t="s">
        <v>119</v>
      </c>
      <c r="D466" s="108">
        <v>82</v>
      </c>
      <c r="E466" s="42" t="s">
        <v>35</v>
      </c>
      <c r="J466" s="104"/>
      <c r="N466" s="4" t="s">
        <v>772</v>
      </c>
    </row>
    <row r="467" spans="1:20" x14ac:dyDescent="0.3">
      <c r="A467" s="12" t="s">
        <v>652</v>
      </c>
      <c r="B467" s="105">
        <v>1</v>
      </c>
      <c r="C467" s="40" t="s">
        <v>119</v>
      </c>
      <c r="D467" s="108">
        <v>82</v>
      </c>
      <c r="E467" s="42" t="s">
        <v>35</v>
      </c>
      <c r="J467" s="104"/>
      <c r="N467" s="4" t="s">
        <v>773</v>
      </c>
    </row>
    <row r="468" spans="1:20" x14ac:dyDescent="0.3">
      <c r="A468" s="12" t="s">
        <v>652</v>
      </c>
      <c r="B468" s="105">
        <v>1</v>
      </c>
      <c r="C468" s="40" t="s">
        <v>235</v>
      </c>
      <c r="D468" s="108">
        <f>D267</f>
        <v>61.045749999999998</v>
      </c>
      <c r="E468" s="42" t="s">
        <v>35</v>
      </c>
      <c r="J468" s="104"/>
      <c r="N468" s="4" t="s">
        <v>786</v>
      </c>
    </row>
    <row r="469" spans="1:20" x14ac:dyDescent="0.3">
      <c r="A469" s="12" t="s">
        <v>675</v>
      </c>
      <c r="B469" s="105">
        <v>1</v>
      </c>
      <c r="C469" s="40" t="s">
        <v>38</v>
      </c>
      <c r="D469" s="108">
        <v>255</v>
      </c>
      <c r="E469" s="42" t="s">
        <v>115</v>
      </c>
      <c r="F469" s="108">
        <v>719</v>
      </c>
      <c r="G469" s="42" t="s">
        <v>35</v>
      </c>
      <c r="J469" s="104"/>
      <c r="L469" s="133"/>
      <c r="N469" s="4" t="s">
        <v>790</v>
      </c>
      <c r="O469" s="65"/>
      <c r="P469" s="65"/>
      <c r="T469" s="65"/>
    </row>
    <row r="470" spans="1:20" x14ac:dyDescent="0.3">
      <c r="A470" s="12" t="s">
        <v>675</v>
      </c>
      <c r="B470" s="105">
        <v>1</v>
      </c>
      <c r="C470" s="40" t="s">
        <v>38</v>
      </c>
      <c r="D470" s="108">
        <v>240</v>
      </c>
      <c r="E470" s="42" t="s">
        <v>115</v>
      </c>
      <c r="F470" s="108">
        <v>680</v>
      </c>
      <c r="G470" s="42" t="s">
        <v>35</v>
      </c>
      <c r="J470" s="104"/>
      <c r="L470" s="133"/>
      <c r="N470" s="4" t="s">
        <v>774</v>
      </c>
      <c r="O470" s="65"/>
      <c r="P470" s="65"/>
      <c r="T470" s="65"/>
    </row>
    <row r="471" spans="1:20" x14ac:dyDescent="0.3">
      <c r="A471" s="12" t="s">
        <v>675</v>
      </c>
      <c r="B471" s="105">
        <v>1</v>
      </c>
      <c r="C471" s="40" t="s">
        <v>38</v>
      </c>
      <c r="D471" s="108">
        <v>550</v>
      </c>
      <c r="E471" s="42" t="s">
        <v>35</v>
      </c>
      <c r="J471" s="104"/>
      <c r="L471" s="133"/>
      <c r="N471" s="4" t="s">
        <v>298</v>
      </c>
      <c r="O471" s="65"/>
      <c r="P471" s="65"/>
      <c r="T471" s="65"/>
    </row>
    <row r="472" spans="1:20" ht="14.4" customHeight="1" x14ac:dyDescent="0.3">
      <c r="A472" s="12" t="s">
        <v>675</v>
      </c>
      <c r="B472" s="105">
        <v>1</v>
      </c>
      <c r="C472" s="40" t="s">
        <v>38</v>
      </c>
      <c r="D472" s="108">
        <v>250</v>
      </c>
      <c r="E472" s="42" t="s">
        <v>676</v>
      </c>
      <c r="F472" s="108">
        <v>551.16</v>
      </c>
      <c r="G472" s="42" t="s">
        <v>35</v>
      </c>
      <c r="J472" s="104"/>
      <c r="L472" s="133"/>
      <c r="N472" s="4" t="s">
        <v>296</v>
      </c>
      <c r="O472" s="65"/>
      <c r="P472" s="65"/>
      <c r="T472" s="65"/>
    </row>
    <row r="473" spans="1:20" ht="14.4" customHeight="1" x14ac:dyDescent="0.3">
      <c r="A473" s="12" t="s">
        <v>675</v>
      </c>
      <c r="B473" s="105">
        <v>1</v>
      </c>
      <c r="C473" s="40" t="s">
        <v>38</v>
      </c>
      <c r="D473" s="108">
        <v>55</v>
      </c>
      <c r="E473" s="42" t="s">
        <v>300</v>
      </c>
      <c r="J473" s="104"/>
      <c r="L473" s="133"/>
      <c r="N473" s="4" t="s">
        <v>775</v>
      </c>
      <c r="O473" s="65"/>
      <c r="P473" s="65"/>
      <c r="T473" s="65"/>
    </row>
    <row r="474" spans="1:20" x14ac:dyDescent="0.3">
      <c r="A474" s="12" t="s">
        <v>672</v>
      </c>
      <c r="B474" s="105">
        <v>1</v>
      </c>
      <c r="C474" s="40" t="s">
        <v>38</v>
      </c>
      <c r="D474" s="108">
        <v>200</v>
      </c>
      <c r="E474" s="42" t="s">
        <v>115</v>
      </c>
      <c r="F474" s="108">
        <v>564</v>
      </c>
      <c r="G474" s="42" t="s">
        <v>35</v>
      </c>
      <c r="J474" s="104"/>
      <c r="L474" s="133"/>
      <c r="N474" s="4" t="s">
        <v>297</v>
      </c>
      <c r="O474" s="65"/>
      <c r="P474" s="65"/>
      <c r="T474" s="65"/>
    </row>
    <row r="475" spans="1:20" x14ac:dyDescent="0.3">
      <c r="A475" s="12" t="s">
        <v>673</v>
      </c>
      <c r="B475" s="105">
        <v>1</v>
      </c>
      <c r="C475" s="40" t="s">
        <v>38</v>
      </c>
      <c r="D475" s="108">
        <v>120</v>
      </c>
      <c r="E475" s="42" t="s">
        <v>115</v>
      </c>
      <c r="F475" s="108">
        <v>340</v>
      </c>
      <c r="G475" s="42" t="s">
        <v>35</v>
      </c>
      <c r="J475" s="104"/>
      <c r="L475" s="133"/>
      <c r="N475" s="4" t="s">
        <v>774</v>
      </c>
      <c r="O475" s="65"/>
      <c r="P475" s="65"/>
      <c r="T475" s="65"/>
    </row>
    <row r="476" spans="1:20" x14ac:dyDescent="0.3">
      <c r="A476" s="12" t="s">
        <v>711</v>
      </c>
      <c r="B476" s="105">
        <v>1</v>
      </c>
      <c r="C476" s="40" t="s">
        <v>38</v>
      </c>
      <c r="D476" s="108">
        <v>420</v>
      </c>
      <c r="E476" s="42" t="s">
        <v>35</v>
      </c>
      <c r="J476" s="104"/>
      <c r="L476" s="133"/>
      <c r="N476" s="4" t="s">
        <v>298</v>
      </c>
      <c r="O476" s="65"/>
      <c r="P476" s="65"/>
      <c r="T476" s="65"/>
    </row>
    <row r="477" spans="1:20" x14ac:dyDescent="0.3">
      <c r="A477" s="12" t="s">
        <v>712</v>
      </c>
      <c r="B477" s="105">
        <v>1</v>
      </c>
      <c r="C477" s="40" t="s">
        <v>38</v>
      </c>
      <c r="D477" s="108">
        <v>364</v>
      </c>
      <c r="E477" s="42" t="s">
        <v>35</v>
      </c>
      <c r="J477" s="104"/>
      <c r="L477" s="133"/>
      <c r="N477" s="4" t="s">
        <v>298</v>
      </c>
      <c r="O477" s="65"/>
      <c r="P477" s="65"/>
      <c r="T477" s="65"/>
    </row>
    <row r="478" spans="1:20" x14ac:dyDescent="0.3">
      <c r="A478" s="12" t="s">
        <v>712</v>
      </c>
      <c r="B478" s="105">
        <v>1</v>
      </c>
      <c r="C478" s="40" t="s">
        <v>38</v>
      </c>
      <c r="D478" s="108">
        <v>120</v>
      </c>
      <c r="E478" s="42" t="s">
        <v>115</v>
      </c>
      <c r="J478" s="104"/>
      <c r="L478" s="133"/>
      <c r="N478" s="4" t="s">
        <v>299</v>
      </c>
      <c r="O478" s="65"/>
      <c r="P478" s="65"/>
      <c r="T478" s="65"/>
    </row>
    <row r="479" spans="1:20" x14ac:dyDescent="0.3">
      <c r="A479" s="12" t="s">
        <v>713</v>
      </c>
      <c r="B479" s="105">
        <v>1</v>
      </c>
      <c r="C479" s="40" t="s">
        <v>38</v>
      </c>
      <c r="D479" s="108">
        <v>252</v>
      </c>
      <c r="E479" s="42" t="s">
        <v>35</v>
      </c>
      <c r="J479" s="104"/>
      <c r="L479" s="133"/>
      <c r="N479" s="4" t="s">
        <v>298</v>
      </c>
      <c r="O479" s="65"/>
      <c r="P479" s="65"/>
      <c r="T479" s="65"/>
    </row>
    <row r="480" spans="1:20" x14ac:dyDescent="0.3">
      <c r="A480" s="12" t="s">
        <v>714</v>
      </c>
      <c r="B480" s="105">
        <v>1</v>
      </c>
      <c r="C480" s="40" t="s">
        <v>38</v>
      </c>
      <c r="D480" s="108">
        <v>60</v>
      </c>
      <c r="E480" s="42" t="s">
        <v>115</v>
      </c>
      <c r="F480" s="108">
        <v>170</v>
      </c>
      <c r="G480" s="42" t="s">
        <v>35</v>
      </c>
      <c r="J480" s="104"/>
      <c r="L480" s="133"/>
      <c r="N480" s="4" t="s">
        <v>774</v>
      </c>
      <c r="O480" s="65"/>
      <c r="P480" s="65"/>
      <c r="T480" s="65"/>
    </row>
    <row r="481" spans="1:20" x14ac:dyDescent="0.3">
      <c r="A481" s="12" t="s">
        <v>714</v>
      </c>
      <c r="B481" s="105">
        <v>1</v>
      </c>
      <c r="C481" s="40" t="s">
        <v>38</v>
      </c>
      <c r="D481" s="108">
        <v>0.22220000000000001</v>
      </c>
      <c r="E481" s="42" t="s">
        <v>246</v>
      </c>
      <c r="J481" s="104"/>
      <c r="L481" s="133"/>
      <c r="N481" s="4" t="s">
        <v>775</v>
      </c>
      <c r="O481" s="65"/>
      <c r="P481" s="65"/>
      <c r="T481" s="65"/>
    </row>
    <row r="482" spans="1:20" ht="16.8" customHeight="1" x14ac:dyDescent="0.3">
      <c r="A482" s="12" t="s">
        <v>674</v>
      </c>
      <c r="B482" s="105">
        <v>1</v>
      </c>
      <c r="C482" s="40" t="s">
        <v>38</v>
      </c>
      <c r="D482" s="108">
        <v>0.82667000000000002</v>
      </c>
      <c r="E482" s="42" t="s">
        <v>677</v>
      </c>
      <c r="J482" s="104"/>
      <c r="N482" s="4" t="s">
        <v>775</v>
      </c>
    </row>
    <row r="483" spans="1:20" x14ac:dyDescent="0.3">
      <c r="B483" s="105"/>
    </row>
    <row r="484" spans="1:20" x14ac:dyDescent="0.3">
      <c r="B484" s="105"/>
    </row>
    <row r="485" spans="1:20" x14ac:dyDescent="0.3">
      <c r="B485" s="105"/>
    </row>
    <row r="486" spans="1:20" x14ac:dyDescent="0.3">
      <c r="B486" s="105"/>
    </row>
    <row r="487" spans="1:20" x14ac:dyDescent="0.3">
      <c r="B487" s="105"/>
    </row>
    <row r="488" spans="1:20" x14ac:dyDescent="0.3">
      <c r="B488" s="105"/>
    </row>
    <row r="489" spans="1:20" x14ac:dyDescent="0.3">
      <c r="B489" s="105"/>
    </row>
    <row r="490" spans="1:20" x14ac:dyDescent="0.3">
      <c r="B490" s="105"/>
    </row>
    <row r="491" spans="1:20" x14ac:dyDescent="0.3">
      <c r="B491" s="105"/>
    </row>
    <row r="492" spans="1:20" x14ac:dyDescent="0.3">
      <c r="B492" s="105"/>
    </row>
    <row r="493" spans="1:20" x14ac:dyDescent="0.3">
      <c r="B493" s="105"/>
    </row>
    <row r="494" spans="1:20" x14ac:dyDescent="0.3">
      <c r="B494" s="105"/>
    </row>
    <row r="495" spans="1:20" x14ac:dyDescent="0.3">
      <c r="B495" s="105"/>
    </row>
    <row r="496" spans="1:20" x14ac:dyDescent="0.3">
      <c r="B496" s="105"/>
    </row>
    <row r="497" spans="2:2" x14ac:dyDescent="0.3">
      <c r="B497" s="105"/>
    </row>
    <row r="498" spans="2:2" x14ac:dyDescent="0.3">
      <c r="B498" s="105"/>
    </row>
    <row r="499" spans="2:2" x14ac:dyDescent="0.3">
      <c r="B499" s="105"/>
    </row>
    <row r="500" spans="2:2" x14ac:dyDescent="0.3">
      <c r="B500" s="105"/>
    </row>
    <row r="501" spans="2:2" x14ac:dyDescent="0.3">
      <c r="B501" s="105"/>
    </row>
    <row r="502" spans="2:2" x14ac:dyDescent="0.3">
      <c r="B502" s="105"/>
    </row>
    <row r="503" spans="2:2" x14ac:dyDescent="0.3">
      <c r="B503" s="105"/>
    </row>
    <row r="504" spans="2:2" x14ac:dyDescent="0.3">
      <c r="B504" s="105"/>
    </row>
    <row r="505" spans="2:2" x14ac:dyDescent="0.3">
      <c r="B505" s="105"/>
    </row>
    <row r="506" spans="2:2" x14ac:dyDescent="0.3">
      <c r="B506" s="105"/>
    </row>
    <row r="507" spans="2:2" x14ac:dyDescent="0.3">
      <c r="B507" s="105"/>
    </row>
    <row r="508" spans="2:2" x14ac:dyDescent="0.3">
      <c r="B508" s="105"/>
    </row>
    <row r="509" spans="2:2" x14ac:dyDescent="0.3">
      <c r="B509" s="105"/>
    </row>
    <row r="510" spans="2:2" x14ac:dyDescent="0.3">
      <c r="B510" s="105"/>
    </row>
    <row r="511" spans="2:2" x14ac:dyDescent="0.3">
      <c r="B511" s="105"/>
    </row>
    <row r="512" spans="2:2" x14ac:dyDescent="0.3">
      <c r="B512" s="105"/>
    </row>
    <row r="513" spans="2:2" x14ac:dyDescent="0.3">
      <c r="B513" s="105"/>
    </row>
    <row r="514" spans="2:2" x14ac:dyDescent="0.3">
      <c r="B514" s="105"/>
    </row>
    <row r="515" spans="2:2" x14ac:dyDescent="0.3">
      <c r="B515" s="105"/>
    </row>
    <row r="516" spans="2:2" x14ac:dyDescent="0.3">
      <c r="B516" s="105"/>
    </row>
    <row r="517" spans="2:2" x14ac:dyDescent="0.3">
      <c r="B517" s="105"/>
    </row>
    <row r="518" spans="2:2" x14ac:dyDescent="0.3">
      <c r="B518" s="105"/>
    </row>
    <row r="519" spans="2:2" x14ac:dyDescent="0.3">
      <c r="B519" s="105"/>
    </row>
    <row r="520" spans="2:2" x14ac:dyDescent="0.3">
      <c r="B520" s="105"/>
    </row>
    <row r="521" spans="2:2" x14ac:dyDescent="0.3">
      <c r="B521" s="105"/>
    </row>
    <row r="522" spans="2:2" x14ac:dyDescent="0.3">
      <c r="B522" s="105"/>
    </row>
    <row r="523" spans="2:2" x14ac:dyDescent="0.3">
      <c r="B523" s="105"/>
    </row>
    <row r="524" spans="2:2" x14ac:dyDescent="0.3">
      <c r="B524" s="105"/>
    </row>
    <row r="525" spans="2:2" x14ac:dyDescent="0.3">
      <c r="B525" s="105"/>
    </row>
    <row r="526" spans="2:2" x14ac:dyDescent="0.3">
      <c r="B526" s="105"/>
    </row>
    <row r="527" spans="2:2" x14ac:dyDescent="0.3">
      <c r="B527" s="105"/>
    </row>
    <row r="528" spans="2:2" x14ac:dyDescent="0.3">
      <c r="B528" s="105"/>
    </row>
    <row r="529" spans="2:2" x14ac:dyDescent="0.3">
      <c r="B529" s="105"/>
    </row>
    <row r="530" spans="2:2" x14ac:dyDescent="0.3">
      <c r="B530" s="105"/>
    </row>
    <row r="531" spans="2:2" x14ac:dyDescent="0.3">
      <c r="B531" s="105"/>
    </row>
    <row r="532" spans="2:2" x14ac:dyDescent="0.3">
      <c r="B532" s="105"/>
    </row>
    <row r="533" spans="2:2" x14ac:dyDescent="0.3">
      <c r="B533" s="105"/>
    </row>
    <row r="534" spans="2:2" x14ac:dyDescent="0.3">
      <c r="B534" s="105"/>
    </row>
    <row r="535" spans="2:2" x14ac:dyDescent="0.3">
      <c r="B535" s="105"/>
    </row>
    <row r="536" spans="2:2" x14ac:dyDescent="0.3">
      <c r="B536" s="105"/>
    </row>
    <row r="537" spans="2:2" x14ac:dyDescent="0.3">
      <c r="B537" s="105"/>
    </row>
    <row r="538" spans="2:2" x14ac:dyDescent="0.3">
      <c r="B538" s="105"/>
    </row>
    <row r="539" spans="2:2" x14ac:dyDescent="0.3">
      <c r="B539" s="105"/>
    </row>
    <row r="540" spans="2:2" x14ac:dyDescent="0.3">
      <c r="B540" s="105"/>
    </row>
    <row r="541" spans="2:2" x14ac:dyDescent="0.3">
      <c r="B541" s="105"/>
    </row>
    <row r="542" spans="2:2" x14ac:dyDescent="0.3">
      <c r="B542" s="105"/>
    </row>
    <row r="543" spans="2:2" x14ac:dyDescent="0.3">
      <c r="B543" s="105"/>
    </row>
    <row r="544" spans="2:2" x14ac:dyDescent="0.3">
      <c r="B544" s="105"/>
    </row>
    <row r="545" spans="2:2" x14ac:dyDescent="0.3">
      <c r="B545" s="105"/>
    </row>
    <row r="546" spans="2:2" x14ac:dyDescent="0.3">
      <c r="B546" s="105"/>
    </row>
    <row r="547" spans="2:2" x14ac:dyDescent="0.3">
      <c r="B547" s="105"/>
    </row>
    <row r="548" spans="2:2" x14ac:dyDescent="0.3">
      <c r="B548" s="105"/>
    </row>
    <row r="549" spans="2:2" x14ac:dyDescent="0.3">
      <c r="B549" s="105"/>
    </row>
    <row r="550" spans="2:2" x14ac:dyDescent="0.3">
      <c r="B550" s="105"/>
    </row>
    <row r="551" spans="2:2" x14ac:dyDescent="0.3">
      <c r="B551" s="105"/>
    </row>
    <row r="552" spans="2:2" x14ac:dyDescent="0.3">
      <c r="B552" s="105"/>
    </row>
    <row r="553" spans="2:2" x14ac:dyDescent="0.3">
      <c r="B553" s="105"/>
    </row>
    <row r="554" spans="2:2" x14ac:dyDescent="0.3">
      <c r="B554" s="105"/>
    </row>
    <row r="555" spans="2:2" x14ac:dyDescent="0.3">
      <c r="B555" s="105"/>
    </row>
    <row r="556" spans="2:2" x14ac:dyDescent="0.3">
      <c r="B556" s="105"/>
    </row>
    <row r="557" spans="2:2" x14ac:dyDescent="0.3">
      <c r="B557" s="105"/>
    </row>
    <row r="558" spans="2:2" x14ac:dyDescent="0.3">
      <c r="B558" s="105"/>
    </row>
    <row r="559" spans="2:2" x14ac:dyDescent="0.3">
      <c r="B559" s="105"/>
    </row>
    <row r="560" spans="2:2" x14ac:dyDescent="0.3">
      <c r="B560" s="105"/>
    </row>
    <row r="561" spans="2:2" x14ac:dyDescent="0.3">
      <c r="B561" s="105"/>
    </row>
    <row r="562" spans="2:2" x14ac:dyDescent="0.3">
      <c r="B562" s="105"/>
    </row>
    <row r="563" spans="2:2" x14ac:dyDescent="0.3">
      <c r="B563" s="105"/>
    </row>
    <row r="564" spans="2:2" x14ac:dyDescent="0.3">
      <c r="B564" s="105"/>
    </row>
    <row r="565" spans="2:2" x14ac:dyDescent="0.3">
      <c r="B565" s="105"/>
    </row>
    <row r="566" spans="2:2" x14ac:dyDescent="0.3">
      <c r="B566" s="105"/>
    </row>
    <row r="567" spans="2:2" x14ac:dyDescent="0.3">
      <c r="B567" s="105"/>
    </row>
    <row r="568" spans="2:2" x14ac:dyDescent="0.3">
      <c r="B568" s="105"/>
    </row>
  </sheetData>
  <mergeCells count="1">
    <mergeCell ref="S450:U450"/>
  </mergeCells>
  <hyperlinks>
    <hyperlink ref="N221" r:id="rId1"/>
    <hyperlink ref="N436" r:id="rId2"/>
  </hyperlinks>
  <pageMargins left="0.7" right="0.7" top="0.75" bottom="0.75" header="0.3" footer="0.3"/>
  <pageSetup paperSize="9"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403"/>
  <sheetViews>
    <sheetView zoomScale="60" zoomScaleNormal="60" workbookViewId="0">
      <pane ySplit="1" topLeftCell="A2" activePane="bottomLeft" state="frozen"/>
      <selection pane="bottomLeft"/>
    </sheetView>
  </sheetViews>
  <sheetFormatPr defaultRowHeight="14.4" x14ac:dyDescent="0.3"/>
  <cols>
    <col min="1" max="1" width="23.6640625" style="4" bestFit="1" customWidth="1"/>
    <col min="2" max="2" width="14" style="4" customWidth="1"/>
    <col min="3" max="3" width="10.5546875" style="4" customWidth="1"/>
    <col min="4" max="4" width="17.33203125" style="95" customWidth="1"/>
    <col min="5" max="5" width="10.77734375" style="4" customWidth="1"/>
    <col min="6" max="6" width="8.88671875" style="4" customWidth="1"/>
    <col min="7" max="7" width="13" style="4" customWidth="1"/>
    <col min="8" max="8" width="16.6640625" style="4" customWidth="1"/>
    <col min="9" max="9" width="12.6640625" style="4" customWidth="1"/>
    <col min="10" max="10" width="44.44140625" style="4" customWidth="1"/>
    <col min="11" max="12" width="9" style="4" bestFit="1" customWidth="1"/>
    <col min="13" max="13" width="9" style="62" bestFit="1" customWidth="1"/>
    <col min="14" max="14" width="13.33203125" style="62" customWidth="1"/>
    <col min="15" max="15" width="12.33203125" style="62" customWidth="1"/>
    <col min="16" max="16" width="14.21875" style="62" customWidth="1"/>
    <col min="17" max="17" width="9" style="62" bestFit="1" customWidth="1"/>
    <col min="18" max="18" width="10.109375" style="62" bestFit="1" customWidth="1"/>
    <col min="19" max="19" width="9" style="62" bestFit="1" customWidth="1"/>
    <col min="20" max="20" width="12.77734375" style="62" customWidth="1"/>
    <col min="21" max="21" width="9" style="62" bestFit="1" customWidth="1"/>
    <col min="22" max="22" width="8.88671875" style="62"/>
    <col min="23" max="25" width="9" style="62" bestFit="1" customWidth="1"/>
    <col min="26" max="26" width="13.5546875" style="62" customWidth="1"/>
    <col min="27" max="27" width="8.88671875" style="62"/>
    <col min="28" max="28" width="9" style="62" bestFit="1" customWidth="1"/>
    <col min="29" max="16384" width="8.88671875" style="62"/>
  </cols>
  <sheetData>
    <row r="1" spans="1:12" s="63" customFormat="1" x14ac:dyDescent="0.3">
      <c r="A1" s="117" t="s">
        <v>829</v>
      </c>
      <c r="B1" s="40"/>
      <c r="C1" s="40"/>
      <c r="D1" s="94"/>
      <c r="E1" s="40"/>
      <c r="F1" s="40"/>
      <c r="G1" s="40"/>
      <c r="H1" s="40"/>
      <c r="I1" s="40"/>
      <c r="J1" s="40" t="s">
        <v>0</v>
      </c>
      <c r="K1" s="40"/>
      <c r="L1" s="40"/>
    </row>
    <row r="2" spans="1:12" s="63" customFormat="1" x14ac:dyDescent="0.3">
      <c r="A2" s="88"/>
      <c r="B2" s="40"/>
      <c r="C2" s="40"/>
      <c r="D2" s="94"/>
      <c r="E2" s="40"/>
      <c r="F2" s="40"/>
      <c r="G2" s="40"/>
      <c r="H2" s="40"/>
      <c r="I2" s="40"/>
      <c r="J2" s="40"/>
      <c r="K2" s="40"/>
      <c r="L2" s="40"/>
    </row>
    <row r="3" spans="1:12" x14ac:dyDescent="0.3">
      <c r="A3" s="4">
        <v>1</v>
      </c>
      <c r="B3" s="40" t="s">
        <v>2</v>
      </c>
      <c r="C3" s="95">
        <v>23.388999999999999</v>
      </c>
      <c r="D3" s="40" t="s">
        <v>552</v>
      </c>
      <c r="E3" s="40"/>
      <c r="F3" s="40"/>
    </row>
    <row r="4" spans="1:12" x14ac:dyDescent="0.3">
      <c r="A4" s="4">
        <v>1</v>
      </c>
      <c r="B4" s="40" t="s">
        <v>3</v>
      </c>
      <c r="C4" s="95">
        <v>240</v>
      </c>
      <c r="D4" s="40" t="s">
        <v>4</v>
      </c>
      <c r="F4" s="40"/>
    </row>
    <row r="5" spans="1:12" x14ac:dyDescent="0.3">
      <c r="A5" s="4">
        <v>1</v>
      </c>
      <c r="B5" s="40" t="s">
        <v>47</v>
      </c>
      <c r="C5" s="95">
        <v>20</v>
      </c>
      <c r="D5" s="40" t="s">
        <v>44</v>
      </c>
      <c r="E5" s="4">
        <v>240</v>
      </c>
      <c r="F5" s="40" t="s">
        <v>45</v>
      </c>
    </row>
    <row r="6" spans="1:12" x14ac:dyDescent="0.3">
      <c r="A6" s="4">
        <v>1</v>
      </c>
      <c r="B6" s="40" t="s">
        <v>44</v>
      </c>
      <c r="C6" s="95">
        <v>12</v>
      </c>
      <c r="D6" s="40" t="s">
        <v>45</v>
      </c>
    </row>
    <row r="7" spans="1:12" x14ac:dyDescent="0.3">
      <c r="A7" s="4">
        <v>1</v>
      </c>
      <c r="B7" s="40" t="s">
        <v>52</v>
      </c>
      <c r="C7" s="39">
        <v>20</v>
      </c>
      <c r="D7" s="40" t="s">
        <v>72</v>
      </c>
    </row>
    <row r="8" spans="1:12" x14ac:dyDescent="0.3">
      <c r="C8" s="40"/>
      <c r="E8" s="40"/>
      <c r="G8" s="40"/>
    </row>
    <row r="9" spans="1:12" x14ac:dyDescent="0.3">
      <c r="A9" s="117" t="s">
        <v>553</v>
      </c>
      <c r="C9" s="40"/>
      <c r="E9" s="40"/>
      <c r="G9" s="40"/>
    </row>
    <row r="10" spans="1:12" s="21" customFormat="1" x14ac:dyDescent="0.3">
      <c r="A10" s="89"/>
      <c r="B10" s="90"/>
      <c r="C10" s="90"/>
      <c r="D10" s="96"/>
      <c r="E10" s="90"/>
      <c r="F10" s="90"/>
      <c r="G10" s="90"/>
      <c r="H10" s="90"/>
      <c r="I10" s="90"/>
      <c r="J10" s="90"/>
      <c r="K10" s="90"/>
      <c r="L10" s="90"/>
    </row>
    <row r="11" spans="1:12" s="86" customFormat="1" ht="55.8" customHeight="1" x14ac:dyDescent="0.3">
      <c r="A11" s="101" t="s">
        <v>25</v>
      </c>
      <c r="B11" s="100" t="s">
        <v>26</v>
      </c>
      <c r="C11" s="100" t="s">
        <v>27</v>
      </c>
      <c r="D11" s="191" t="s">
        <v>28</v>
      </c>
      <c r="E11" s="100" t="s">
        <v>29</v>
      </c>
      <c r="F11" s="100" t="s">
        <v>30</v>
      </c>
      <c r="G11" s="100" t="s">
        <v>31</v>
      </c>
      <c r="H11" s="192" t="s">
        <v>32</v>
      </c>
      <c r="I11" s="27"/>
      <c r="J11" s="27"/>
      <c r="K11" s="27"/>
      <c r="L11" s="27"/>
    </row>
    <row r="12" spans="1:12" s="86" customFormat="1" x14ac:dyDescent="0.3">
      <c r="A12" s="91">
        <v>1872</v>
      </c>
      <c r="B12" s="92">
        <v>60.3125</v>
      </c>
      <c r="C12" s="93">
        <v>0.47697409326424872</v>
      </c>
      <c r="D12" s="93">
        <f t="shared" ref="D12:D53" si="0">C12*$C$4</f>
        <v>114.47378238341969</v>
      </c>
      <c r="E12" s="93">
        <v>25.0815211934943</v>
      </c>
      <c r="F12" s="93">
        <v>10.78</v>
      </c>
      <c r="G12" s="93">
        <f t="shared" ref="G12:G53" si="1">D12/$C$3</f>
        <v>4.89434274160587</v>
      </c>
      <c r="H12" s="93">
        <v>10.619089274899785</v>
      </c>
      <c r="I12" s="27"/>
      <c r="J12" s="27"/>
      <c r="K12" s="27"/>
      <c r="L12" s="27"/>
    </row>
    <row r="13" spans="1:12" s="86" customFormat="1" x14ac:dyDescent="0.3">
      <c r="A13" s="91">
        <v>1873</v>
      </c>
      <c r="B13" s="92">
        <v>59.25</v>
      </c>
      <c r="C13" s="93">
        <v>0.48552742616033762</v>
      </c>
      <c r="D13" s="93">
        <f t="shared" si="0"/>
        <v>116.52658227848103</v>
      </c>
      <c r="E13" s="93">
        <v>25.569114830834692</v>
      </c>
      <c r="F13" s="93">
        <v>11.30909090909091</v>
      </c>
      <c r="G13" s="93">
        <f t="shared" si="1"/>
        <v>4.9821104911916301</v>
      </c>
      <c r="H13" s="93">
        <v>10.30379746835443</v>
      </c>
      <c r="I13" s="27"/>
      <c r="J13" s="27"/>
      <c r="K13" s="27"/>
      <c r="L13" s="27"/>
    </row>
    <row r="14" spans="1:12" s="86" customFormat="1" x14ac:dyDescent="0.3">
      <c r="A14" s="91">
        <v>1874</v>
      </c>
      <c r="B14" s="92">
        <v>58.3125</v>
      </c>
      <c r="C14" s="93">
        <v>0.4933333333333334</v>
      </c>
      <c r="D14" s="93">
        <f t="shared" si="0"/>
        <v>118.40000000000002</v>
      </c>
      <c r="E14" s="93">
        <v>25.943557935051938</v>
      </c>
      <c r="F14" s="93">
        <v>11.30909090909091</v>
      </c>
      <c r="G14" s="93">
        <f t="shared" si="1"/>
        <v>5.0622087305998553</v>
      </c>
      <c r="H14" s="93">
        <v>10.469453376205788</v>
      </c>
      <c r="I14" s="27"/>
      <c r="J14" s="27"/>
      <c r="K14" s="27"/>
      <c r="L14" s="27"/>
    </row>
    <row r="15" spans="1:12" s="86" customFormat="1" x14ac:dyDescent="0.3">
      <c r="A15" s="91">
        <v>1875</v>
      </c>
      <c r="B15" s="93">
        <v>56.875</v>
      </c>
      <c r="C15" s="93">
        <v>0.50580219780219782</v>
      </c>
      <c r="D15" s="93">
        <f t="shared" si="0"/>
        <v>121.39252747252748</v>
      </c>
      <c r="E15" s="93">
        <v>26.742804944757786</v>
      </c>
      <c r="F15" s="93">
        <v>11.30909090909091</v>
      </c>
      <c r="G15" s="93">
        <f t="shared" si="1"/>
        <v>5.1901546655490822</v>
      </c>
      <c r="H15" s="93">
        <f t="shared" ref="H15:H26" si="2">D15/F15</f>
        <v>10.734065934065933</v>
      </c>
      <c r="I15" s="27"/>
      <c r="J15" s="27"/>
      <c r="K15" s="27"/>
      <c r="L15" s="27"/>
    </row>
    <row r="16" spans="1:12" s="86" customFormat="1" x14ac:dyDescent="0.3">
      <c r="A16" s="91">
        <v>1876</v>
      </c>
      <c r="B16" s="93">
        <v>52.75</v>
      </c>
      <c r="C16" s="93">
        <v>0.54535545023696685</v>
      </c>
      <c r="D16" s="93">
        <f t="shared" si="0"/>
        <v>130.88530805687205</v>
      </c>
      <c r="E16" s="93">
        <v>28.58318895313921</v>
      </c>
      <c r="F16" s="93">
        <v>11.30909090909091</v>
      </c>
      <c r="G16" s="93">
        <f t="shared" si="1"/>
        <v>5.5960198408171387</v>
      </c>
      <c r="H16" s="93">
        <f t="shared" si="2"/>
        <v>11.57345971563981</v>
      </c>
      <c r="I16" s="27"/>
      <c r="J16" s="27"/>
      <c r="K16" s="27"/>
      <c r="L16" s="27"/>
    </row>
    <row r="17" spans="1:12" s="86" customFormat="1" x14ac:dyDescent="0.3">
      <c r="A17" s="91">
        <v>1877</v>
      </c>
      <c r="B17" s="93">
        <v>54.8125</v>
      </c>
      <c r="C17" s="93">
        <v>0.52483466362599773</v>
      </c>
      <c r="D17" s="93">
        <f t="shared" si="0"/>
        <v>125.96031927023945</v>
      </c>
      <c r="E17" s="93">
        <v>27.636786007858575</v>
      </c>
      <c r="F17" s="93">
        <v>11.30909090909091</v>
      </c>
      <c r="G17" s="93">
        <f t="shared" si="1"/>
        <v>5.3854512493154667</v>
      </c>
      <c r="H17" s="93">
        <f t="shared" si="2"/>
        <v>11.137970353477764</v>
      </c>
      <c r="I17" s="27"/>
      <c r="J17" s="27"/>
      <c r="K17" s="27"/>
      <c r="L17" s="27"/>
    </row>
    <row r="18" spans="1:12" s="86" customFormat="1" x14ac:dyDescent="0.3">
      <c r="A18" s="91">
        <v>1878</v>
      </c>
      <c r="B18" s="93">
        <v>52.5625</v>
      </c>
      <c r="C18" s="93">
        <v>0.54730083234244953</v>
      </c>
      <c r="D18" s="93">
        <f t="shared" si="0"/>
        <v>131.35219976218789</v>
      </c>
      <c r="E18" s="93">
        <v>28.839583006871695</v>
      </c>
      <c r="F18" s="93">
        <v>11.30909090909091</v>
      </c>
      <c r="G18" s="93">
        <f t="shared" si="1"/>
        <v>5.6159818616523962</v>
      </c>
      <c r="H18" s="93">
        <f t="shared" si="2"/>
        <v>11.614744351961951</v>
      </c>
      <c r="I18" s="27"/>
      <c r="J18" s="27"/>
      <c r="K18" s="27"/>
      <c r="L18" s="27"/>
    </row>
    <row r="19" spans="1:12" s="86" customFormat="1" x14ac:dyDescent="0.3">
      <c r="A19" s="91">
        <v>1879</v>
      </c>
      <c r="B19" s="93">
        <v>51.25</v>
      </c>
      <c r="C19" s="93">
        <v>0.56131707317073176</v>
      </c>
      <c r="D19" s="93">
        <f t="shared" si="0"/>
        <v>134.71609756097561</v>
      </c>
      <c r="E19" s="93">
        <v>29.606802472948086</v>
      </c>
      <c r="F19" s="93">
        <v>11.30909090909091</v>
      </c>
      <c r="G19" s="93">
        <f t="shared" si="1"/>
        <v>5.7598057873776396</v>
      </c>
      <c r="H19" s="93">
        <f t="shared" si="2"/>
        <v>11.912195121951218</v>
      </c>
      <c r="I19" s="27"/>
      <c r="J19" s="27"/>
      <c r="K19" s="27"/>
      <c r="L19" s="27"/>
    </row>
    <row r="20" spans="1:12" s="86" customFormat="1" x14ac:dyDescent="0.3">
      <c r="A20" s="91">
        <v>1880</v>
      </c>
      <c r="B20" s="93">
        <v>52.25</v>
      </c>
      <c r="C20" s="93">
        <v>0.55057416267942583</v>
      </c>
      <c r="D20" s="93">
        <f t="shared" si="0"/>
        <v>132.13779904306219</v>
      </c>
      <c r="E20" s="93">
        <v>28.839583006871695</v>
      </c>
      <c r="F20" s="93">
        <v>11.30909090909091</v>
      </c>
      <c r="G20" s="93">
        <f t="shared" si="1"/>
        <v>5.6495702699158663</v>
      </c>
      <c r="H20" s="93">
        <f t="shared" si="2"/>
        <v>11.684210526315788</v>
      </c>
      <c r="I20" s="27"/>
      <c r="J20" s="27"/>
      <c r="K20" s="27"/>
      <c r="L20" s="27"/>
    </row>
    <row r="21" spans="1:12" s="86" customFormat="1" x14ac:dyDescent="0.3">
      <c r="A21" s="91">
        <v>1881</v>
      </c>
      <c r="B21" s="93">
        <v>51.6875</v>
      </c>
      <c r="C21" s="93">
        <v>0.55656590084643287</v>
      </c>
      <c r="D21" s="93">
        <f t="shared" si="0"/>
        <v>133.57581620314389</v>
      </c>
      <c r="E21" s="93">
        <v>29.3465668866409</v>
      </c>
      <c r="F21" s="93">
        <v>11.30909090909091</v>
      </c>
      <c r="G21" s="93">
        <f t="shared" si="1"/>
        <v>5.7110528967952412</v>
      </c>
      <c r="H21" s="93">
        <f t="shared" si="2"/>
        <v>11.811366384522367</v>
      </c>
      <c r="I21" s="27"/>
      <c r="J21" s="27"/>
      <c r="K21" s="27"/>
      <c r="L21" s="27"/>
    </row>
    <row r="22" spans="1:12" s="86" customFormat="1" x14ac:dyDescent="0.3">
      <c r="A22" s="91">
        <v>1882</v>
      </c>
      <c r="B22" s="93">
        <v>51.625</v>
      </c>
      <c r="C22" s="93">
        <v>0.55723970944309931</v>
      </c>
      <c r="D22" s="93">
        <f t="shared" si="0"/>
        <v>133.73753026634384</v>
      </c>
      <c r="E22" s="93">
        <v>29.090866236824322</v>
      </c>
      <c r="F22" s="93">
        <v>11.30909090909091</v>
      </c>
      <c r="G22" s="93">
        <f t="shared" si="1"/>
        <v>5.7179670044184805</v>
      </c>
      <c r="H22" s="93">
        <f t="shared" si="2"/>
        <v>11.825665859564165</v>
      </c>
      <c r="I22" s="27"/>
      <c r="J22" s="27"/>
      <c r="K22" s="27"/>
      <c r="L22" s="27"/>
    </row>
    <row r="23" spans="1:12" s="86" customFormat="1" x14ac:dyDescent="0.3">
      <c r="A23" s="91">
        <v>1883</v>
      </c>
      <c r="B23" s="93">
        <v>50.5625</v>
      </c>
      <c r="C23" s="93">
        <v>0.56894932014833133</v>
      </c>
      <c r="D23" s="93">
        <f t="shared" si="0"/>
        <v>136.54783683559953</v>
      </c>
      <c r="E23" s="93">
        <v>29.871694718060489</v>
      </c>
      <c r="F23" s="93">
        <v>11.30909090909091</v>
      </c>
      <c r="G23" s="93">
        <f t="shared" si="1"/>
        <v>5.8381220588994625</v>
      </c>
      <c r="H23" s="93">
        <f t="shared" si="2"/>
        <v>12.074165636588381</v>
      </c>
      <c r="I23" s="27"/>
      <c r="J23" s="27"/>
      <c r="K23" s="27"/>
      <c r="L23" s="27"/>
    </row>
    <row r="24" spans="1:12" s="86" customFormat="1" x14ac:dyDescent="0.3">
      <c r="A24" s="91">
        <v>1884</v>
      </c>
      <c r="B24" s="93">
        <v>50.625</v>
      </c>
      <c r="C24" s="93">
        <v>0.56824691358024693</v>
      </c>
      <c r="D24" s="93">
        <f t="shared" si="0"/>
        <v>136.37925925925927</v>
      </c>
      <c r="E24" s="93">
        <v>29.871694718060489</v>
      </c>
      <c r="F24" s="93">
        <v>11.30909090909091</v>
      </c>
      <c r="G24" s="93">
        <f t="shared" si="1"/>
        <v>5.8309145008020558</v>
      </c>
      <c r="H24" s="93">
        <f t="shared" si="2"/>
        <v>12.059259259259258</v>
      </c>
      <c r="I24" s="27"/>
      <c r="J24" s="27"/>
      <c r="K24" s="27"/>
      <c r="L24" s="27"/>
    </row>
    <row r="25" spans="1:12" s="86" customFormat="1" x14ac:dyDescent="0.3">
      <c r="A25" s="91">
        <v>1885</v>
      </c>
      <c r="B25" s="93">
        <v>48.5625</v>
      </c>
      <c r="C25" s="93">
        <v>0.59238095238095245</v>
      </c>
      <c r="D25" s="93">
        <f t="shared" si="0"/>
        <v>142.17142857142858</v>
      </c>
      <c r="E25" s="93">
        <v>30.991483345477963</v>
      </c>
      <c r="F25" s="93">
        <v>11.30909090909091</v>
      </c>
      <c r="G25" s="93">
        <f t="shared" si="1"/>
        <v>6.0785595182106364</v>
      </c>
      <c r="H25" s="93">
        <f t="shared" si="2"/>
        <v>12.571428571428571</v>
      </c>
      <c r="I25" s="27"/>
      <c r="J25" s="27"/>
      <c r="K25" s="27"/>
      <c r="L25" s="27"/>
    </row>
    <row r="26" spans="1:12" s="86" customFormat="1" x14ac:dyDescent="0.3">
      <c r="A26" s="91">
        <v>1886</v>
      </c>
      <c r="B26" s="93">
        <v>45.375</v>
      </c>
      <c r="C26" s="93">
        <v>0.63399449035812672</v>
      </c>
      <c r="D26" s="93">
        <f t="shared" si="0"/>
        <v>152.15867768595041</v>
      </c>
      <c r="E26" s="93">
        <v>33.490410822023065</v>
      </c>
      <c r="F26" s="93">
        <v>11.30909090909091</v>
      </c>
      <c r="G26" s="93">
        <f t="shared" si="1"/>
        <v>6.5055657653576642</v>
      </c>
      <c r="H26" s="93">
        <f t="shared" si="2"/>
        <v>13.454545454545453</v>
      </c>
      <c r="I26" s="27"/>
      <c r="J26" s="27"/>
      <c r="K26" s="27"/>
      <c r="L26" s="27"/>
    </row>
    <row r="27" spans="1:12" s="87" customFormat="1" x14ac:dyDescent="0.3">
      <c r="A27" s="91">
        <v>1887</v>
      </c>
      <c r="B27" s="93">
        <v>44.6875</v>
      </c>
      <c r="C27" s="93">
        <v>0.64374825174825179</v>
      </c>
      <c r="D27" s="93">
        <f t="shared" si="0"/>
        <v>154.49958041958044</v>
      </c>
      <c r="E27" s="93">
        <v>33.842941462254885</v>
      </c>
      <c r="F27" s="93">
        <v>11.30909090909091</v>
      </c>
      <c r="G27" s="93">
        <f t="shared" si="1"/>
        <v>6.6056513925170144</v>
      </c>
      <c r="H27" s="93">
        <f>D27/F27</f>
        <v>13.661538461538461</v>
      </c>
      <c r="I27" s="93"/>
      <c r="J27" s="93"/>
      <c r="K27" s="93"/>
      <c r="L27" s="93"/>
    </row>
    <row r="28" spans="1:12" s="87" customFormat="1" x14ac:dyDescent="0.3">
      <c r="A28" s="91">
        <v>1888</v>
      </c>
      <c r="B28" s="93">
        <v>42.875</v>
      </c>
      <c r="C28" s="93">
        <v>0.67096209912536442</v>
      </c>
      <c r="D28" s="93">
        <f t="shared" si="0"/>
        <v>161.03090379008745</v>
      </c>
      <c r="E28" s="93">
        <v>35.273118590281918</v>
      </c>
      <c r="F28" s="93">
        <v>11.30909090909091</v>
      </c>
      <c r="G28" s="93">
        <f t="shared" si="1"/>
        <v>6.8848990461365362</v>
      </c>
      <c r="H28" s="93">
        <f t="shared" ref="H28:H53" si="3">D28/F28</f>
        <v>14.239067055393583</v>
      </c>
      <c r="I28" s="93"/>
      <c r="J28" s="93"/>
      <c r="K28" s="93"/>
      <c r="L28" s="93"/>
    </row>
    <row r="29" spans="1:12" s="87" customFormat="1" x14ac:dyDescent="0.3">
      <c r="A29" s="91">
        <v>1889</v>
      </c>
      <c r="B29" s="93">
        <v>42.6875</v>
      </c>
      <c r="C29" s="93">
        <v>0.67390922401171305</v>
      </c>
      <c r="D29" s="93">
        <f t="shared" si="0"/>
        <v>161.73821376281114</v>
      </c>
      <c r="E29" s="93">
        <v>35.273118590281918</v>
      </c>
      <c r="F29" s="93">
        <v>11.30909090909091</v>
      </c>
      <c r="G29" s="93">
        <f t="shared" si="1"/>
        <v>6.9151401839672983</v>
      </c>
      <c r="H29" s="93">
        <f t="shared" si="3"/>
        <v>14.301610541727671</v>
      </c>
      <c r="I29" s="93"/>
      <c r="J29" s="93"/>
      <c r="K29" s="93"/>
      <c r="L29" s="93"/>
    </row>
    <row r="30" spans="1:12" s="87" customFormat="1" x14ac:dyDescent="0.3">
      <c r="A30" s="91">
        <v>1890</v>
      </c>
      <c r="B30" s="93">
        <v>47.75</v>
      </c>
      <c r="C30" s="93">
        <v>0.60246073298429326</v>
      </c>
      <c r="D30" s="93">
        <f t="shared" si="0"/>
        <v>144.59057591623039</v>
      </c>
      <c r="E30" s="93">
        <v>31.57771729744773</v>
      </c>
      <c r="F30" s="93">
        <v>11.30909090909091</v>
      </c>
      <c r="G30" s="93">
        <f t="shared" si="1"/>
        <v>6.1819905047770485</v>
      </c>
      <c r="H30" s="93">
        <f t="shared" si="3"/>
        <v>12.785340314136127</v>
      </c>
      <c r="I30" s="93"/>
      <c r="J30" s="93"/>
      <c r="K30" s="93"/>
      <c r="L30" s="93"/>
    </row>
    <row r="31" spans="1:12" s="87" customFormat="1" x14ac:dyDescent="0.3">
      <c r="A31" s="91">
        <v>1891</v>
      </c>
      <c r="B31" s="93">
        <v>45.0625</v>
      </c>
      <c r="C31" s="93">
        <v>0.6383911234396672</v>
      </c>
      <c r="D31" s="93">
        <f t="shared" si="0"/>
        <v>153.21386962552012</v>
      </c>
      <c r="E31" s="93">
        <v>33.490410822023065</v>
      </c>
      <c r="F31" s="93">
        <v>11.30909090909091</v>
      </c>
      <c r="G31" s="93">
        <f t="shared" si="1"/>
        <v>6.5506806458386473</v>
      </c>
      <c r="H31" s="93">
        <f t="shared" si="3"/>
        <v>13.547850208044382</v>
      </c>
      <c r="I31" s="93"/>
      <c r="J31" s="93"/>
      <c r="K31" s="93"/>
      <c r="L31" s="93"/>
    </row>
    <row r="32" spans="1:12" s="87" customFormat="1" x14ac:dyDescent="0.3">
      <c r="A32" s="91">
        <v>1892</v>
      </c>
      <c r="B32" s="93">
        <v>39.75</v>
      </c>
      <c r="C32" s="93">
        <v>0.72371069182389947</v>
      </c>
      <c r="D32" s="93">
        <f t="shared" si="0"/>
        <v>173.69056603773586</v>
      </c>
      <c r="E32" s="93">
        <v>38.123471607678439</v>
      </c>
      <c r="F32" s="93">
        <v>11.30909090909091</v>
      </c>
      <c r="G32" s="93">
        <f t="shared" si="1"/>
        <v>7.4261646944177118</v>
      </c>
      <c r="H32" s="93">
        <f t="shared" si="3"/>
        <v>15.358490566037736</v>
      </c>
      <c r="I32" s="93"/>
      <c r="J32" s="93"/>
      <c r="K32" s="93"/>
      <c r="L32" s="93"/>
    </row>
    <row r="33" spans="1:12" s="87" customFormat="1" x14ac:dyDescent="0.3">
      <c r="A33" s="91">
        <v>1893</v>
      </c>
      <c r="B33" s="93">
        <v>35.9</v>
      </c>
      <c r="C33" s="93">
        <v>0.80132311977715887</v>
      </c>
      <c r="D33" s="93">
        <f t="shared" si="0"/>
        <v>192.31754874651813</v>
      </c>
      <c r="E33" s="93">
        <v>42.510844686916641</v>
      </c>
      <c r="F33" s="93">
        <v>12.038709677662073</v>
      </c>
      <c r="G33" s="93">
        <f t="shared" si="1"/>
        <v>8.2225639722313115</v>
      </c>
      <c r="H33" s="93">
        <f t="shared" si="3"/>
        <v>15.974930361794915</v>
      </c>
      <c r="I33" s="93"/>
      <c r="J33" s="93"/>
      <c r="K33" s="93"/>
      <c r="L33" s="93"/>
    </row>
    <row r="34" spans="1:12" s="87" customFormat="1" x14ac:dyDescent="0.3">
      <c r="A34" s="91">
        <v>1894</v>
      </c>
      <c r="B34" s="93">
        <v>28.9375</v>
      </c>
      <c r="C34" s="93">
        <v>0.99412526997840167</v>
      </c>
      <c r="D34" s="93">
        <f t="shared" si="0"/>
        <v>238.59006479481641</v>
      </c>
      <c r="E34" s="93">
        <v>52.642295239953789</v>
      </c>
      <c r="F34" s="93">
        <v>11.942399999761152</v>
      </c>
      <c r="G34" s="93">
        <f t="shared" si="1"/>
        <v>10.20095193444852</v>
      </c>
      <c r="H34" s="93">
        <f t="shared" si="3"/>
        <v>19.978401728261339</v>
      </c>
      <c r="I34" s="93"/>
      <c r="J34" s="93"/>
      <c r="K34" s="93"/>
      <c r="L34" s="93"/>
    </row>
    <row r="35" spans="1:12" s="87" customFormat="1" x14ac:dyDescent="0.3">
      <c r="A35" s="91">
        <v>1895</v>
      </c>
      <c r="B35" s="93">
        <v>29.8125</v>
      </c>
      <c r="C35" s="93">
        <v>0.96494758909853262</v>
      </c>
      <c r="D35" s="93">
        <f t="shared" si="0"/>
        <v>231.58742138364784</v>
      </c>
      <c r="E35" s="93">
        <v>51.003022826488717</v>
      </c>
      <c r="F35" s="93">
        <v>11.662499999977223</v>
      </c>
      <c r="G35" s="93">
        <f t="shared" si="1"/>
        <v>9.9015529258902841</v>
      </c>
      <c r="H35" s="93">
        <f t="shared" si="3"/>
        <v>19.857442348047169</v>
      </c>
      <c r="I35" s="93"/>
      <c r="J35" s="93"/>
      <c r="K35" s="93"/>
      <c r="L35" s="93"/>
    </row>
    <row r="36" spans="1:12" s="87" customFormat="1" x14ac:dyDescent="0.3">
      <c r="A36" s="91">
        <v>1896</v>
      </c>
      <c r="B36" s="93">
        <v>30.8125</v>
      </c>
      <c r="C36" s="93">
        <v>0.9336308316430022</v>
      </c>
      <c r="D36" s="93">
        <f t="shared" si="0"/>
        <v>224.07139959432052</v>
      </c>
      <c r="E36" s="93">
        <v>48.768058904878529</v>
      </c>
      <c r="F36" s="93">
        <v>12.868965517213647</v>
      </c>
      <c r="G36" s="93">
        <f t="shared" si="1"/>
        <v>9.5802043522305578</v>
      </c>
      <c r="H36" s="93">
        <f t="shared" si="3"/>
        <v>17.411764705919879</v>
      </c>
      <c r="I36" s="93"/>
      <c r="J36" s="93"/>
      <c r="K36" s="93"/>
      <c r="L36" s="93"/>
    </row>
    <row r="37" spans="1:12" s="87" customFormat="1" x14ac:dyDescent="0.3">
      <c r="A37" s="91">
        <v>1897</v>
      </c>
      <c r="B37" s="93">
        <v>27.5625</v>
      </c>
      <c r="C37" s="93">
        <v>1.0437188208616781</v>
      </c>
      <c r="D37" s="93">
        <f t="shared" si="0"/>
        <v>250.49251700680276</v>
      </c>
      <c r="E37" s="93">
        <v>54.518487619285978</v>
      </c>
      <c r="F37" s="93">
        <v>15.389690722046129</v>
      </c>
      <c r="G37" s="93">
        <f t="shared" si="1"/>
        <v>10.709842960656838</v>
      </c>
      <c r="H37" s="93">
        <f t="shared" si="3"/>
        <v>16.276643990510202</v>
      </c>
      <c r="I37" s="93"/>
      <c r="J37" s="93"/>
      <c r="K37" s="93"/>
      <c r="L37" s="93"/>
    </row>
    <row r="38" spans="1:12" s="87" customFormat="1" x14ac:dyDescent="0.3">
      <c r="A38" s="91">
        <v>1898</v>
      </c>
      <c r="B38" s="93">
        <v>26.9375</v>
      </c>
      <c r="C38" s="93">
        <v>1.0679350348027843</v>
      </c>
      <c r="D38" s="93">
        <f t="shared" si="0"/>
        <v>256.30440835266825</v>
      </c>
      <c r="E38" s="93">
        <v>55.783417726461984</v>
      </c>
      <c r="F38" s="93">
        <v>15.55</v>
      </c>
      <c r="G38" s="93">
        <f t="shared" si="1"/>
        <v>10.958331196402936</v>
      </c>
      <c r="H38" s="93">
        <f t="shared" si="3"/>
        <v>16.482598607888633</v>
      </c>
      <c r="I38" s="93"/>
      <c r="J38" s="93"/>
      <c r="K38" s="93"/>
      <c r="L38" s="93"/>
    </row>
    <row r="39" spans="1:12" s="87" customFormat="1" x14ac:dyDescent="0.3">
      <c r="A39" s="91">
        <v>1899</v>
      </c>
      <c r="B39" s="93">
        <v>27.4375</v>
      </c>
      <c r="C39" s="93">
        <v>1.0484738041002279</v>
      </c>
      <c r="D39" s="93">
        <f t="shared" si="0"/>
        <v>251.63371298405471</v>
      </c>
      <c r="E39" s="93">
        <v>54.766863417095934</v>
      </c>
      <c r="F39" s="93">
        <v>15.631413612606368</v>
      </c>
      <c r="G39" s="93">
        <f t="shared" si="1"/>
        <v>10.758634955921789</v>
      </c>
      <c r="H39" s="93">
        <f t="shared" si="3"/>
        <v>16.097949886062644</v>
      </c>
      <c r="I39" s="93"/>
      <c r="J39" s="93"/>
      <c r="K39" s="93"/>
      <c r="L39" s="93"/>
    </row>
    <row r="40" spans="1:12" s="87" customFormat="1" x14ac:dyDescent="0.3">
      <c r="A40" s="91">
        <v>1900</v>
      </c>
      <c r="B40" s="93">
        <v>28.3125</v>
      </c>
      <c r="C40" s="93">
        <v>1.0160706401766004</v>
      </c>
      <c r="D40" s="93">
        <f t="shared" si="0"/>
        <v>243.8569536423841</v>
      </c>
      <c r="E40" s="93">
        <v>53.074289271755212</v>
      </c>
      <c r="F40" s="93">
        <v>14.928000000373203</v>
      </c>
      <c r="G40" s="93">
        <f t="shared" si="1"/>
        <v>10.426138511367913</v>
      </c>
      <c r="H40" s="93">
        <f t="shared" si="3"/>
        <v>16.335540838443706</v>
      </c>
      <c r="I40" s="93"/>
      <c r="J40" s="93"/>
      <c r="K40" s="93"/>
      <c r="L40" s="93"/>
    </row>
    <row r="41" spans="1:12" s="87" customFormat="1" x14ac:dyDescent="0.3">
      <c r="A41" s="91">
        <v>1901</v>
      </c>
      <c r="B41" s="93">
        <v>27.1875</v>
      </c>
      <c r="C41" s="93">
        <v>1.0581149425287357</v>
      </c>
      <c r="D41" s="93">
        <f t="shared" si="0"/>
        <v>253.94758620689657</v>
      </c>
      <c r="E41" s="93">
        <v>55.270466758862334</v>
      </c>
      <c r="F41" s="93">
        <v>16.226086956517332</v>
      </c>
      <c r="G41" s="93">
        <f t="shared" si="1"/>
        <v>10.857564932527966</v>
      </c>
      <c r="H41" s="93">
        <f t="shared" si="3"/>
        <v>15.650574712647931</v>
      </c>
      <c r="I41" s="93"/>
      <c r="J41" s="93"/>
      <c r="K41" s="93"/>
      <c r="L41" s="93"/>
    </row>
    <row r="42" spans="1:12" s="87" customFormat="1" x14ac:dyDescent="0.3">
      <c r="A42" s="91">
        <v>1902</v>
      </c>
      <c r="B42" s="93">
        <v>24.0625</v>
      </c>
      <c r="C42" s="93">
        <v>1.1955324675324677</v>
      </c>
      <c r="D42" s="93">
        <f t="shared" si="0"/>
        <v>286.92779220779227</v>
      </c>
      <c r="E42" s="93">
        <v>62.448449454818487</v>
      </c>
      <c r="F42" s="93">
        <v>17.771428571428572</v>
      </c>
      <c r="G42" s="93">
        <f t="shared" si="1"/>
        <v>12.267638300388741</v>
      </c>
      <c r="H42" s="93">
        <f t="shared" si="3"/>
        <v>16.145454545454548</v>
      </c>
      <c r="I42" s="93"/>
      <c r="J42" s="93"/>
      <c r="K42" s="93"/>
      <c r="L42" s="93"/>
    </row>
    <row r="43" spans="1:12" s="87" customFormat="1" x14ac:dyDescent="0.3">
      <c r="A43" s="91">
        <v>1903</v>
      </c>
      <c r="B43" s="93">
        <v>24.75</v>
      </c>
      <c r="C43" s="93">
        <v>1.1623232323232324</v>
      </c>
      <c r="D43" s="93">
        <f t="shared" si="0"/>
        <v>278.9575757575758</v>
      </c>
      <c r="E43" s="93">
        <v>60.713770303295746</v>
      </c>
      <c r="F43" s="93">
        <v>16.226086956517332</v>
      </c>
      <c r="G43" s="93">
        <f t="shared" si="1"/>
        <v>11.926870569822388</v>
      </c>
      <c r="H43" s="93">
        <f t="shared" si="3"/>
        <v>17.191919191923866</v>
      </c>
      <c r="I43" s="93"/>
      <c r="J43" s="93"/>
      <c r="K43" s="93"/>
      <c r="L43" s="93"/>
    </row>
    <row r="44" spans="1:12" s="87" customFormat="1" x14ac:dyDescent="0.3">
      <c r="A44" s="91">
        <v>1904</v>
      </c>
      <c r="B44" s="93">
        <v>26.40625</v>
      </c>
      <c r="C44" s="93">
        <v>1.0894201183431953</v>
      </c>
      <c r="D44" s="93">
        <f t="shared" si="0"/>
        <v>261.46082840236687</v>
      </c>
      <c r="E44" s="93">
        <v>56.905687668887843</v>
      </c>
      <c r="F44" s="93">
        <v>15.880851063872024</v>
      </c>
      <c r="G44" s="93">
        <f t="shared" si="1"/>
        <v>11.178794664259561</v>
      </c>
      <c r="H44" s="93">
        <f t="shared" si="3"/>
        <v>16.463905325399999</v>
      </c>
      <c r="I44" s="93"/>
      <c r="J44" s="93"/>
      <c r="K44" s="93"/>
      <c r="L44" s="93"/>
    </row>
    <row r="45" spans="1:12" s="87" customFormat="1" x14ac:dyDescent="0.3">
      <c r="A45" s="91">
        <v>1905</v>
      </c>
      <c r="B45" s="93">
        <v>27.84375</v>
      </c>
      <c r="C45" s="93">
        <v>1.03317620650954</v>
      </c>
      <c r="D45" s="93">
        <f t="shared" si="0"/>
        <v>247.96228956228961</v>
      </c>
      <c r="E45" s="93">
        <v>53.967795825151775</v>
      </c>
      <c r="F45" s="93">
        <v>14.92800000003732</v>
      </c>
      <c r="G45" s="93">
        <f t="shared" si="1"/>
        <v>10.601662728731011</v>
      </c>
      <c r="H45" s="93">
        <f t="shared" si="3"/>
        <v>16.610549943841754</v>
      </c>
      <c r="I45" s="93"/>
      <c r="J45" s="93"/>
      <c r="K45" s="93"/>
      <c r="L45" s="93"/>
    </row>
    <row r="46" spans="1:12" s="87" customFormat="1" x14ac:dyDescent="0.3">
      <c r="A46" s="91">
        <v>1906</v>
      </c>
      <c r="B46" s="93">
        <v>30.875</v>
      </c>
      <c r="C46" s="93">
        <v>0.93174089068825905</v>
      </c>
      <c r="D46" s="93">
        <f t="shared" si="0"/>
        <v>223.61781376518218</v>
      </c>
      <c r="E46" s="93">
        <v>48.669338137864607</v>
      </c>
      <c r="F46" s="93">
        <v>13.570909090878251</v>
      </c>
      <c r="G46" s="93">
        <f t="shared" si="1"/>
        <v>9.5608112260114666</v>
      </c>
      <c r="H46" s="93">
        <f t="shared" si="3"/>
        <v>16.477732793559714</v>
      </c>
      <c r="I46" s="93"/>
      <c r="J46" s="93"/>
      <c r="K46" s="93"/>
      <c r="L46" s="93"/>
    </row>
    <row r="47" spans="1:12" s="87" customFormat="1" x14ac:dyDescent="0.3">
      <c r="A47" s="91">
        <v>1907</v>
      </c>
      <c r="B47" s="93">
        <v>30.1875</v>
      </c>
      <c r="C47" s="93">
        <v>0.95296066252588008</v>
      </c>
      <c r="D47" s="93">
        <f t="shared" si="0"/>
        <v>228.71055900621121</v>
      </c>
      <c r="E47" s="93">
        <v>49.777749565435023</v>
      </c>
      <c r="F47" s="93">
        <v>14.928000000373203</v>
      </c>
      <c r="G47" s="93">
        <f t="shared" si="1"/>
        <v>9.7785522684258073</v>
      </c>
      <c r="H47" s="93">
        <f t="shared" si="3"/>
        <v>15.320910972701864</v>
      </c>
      <c r="I47" s="93"/>
      <c r="J47" s="93"/>
      <c r="K47" s="93"/>
      <c r="L47" s="93"/>
    </row>
    <row r="48" spans="1:12" s="87" customFormat="1" x14ac:dyDescent="0.3">
      <c r="A48" s="91">
        <v>1908</v>
      </c>
      <c r="B48" s="93">
        <v>24.40625</v>
      </c>
      <c r="C48" s="93">
        <v>1.1786939820742639</v>
      </c>
      <c r="D48" s="93">
        <f t="shared" si="0"/>
        <v>282.88655569782333</v>
      </c>
      <c r="E48" s="93">
        <v>61.568893828694279</v>
      </c>
      <c r="F48" s="93">
        <v>17.358139534833263</v>
      </c>
      <c r="G48" s="93">
        <f t="shared" si="1"/>
        <v>12.094854662355095</v>
      </c>
      <c r="H48" s="93">
        <f t="shared" si="3"/>
        <v>16.297055057665812</v>
      </c>
      <c r="I48" s="93"/>
      <c r="J48" s="93"/>
      <c r="K48" s="93"/>
      <c r="L48" s="93"/>
    </row>
    <row r="49" spans="1:12" s="87" customFormat="1" x14ac:dyDescent="0.3">
      <c r="A49" s="91">
        <v>1909</v>
      </c>
      <c r="B49" s="93">
        <v>23.71875</v>
      </c>
      <c r="C49" s="93">
        <v>1.2128590250329381</v>
      </c>
      <c r="D49" s="93">
        <f t="shared" si="0"/>
        <v>291.08616600790515</v>
      </c>
      <c r="E49" s="93">
        <v>63.353499446917297</v>
      </c>
      <c r="F49" s="93">
        <v>17.771428571428572</v>
      </c>
      <c r="G49" s="93">
        <f t="shared" si="1"/>
        <v>12.445430159814663</v>
      </c>
      <c r="H49" s="93">
        <f t="shared" si="3"/>
        <v>16.379446640316207</v>
      </c>
      <c r="I49" s="93"/>
      <c r="J49" s="93"/>
      <c r="K49" s="93"/>
      <c r="L49" s="93"/>
    </row>
    <row r="50" spans="1:12" s="87" customFormat="1" x14ac:dyDescent="0.3">
      <c r="A50" s="91">
        <v>1910</v>
      </c>
      <c r="B50" s="93">
        <v>24.65625</v>
      </c>
      <c r="C50" s="93">
        <v>1.1667427122940432</v>
      </c>
      <c r="D50" s="93">
        <f t="shared" si="0"/>
        <v>280.0182509505704</v>
      </c>
      <c r="E50" s="93">
        <v>60.944621140950865</v>
      </c>
      <c r="F50" s="93">
        <v>15.232653022365682</v>
      </c>
      <c r="G50" s="93">
        <f t="shared" si="1"/>
        <v>11.972219887578367</v>
      </c>
      <c r="H50" s="93">
        <f t="shared" si="3"/>
        <v>18.382763038022816</v>
      </c>
      <c r="I50" s="93"/>
      <c r="J50" s="93"/>
      <c r="K50" s="93"/>
      <c r="L50" s="93"/>
    </row>
    <row r="51" spans="1:12" s="87" customFormat="1" x14ac:dyDescent="0.3">
      <c r="A51" s="91">
        <v>1911</v>
      </c>
      <c r="B51" s="93">
        <v>24.59375</v>
      </c>
      <c r="C51" s="93">
        <v>1.1697077509529861</v>
      </c>
      <c r="D51" s="93">
        <f t="shared" si="0"/>
        <v>280.72986022871663</v>
      </c>
      <c r="E51" s="93">
        <v>61.099499466594956</v>
      </c>
      <c r="F51" s="93">
        <v>15.880851063872024</v>
      </c>
      <c r="G51" s="93">
        <f t="shared" si="1"/>
        <v>12.002644842819985</v>
      </c>
      <c r="H51" s="93">
        <f t="shared" si="3"/>
        <v>17.677255400207116</v>
      </c>
      <c r="I51" s="93"/>
      <c r="J51" s="93"/>
      <c r="K51" s="93"/>
      <c r="L51" s="93"/>
    </row>
    <row r="52" spans="1:12" s="87" customFormat="1" x14ac:dyDescent="0.3">
      <c r="A52" s="91">
        <v>1912</v>
      </c>
      <c r="B52" s="93">
        <v>28.0625</v>
      </c>
      <c r="C52" s="93">
        <v>1.0251224944320714</v>
      </c>
      <c r="D52" s="93">
        <f t="shared" si="0"/>
        <v>246.02939866369712</v>
      </c>
      <c r="E52" s="93">
        <v>53.547111447895581</v>
      </c>
      <c r="F52" s="93">
        <v>13.758525345590419</v>
      </c>
      <c r="G52" s="93">
        <f t="shared" si="1"/>
        <v>10.519021705233106</v>
      </c>
      <c r="H52" s="93">
        <f t="shared" si="3"/>
        <v>17.881959910954343</v>
      </c>
      <c r="I52" s="93"/>
      <c r="J52" s="93"/>
      <c r="K52" s="93"/>
      <c r="L52" s="93"/>
    </row>
    <row r="53" spans="1:12" s="87" customFormat="1" x14ac:dyDescent="0.3">
      <c r="A53" s="91">
        <v>1913</v>
      </c>
      <c r="B53" s="93">
        <v>27.5625</v>
      </c>
      <c r="C53" s="93">
        <v>1.0437188208616781</v>
      </c>
      <c r="D53" s="93">
        <f t="shared" si="0"/>
        <v>250.49251700680276</v>
      </c>
      <c r="E53" s="93">
        <v>54.518487619285978</v>
      </c>
      <c r="F53" s="93">
        <v>14.353846153842705</v>
      </c>
      <c r="G53" s="93">
        <f t="shared" si="1"/>
        <v>10.709842960656838</v>
      </c>
      <c r="H53" s="93">
        <f t="shared" si="3"/>
        <v>17.451247165537076</v>
      </c>
      <c r="I53" s="93"/>
      <c r="J53" s="93"/>
      <c r="K53" s="93"/>
      <c r="L53" s="93"/>
    </row>
    <row r="54" spans="1:12" s="87" customFormat="1" x14ac:dyDescent="0.3">
      <c r="A54" s="91"/>
      <c r="B54" s="93"/>
      <c r="C54" s="93"/>
      <c r="D54" s="93"/>
      <c r="E54" s="93"/>
      <c r="F54" s="93"/>
      <c r="G54" s="93"/>
      <c r="H54" s="93"/>
      <c r="I54" s="93"/>
      <c r="J54" s="93"/>
      <c r="K54" s="4"/>
      <c r="L54" s="93"/>
    </row>
    <row r="55" spans="1:12" x14ac:dyDescent="0.3">
      <c r="A55" s="65"/>
      <c r="B55" s="7">
        <v>1</v>
      </c>
      <c r="C55" s="7" t="s">
        <v>88</v>
      </c>
      <c r="D55" s="97">
        <v>15</v>
      </c>
      <c r="E55" s="6" t="s">
        <v>541</v>
      </c>
      <c r="F55" s="65"/>
      <c r="H55" s="41"/>
      <c r="J55" s="4" t="s">
        <v>800</v>
      </c>
    </row>
    <row r="56" spans="1:12" x14ac:dyDescent="0.3">
      <c r="A56" s="65"/>
      <c r="B56" s="7"/>
      <c r="C56" s="7"/>
      <c r="D56" s="97"/>
      <c r="E56" s="6"/>
      <c r="F56" s="65"/>
      <c r="H56" s="41"/>
    </row>
    <row r="57" spans="1:12" x14ac:dyDescent="0.3">
      <c r="A57" s="117" t="s">
        <v>816</v>
      </c>
      <c r="B57" s="117"/>
      <c r="C57" s="7"/>
      <c r="D57" s="97"/>
      <c r="E57" s="6"/>
      <c r="F57" s="65"/>
      <c r="H57" s="41"/>
    </row>
    <row r="58" spans="1:12" x14ac:dyDescent="0.3">
      <c r="A58" s="40"/>
      <c r="B58" s="7"/>
      <c r="C58" s="7"/>
      <c r="D58" s="97"/>
      <c r="E58" s="6"/>
      <c r="F58" s="65"/>
      <c r="H58" s="41"/>
    </row>
    <row r="59" spans="1:12" x14ac:dyDescent="0.3">
      <c r="B59" s="4">
        <v>1</v>
      </c>
      <c r="C59" s="40" t="s">
        <v>51</v>
      </c>
      <c r="D59" s="95">
        <v>10</v>
      </c>
      <c r="E59" s="40" t="s">
        <v>48</v>
      </c>
      <c r="J59" s="4" t="s">
        <v>801</v>
      </c>
    </row>
    <row r="60" spans="1:12" x14ac:dyDescent="0.3">
      <c r="B60" s="4">
        <v>1</v>
      </c>
      <c r="C60" s="40" t="s">
        <v>52</v>
      </c>
      <c r="D60" s="95">
        <v>20</v>
      </c>
      <c r="E60" s="40" t="s">
        <v>49</v>
      </c>
      <c r="J60" s="4" t="s">
        <v>801</v>
      </c>
    </row>
    <row r="61" spans="1:12" x14ac:dyDescent="0.3">
      <c r="B61" s="4">
        <v>1</v>
      </c>
      <c r="C61" s="40" t="s">
        <v>52</v>
      </c>
      <c r="D61" s="95">
        <v>2</v>
      </c>
      <c r="E61" s="40" t="s">
        <v>53</v>
      </c>
      <c r="J61" s="4" t="s">
        <v>801</v>
      </c>
    </row>
    <row r="62" spans="1:12" x14ac:dyDescent="0.3">
      <c r="C62" s="40"/>
      <c r="E62" s="40"/>
    </row>
    <row r="63" spans="1:12" x14ac:dyDescent="0.3">
      <c r="A63" s="37" t="s">
        <v>795</v>
      </c>
      <c r="B63" s="4">
        <v>1</v>
      </c>
      <c r="C63" s="40" t="s">
        <v>47</v>
      </c>
      <c r="D63" s="95">
        <v>25</v>
      </c>
      <c r="E63" s="40" t="s">
        <v>48</v>
      </c>
      <c r="F63" s="4">
        <f>D63*D60</f>
        <v>500</v>
      </c>
      <c r="G63" s="40" t="s">
        <v>49</v>
      </c>
      <c r="H63" s="41">
        <v>2.5</v>
      </c>
      <c r="I63" s="40" t="s">
        <v>50</v>
      </c>
      <c r="J63" s="4" t="s">
        <v>801</v>
      </c>
    </row>
    <row r="64" spans="1:12" x14ac:dyDescent="0.3">
      <c r="A64" s="186" t="s">
        <v>56</v>
      </c>
      <c r="B64" s="4">
        <v>1</v>
      </c>
      <c r="C64" s="40" t="s">
        <v>47</v>
      </c>
      <c r="D64" s="95">
        <v>49.5</v>
      </c>
      <c r="E64" s="40" t="s">
        <v>48</v>
      </c>
      <c r="J64" s="4" t="s">
        <v>801</v>
      </c>
    </row>
    <row r="65" spans="1:10" x14ac:dyDescent="0.3">
      <c r="A65" s="25"/>
      <c r="C65" s="40"/>
      <c r="E65" s="40"/>
      <c r="G65" s="40"/>
    </row>
    <row r="66" spans="1:10" x14ac:dyDescent="0.3">
      <c r="A66" s="187" t="s">
        <v>56</v>
      </c>
      <c r="B66" s="4">
        <v>1</v>
      </c>
      <c r="C66" s="40" t="s">
        <v>47</v>
      </c>
      <c r="D66" s="95">
        <v>49.5</v>
      </c>
      <c r="E66" s="40" t="s">
        <v>48</v>
      </c>
      <c r="F66" s="41">
        <v>2.5</v>
      </c>
      <c r="G66" s="40" t="s">
        <v>50</v>
      </c>
      <c r="J66" s="12" t="s">
        <v>802</v>
      </c>
    </row>
    <row r="67" spans="1:10" x14ac:dyDescent="0.3">
      <c r="A67" s="187" t="s">
        <v>57</v>
      </c>
      <c r="B67" s="4">
        <v>1</v>
      </c>
      <c r="C67" s="40" t="s">
        <v>47</v>
      </c>
      <c r="D67" s="95">
        <v>51.8</v>
      </c>
      <c r="E67" s="40" t="s">
        <v>48</v>
      </c>
      <c r="G67" s="40"/>
      <c r="J67" s="12" t="s">
        <v>802</v>
      </c>
    </row>
    <row r="68" spans="1:10" x14ac:dyDescent="0.3">
      <c r="A68" s="187"/>
      <c r="C68" s="40"/>
      <c r="E68" s="40"/>
      <c r="G68" s="40"/>
      <c r="J68" s="12"/>
    </row>
    <row r="69" spans="1:10" x14ac:dyDescent="0.3">
      <c r="A69" s="37" t="s">
        <v>554</v>
      </c>
      <c r="B69" s="65">
        <v>1</v>
      </c>
      <c r="C69" s="40" t="s">
        <v>47</v>
      </c>
      <c r="D69" s="39">
        <v>52.5</v>
      </c>
      <c r="E69" s="40" t="s">
        <v>48</v>
      </c>
      <c r="J69" s="4" t="s">
        <v>803</v>
      </c>
    </row>
    <row r="70" spans="1:10" x14ac:dyDescent="0.3">
      <c r="A70" s="37" t="s">
        <v>555</v>
      </c>
      <c r="B70" s="65">
        <v>1</v>
      </c>
      <c r="C70" s="40" t="s">
        <v>47</v>
      </c>
      <c r="D70" s="39">
        <v>55.52</v>
      </c>
      <c r="E70" s="40" t="s">
        <v>48</v>
      </c>
      <c r="J70" s="4" t="s">
        <v>803</v>
      </c>
    </row>
    <row r="71" spans="1:10" x14ac:dyDescent="0.3">
      <c r="A71" s="37" t="s">
        <v>556</v>
      </c>
      <c r="B71" s="65">
        <v>1</v>
      </c>
      <c r="C71" s="40" t="s">
        <v>47</v>
      </c>
      <c r="D71" s="39">
        <v>61.082999999999998</v>
      </c>
      <c r="E71" s="40" t="s">
        <v>48</v>
      </c>
      <c r="J71" s="4" t="s">
        <v>803</v>
      </c>
    </row>
    <row r="72" spans="1:10" x14ac:dyDescent="0.3">
      <c r="A72" s="37" t="s">
        <v>557</v>
      </c>
      <c r="B72" s="65">
        <v>1</v>
      </c>
      <c r="C72" s="40" t="s">
        <v>47</v>
      </c>
      <c r="D72" s="39">
        <v>58.503</v>
      </c>
      <c r="E72" s="40" t="s">
        <v>48</v>
      </c>
      <c r="J72" s="4" t="s">
        <v>803</v>
      </c>
    </row>
    <row r="73" spans="1:10" x14ac:dyDescent="0.3">
      <c r="A73" s="37" t="s">
        <v>558</v>
      </c>
      <c r="B73" s="65">
        <v>1</v>
      </c>
      <c r="C73" s="40" t="s">
        <v>47</v>
      </c>
      <c r="D73" s="39">
        <v>58.503</v>
      </c>
      <c r="E73" s="40" t="s">
        <v>48</v>
      </c>
      <c r="J73" s="4" t="s">
        <v>803</v>
      </c>
    </row>
    <row r="74" spans="1:10" x14ac:dyDescent="0.3">
      <c r="A74" s="37" t="s">
        <v>57</v>
      </c>
      <c r="B74" s="65">
        <v>1</v>
      </c>
      <c r="C74" s="40" t="s">
        <v>47</v>
      </c>
      <c r="D74" s="39">
        <v>52.5</v>
      </c>
      <c r="E74" s="40" t="s">
        <v>48</v>
      </c>
      <c r="J74" s="4" t="s">
        <v>803</v>
      </c>
    </row>
    <row r="75" spans="1:10" x14ac:dyDescent="0.3">
      <c r="A75" s="37" t="s">
        <v>559</v>
      </c>
      <c r="B75" s="65">
        <v>1</v>
      </c>
      <c r="C75" s="40" t="s">
        <v>47</v>
      </c>
      <c r="D75" s="39">
        <v>50.5</v>
      </c>
      <c r="E75" s="40" t="s">
        <v>48</v>
      </c>
      <c r="J75" s="4" t="s">
        <v>803</v>
      </c>
    </row>
    <row r="76" spans="1:10" x14ac:dyDescent="0.3">
      <c r="A76" s="37" t="s">
        <v>560</v>
      </c>
      <c r="B76" s="65">
        <v>1</v>
      </c>
      <c r="C76" s="40" t="s">
        <v>47</v>
      </c>
      <c r="D76" s="39">
        <v>50</v>
      </c>
      <c r="E76" s="40" t="s">
        <v>48</v>
      </c>
      <c r="J76" s="4" t="s">
        <v>803</v>
      </c>
    </row>
    <row r="77" spans="1:10" x14ac:dyDescent="0.3">
      <c r="A77" s="37" t="s">
        <v>561</v>
      </c>
      <c r="B77" s="65">
        <v>1</v>
      </c>
      <c r="C77" s="40" t="s">
        <v>47</v>
      </c>
      <c r="D77" s="39">
        <f>(43+46+52)/3</f>
        <v>47</v>
      </c>
      <c r="E77" s="40" t="s">
        <v>48</v>
      </c>
      <c r="J77" s="4" t="s">
        <v>803</v>
      </c>
    </row>
    <row r="78" spans="1:10" x14ac:dyDescent="0.3">
      <c r="A78" s="37" t="s">
        <v>562</v>
      </c>
      <c r="B78" s="65">
        <v>1</v>
      </c>
      <c r="C78" s="40" t="s">
        <v>47</v>
      </c>
      <c r="D78" s="39">
        <f>(38.5+43)/2</f>
        <v>40.75</v>
      </c>
      <c r="E78" s="40" t="s">
        <v>48</v>
      </c>
      <c r="J78" s="4" t="s">
        <v>803</v>
      </c>
    </row>
    <row r="79" spans="1:10" x14ac:dyDescent="0.3">
      <c r="A79" s="37"/>
      <c r="B79" s="65"/>
      <c r="C79" s="40"/>
      <c r="D79" s="39"/>
      <c r="E79" s="40"/>
    </row>
    <row r="80" spans="1:10" x14ac:dyDescent="0.3">
      <c r="A80" s="37" t="s">
        <v>554</v>
      </c>
      <c r="B80" s="65">
        <v>1</v>
      </c>
      <c r="C80" s="40" t="s">
        <v>47</v>
      </c>
      <c r="D80" s="95">
        <v>52.5</v>
      </c>
      <c r="E80" s="40" t="s">
        <v>48</v>
      </c>
      <c r="J80" s="65" t="s">
        <v>804</v>
      </c>
    </row>
    <row r="81" spans="1:10" x14ac:dyDescent="0.3">
      <c r="A81" s="37" t="s">
        <v>555</v>
      </c>
      <c r="B81" s="65">
        <v>1</v>
      </c>
      <c r="C81" s="40" t="s">
        <v>47</v>
      </c>
      <c r="D81" s="95">
        <v>55.52</v>
      </c>
      <c r="E81" s="40" t="s">
        <v>48</v>
      </c>
      <c r="J81" s="65" t="s">
        <v>804</v>
      </c>
    </row>
    <row r="82" spans="1:10" x14ac:dyDescent="0.3">
      <c r="A82" s="37" t="s">
        <v>556</v>
      </c>
      <c r="B82" s="65">
        <v>1</v>
      </c>
      <c r="C82" s="40" t="s">
        <v>47</v>
      </c>
      <c r="D82" s="95">
        <v>61.082999999999998</v>
      </c>
      <c r="E82" s="40" t="s">
        <v>48</v>
      </c>
      <c r="J82" s="65" t="s">
        <v>804</v>
      </c>
    </row>
    <row r="83" spans="1:10" x14ac:dyDescent="0.3">
      <c r="A83" s="37" t="s">
        <v>561</v>
      </c>
      <c r="B83" s="65">
        <v>1</v>
      </c>
      <c r="C83" s="40" t="s">
        <v>47</v>
      </c>
      <c r="D83" s="95">
        <f>(43+46+52)/3</f>
        <v>47</v>
      </c>
      <c r="E83" s="40" t="s">
        <v>48</v>
      </c>
      <c r="J83" s="65" t="s">
        <v>804</v>
      </c>
    </row>
    <row r="84" spans="1:10" x14ac:dyDescent="0.3">
      <c r="A84" s="37" t="s">
        <v>562</v>
      </c>
      <c r="B84" s="65">
        <v>1</v>
      </c>
      <c r="C84" s="40" t="s">
        <v>47</v>
      </c>
      <c r="D84" s="95">
        <f>(38.5+43)/2</f>
        <v>40.75</v>
      </c>
      <c r="E84" s="40" t="s">
        <v>48</v>
      </c>
      <c r="J84" s="65" t="s">
        <v>804</v>
      </c>
    </row>
    <row r="85" spans="1:10" x14ac:dyDescent="0.3">
      <c r="A85" s="37"/>
      <c r="B85" s="65"/>
      <c r="C85" s="40"/>
      <c r="E85" s="40"/>
      <c r="J85" s="65"/>
    </row>
    <row r="86" spans="1:10" x14ac:dyDescent="0.3">
      <c r="A86" s="37" t="s">
        <v>554</v>
      </c>
      <c r="B86" s="65">
        <v>1</v>
      </c>
      <c r="C86" s="40" t="s">
        <v>47</v>
      </c>
      <c r="D86" s="95">
        <v>53.5</v>
      </c>
      <c r="E86" s="40" t="s">
        <v>48</v>
      </c>
      <c r="J86" s="4" t="s">
        <v>805</v>
      </c>
    </row>
    <row r="87" spans="1:10" x14ac:dyDescent="0.3">
      <c r="A87" s="37" t="s">
        <v>531</v>
      </c>
      <c r="B87" s="65">
        <v>1</v>
      </c>
      <c r="C87" s="40" t="s">
        <v>47</v>
      </c>
      <c r="D87" s="95">
        <v>50</v>
      </c>
      <c r="E87" s="40" t="s">
        <v>48</v>
      </c>
      <c r="J87" s="4" t="s">
        <v>805</v>
      </c>
    </row>
    <row r="88" spans="1:10" x14ac:dyDescent="0.3">
      <c r="A88" s="37"/>
      <c r="B88" s="65"/>
      <c r="C88" s="40"/>
      <c r="E88" s="40"/>
    </row>
    <row r="89" spans="1:10" x14ac:dyDescent="0.3">
      <c r="A89" s="37" t="s">
        <v>554</v>
      </c>
      <c r="B89" s="65">
        <v>1</v>
      </c>
      <c r="C89" s="40" t="s">
        <v>47</v>
      </c>
      <c r="D89" s="39">
        <v>53.5</v>
      </c>
      <c r="E89" s="40" t="s">
        <v>48</v>
      </c>
      <c r="J89" s="4" t="s">
        <v>806</v>
      </c>
    </row>
    <row r="90" spans="1:10" x14ac:dyDescent="0.3">
      <c r="A90" s="37" t="s">
        <v>531</v>
      </c>
      <c r="B90" s="65">
        <v>1</v>
      </c>
      <c r="C90" s="40" t="s">
        <v>47</v>
      </c>
      <c r="D90" s="39">
        <v>50</v>
      </c>
      <c r="E90" s="40" t="s">
        <v>48</v>
      </c>
      <c r="J90" s="4" t="s">
        <v>806</v>
      </c>
    </row>
    <row r="91" spans="1:10" x14ac:dyDescent="0.3">
      <c r="A91" s="37" t="s">
        <v>555</v>
      </c>
      <c r="B91" s="65">
        <v>1</v>
      </c>
      <c r="C91" s="40" t="s">
        <v>47</v>
      </c>
      <c r="D91" s="39">
        <v>55.52</v>
      </c>
      <c r="E91" s="40" t="s">
        <v>48</v>
      </c>
      <c r="J91" s="4" t="s">
        <v>806</v>
      </c>
    </row>
    <row r="92" spans="1:10" x14ac:dyDescent="0.3">
      <c r="A92" s="37" t="s">
        <v>556</v>
      </c>
      <c r="B92" s="65">
        <v>1</v>
      </c>
      <c r="C92" s="40" t="s">
        <v>47</v>
      </c>
      <c r="D92" s="39">
        <v>61.082999999999998</v>
      </c>
      <c r="E92" s="40" t="s">
        <v>48</v>
      </c>
      <c r="J92" s="4" t="s">
        <v>806</v>
      </c>
    </row>
    <row r="93" spans="1:10" x14ac:dyDescent="0.3">
      <c r="A93" s="37" t="s">
        <v>557</v>
      </c>
      <c r="B93" s="65">
        <v>1</v>
      </c>
      <c r="C93" s="40" t="s">
        <v>47</v>
      </c>
      <c r="D93" s="39">
        <v>58.503</v>
      </c>
      <c r="E93" s="40" t="s">
        <v>48</v>
      </c>
      <c r="J93" s="4" t="s">
        <v>806</v>
      </c>
    </row>
    <row r="94" spans="1:10" x14ac:dyDescent="0.3">
      <c r="A94" s="37" t="s">
        <v>558</v>
      </c>
      <c r="B94" s="65">
        <v>1</v>
      </c>
      <c r="C94" s="40" t="s">
        <v>47</v>
      </c>
      <c r="D94" s="39">
        <v>58.503</v>
      </c>
      <c r="E94" s="40" t="s">
        <v>48</v>
      </c>
      <c r="J94" s="4" t="s">
        <v>806</v>
      </c>
    </row>
    <row r="95" spans="1:10" x14ac:dyDescent="0.3">
      <c r="A95" s="37" t="s">
        <v>57</v>
      </c>
      <c r="B95" s="65">
        <v>1</v>
      </c>
      <c r="C95" s="40" t="s">
        <v>47</v>
      </c>
      <c r="D95" s="39">
        <v>52.5</v>
      </c>
      <c r="E95" s="40" t="s">
        <v>48</v>
      </c>
      <c r="J95" s="4" t="s">
        <v>806</v>
      </c>
    </row>
    <row r="96" spans="1:10" x14ac:dyDescent="0.3">
      <c r="A96" s="37" t="s">
        <v>559</v>
      </c>
      <c r="B96" s="65">
        <v>1</v>
      </c>
      <c r="C96" s="40" t="s">
        <v>47</v>
      </c>
      <c r="D96" s="39">
        <v>50.5</v>
      </c>
      <c r="E96" s="40" t="s">
        <v>48</v>
      </c>
      <c r="J96" s="4" t="s">
        <v>806</v>
      </c>
    </row>
    <row r="97" spans="1:10" x14ac:dyDescent="0.3">
      <c r="A97" s="37" t="s">
        <v>560</v>
      </c>
      <c r="B97" s="65">
        <v>1</v>
      </c>
      <c r="C97" s="40" t="s">
        <v>47</v>
      </c>
      <c r="D97" s="39">
        <v>50</v>
      </c>
      <c r="E97" s="40" t="s">
        <v>48</v>
      </c>
      <c r="J97" s="4" t="s">
        <v>806</v>
      </c>
    </row>
    <row r="98" spans="1:10" x14ac:dyDescent="0.3">
      <c r="A98" s="37" t="s">
        <v>561</v>
      </c>
      <c r="B98" s="65">
        <v>1</v>
      </c>
      <c r="C98" s="40" t="s">
        <v>47</v>
      </c>
      <c r="D98" s="39">
        <f>(43+46+52)/3</f>
        <v>47</v>
      </c>
      <c r="E98" s="40" t="s">
        <v>48</v>
      </c>
      <c r="J98" s="4" t="s">
        <v>806</v>
      </c>
    </row>
    <row r="99" spans="1:10" x14ac:dyDescent="0.3">
      <c r="A99" s="37" t="s">
        <v>562</v>
      </c>
      <c r="B99" s="65">
        <v>1</v>
      </c>
      <c r="C99" s="40" t="s">
        <v>47</v>
      </c>
      <c r="D99" s="39">
        <f>(38.5+43)/2</f>
        <v>40.75</v>
      </c>
      <c r="E99" s="40" t="s">
        <v>48</v>
      </c>
      <c r="J99" s="4" t="s">
        <v>806</v>
      </c>
    </row>
    <row r="100" spans="1:10" x14ac:dyDescent="0.3">
      <c r="A100" s="37" t="s">
        <v>554</v>
      </c>
      <c r="B100" s="65">
        <v>1</v>
      </c>
      <c r="C100" s="40" t="s">
        <v>47</v>
      </c>
      <c r="D100" s="39">
        <v>53.5</v>
      </c>
      <c r="E100" s="40" t="s">
        <v>48</v>
      </c>
      <c r="J100" s="4" t="s">
        <v>807</v>
      </c>
    </row>
    <row r="101" spans="1:10" x14ac:dyDescent="0.3">
      <c r="A101" s="37" t="s">
        <v>531</v>
      </c>
      <c r="B101" s="65">
        <v>1</v>
      </c>
      <c r="C101" s="40" t="s">
        <v>47</v>
      </c>
      <c r="D101" s="39">
        <v>50</v>
      </c>
      <c r="E101" s="40" t="s">
        <v>48</v>
      </c>
      <c r="J101" s="4" t="s">
        <v>807</v>
      </c>
    </row>
    <row r="102" spans="1:10" x14ac:dyDescent="0.3">
      <c r="A102" s="37" t="s">
        <v>563</v>
      </c>
      <c r="B102" s="65">
        <v>1</v>
      </c>
      <c r="C102" s="40" t="s">
        <v>47</v>
      </c>
      <c r="D102" s="39">
        <f>(56.25+57.15+57.4+58.55+59*4+59.8+61.25+62.65+64.25)/12</f>
        <v>59.441666666666663</v>
      </c>
      <c r="E102" s="40" t="s">
        <v>48</v>
      </c>
      <c r="J102" s="4" t="s">
        <v>807</v>
      </c>
    </row>
    <row r="103" spans="1:10" x14ac:dyDescent="0.3">
      <c r="A103" s="37" t="s">
        <v>528</v>
      </c>
      <c r="B103" s="65">
        <v>1</v>
      </c>
      <c r="C103" s="40" t="s">
        <v>47</v>
      </c>
      <c r="D103" s="39">
        <f>53</f>
        <v>53</v>
      </c>
      <c r="E103" s="40" t="s">
        <v>48</v>
      </c>
      <c r="J103" s="4" t="s">
        <v>807</v>
      </c>
    </row>
    <row r="104" spans="1:10" x14ac:dyDescent="0.3">
      <c r="A104" s="37" t="s">
        <v>557</v>
      </c>
      <c r="B104" s="65">
        <v>1</v>
      </c>
      <c r="C104" s="40" t="s">
        <v>47</v>
      </c>
      <c r="D104" s="39">
        <f>55</f>
        <v>55</v>
      </c>
      <c r="E104" s="40" t="s">
        <v>48</v>
      </c>
      <c r="J104" s="4" t="s">
        <v>807</v>
      </c>
    </row>
    <row r="105" spans="1:10" x14ac:dyDescent="0.3">
      <c r="A105" s="37" t="s">
        <v>564</v>
      </c>
      <c r="B105" s="65">
        <v>1</v>
      </c>
      <c r="C105" s="40" t="s">
        <v>47</v>
      </c>
      <c r="D105" s="39">
        <v>50</v>
      </c>
      <c r="E105" s="40" t="s">
        <v>48</v>
      </c>
      <c r="J105" s="4" t="s">
        <v>807</v>
      </c>
    </row>
    <row r="106" spans="1:10" x14ac:dyDescent="0.3">
      <c r="A106" s="37"/>
      <c r="B106" s="65"/>
      <c r="C106" s="40"/>
      <c r="D106" s="39"/>
      <c r="E106" s="40"/>
    </row>
    <row r="107" spans="1:10" x14ac:dyDescent="0.3">
      <c r="A107" s="37" t="s">
        <v>563</v>
      </c>
      <c r="B107" s="65">
        <v>1</v>
      </c>
      <c r="C107" s="42" t="s">
        <v>47</v>
      </c>
      <c r="D107" s="39">
        <v>60.6</v>
      </c>
      <c r="E107" s="42" t="s">
        <v>48</v>
      </c>
      <c r="F107" s="42"/>
      <c r="G107" s="65"/>
      <c r="J107" s="4" t="s">
        <v>808</v>
      </c>
    </row>
    <row r="108" spans="1:10" x14ac:dyDescent="0.3">
      <c r="A108" s="37" t="s">
        <v>528</v>
      </c>
      <c r="B108" s="65">
        <v>1</v>
      </c>
      <c r="C108" s="42" t="s">
        <v>47</v>
      </c>
      <c r="D108" s="39">
        <v>56</v>
      </c>
      <c r="E108" s="42" t="s">
        <v>48</v>
      </c>
      <c r="F108" s="42"/>
      <c r="G108" s="65"/>
      <c r="J108" s="4" t="s">
        <v>808</v>
      </c>
    </row>
    <row r="109" spans="1:10" x14ac:dyDescent="0.3">
      <c r="A109" s="37" t="s">
        <v>557</v>
      </c>
      <c r="B109" s="65">
        <v>1</v>
      </c>
      <c r="C109" s="42" t="s">
        <v>47</v>
      </c>
      <c r="D109" s="39">
        <v>57</v>
      </c>
      <c r="E109" s="42" t="s">
        <v>48</v>
      </c>
      <c r="F109" s="42"/>
      <c r="G109" s="65"/>
      <c r="J109" s="4" t="s">
        <v>808</v>
      </c>
    </row>
    <row r="110" spans="1:10" x14ac:dyDescent="0.3">
      <c r="A110" s="37" t="s">
        <v>558</v>
      </c>
      <c r="B110" s="65">
        <v>1</v>
      </c>
      <c r="C110" s="42" t="s">
        <v>47</v>
      </c>
      <c r="D110" s="39">
        <v>54</v>
      </c>
      <c r="E110" s="42" t="s">
        <v>48</v>
      </c>
      <c r="F110" s="42"/>
      <c r="G110" s="65"/>
      <c r="J110" s="4" t="s">
        <v>808</v>
      </c>
    </row>
    <row r="111" spans="1:10" x14ac:dyDescent="0.3">
      <c r="A111" s="37" t="s">
        <v>565</v>
      </c>
      <c r="B111" s="65">
        <v>1</v>
      </c>
      <c r="C111" s="42" t="s">
        <v>47</v>
      </c>
      <c r="D111" s="39">
        <v>52</v>
      </c>
      <c r="E111" s="42" t="s">
        <v>48</v>
      </c>
      <c r="F111" s="42"/>
      <c r="G111" s="65"/>
      <c r="J111" s="4" t="s">
        <v>808</v>
      </c>
    </row>
    <row r="112" spans="1:10" x14ac:dyDescent="0.3">
      <c r="A112" s="37" t="s">
        <v>559</v>
      </c>
      <c r="B112" s="65">
        <v>1</v>
      </c>
      <c r="C112" s="42" t="s">
        <v>47</v>
      </c>
      <c r="D112" s="39">
        <f>31595340/631907</f>
        <v>49.999984174886492</v>
      </c>
      <c r="E112" s="42" t="s">
        <v>48</v>
      </c>
      <c r="F112" s="42"/>
      <c r="G112" s="65"/>
      <c r="J112" s="4" t="s">
        <v>808</v>
      </c>
    </row>
    <row r="113" spans="1:10" x14ac:dyDescent="0.3">
      <c r="A113" s="37" t="s">
        <v>563</v>
      </c>
      <c r="B113" s="65">
        <v>1</v>
      </c>
      <c r="C113" s="40" t="s">
        <v>47</v>
      </c>
      <c r="D113" s="95">
        <v>60.6</v>
      </c>
      <c r="E113" s="40" t="s">
        <v>48</v>
      </c>
      <c r="J113" s="4" t="s">
        <v>809</v>
      </c>
    </row>
    <row r="114" spans="1:10" x14ac:dyDescent="0.3">
      <c r="A114" s="37" t="s">
        <v>557</v>
      </c>
      <c r="B114" s="65">
        <v>1</v>
      </c>
      <c r="C114" s="40" t="s">
        <v>47</v>
      </c>
      <c r="D114" s="95">
        <v>57</v>
      </c>
      <c r="E114" s="40" t="s">
        <v>48</v>
      </c>
      <c r="J114" s="4" t="s">
        <v>809</v>
      </c>
    </row>
    <row r="115" spans="1:10" x14ac:dyDescent="0.3">
      <c r="A115" s="37"/>
      <c r="B115" s="65"/>
      <c r="C115" s="40"/>
      <c r="E115" s="40"/>
    </row>
    <row r="116" spans="1:10" x14ac:dyDescent="0.3">
      <c r="A116" s="37" t="s">
        <v>563</v>
      </c>
      <c r="B116" s="65">
        <v>1</v>
      </c>
      <c r="C116" s="42" t="s">
        <v>47</v>
      </c>
      <c r="D116" s="95">
        <v>60.6</v>
      </c>
      <c r="E116" s="40" t="s">
        <v>48</v>
      </c>
      <c r="F116" s="65"/>
      <c r="H116" s="41"/>
      <c r="J116" s="4" t="s">
        <v>800</v>
      </c>
    </row>
    <row r="117" spans="1:10" x14ac:dyDescent="0.3">
      <c r="A117" s="37" t="s">
        <v>528</v>
      </c>
      <c r="B117" s="65">
        <v>1</v>
      </c>
      <c r="C117" s="42" t="s">
        <v>47</v>
      </c>
      <c r="D117" s="95">
        <v>56</v>
      </c>
      <c r="E117" s="40" t="s">
        <v>48</v>
      </c>
      <c r="F117" s="65"/>
      <c r="H117" s="41"/>
      <c r="J117" s="4" t="s">
        <v>800</v>
      </c>
    </row>
    <row r="118" spans="1:10" x14ac:dyDescent="0.3">
      <c r="A118" s="37" t="s">
        <v>557</v>
      </c>
      <c r="B118" s="65">
        <v>1</v>
      </c>
      <c r="C118" s="42" t="s">
        <v>47</v>
      </c>
      <c r="D118" s="95">
        <v>57</v>
      </c>
      <c r="E118" s="40" t="s">
        <v>48</v>
      </c>
      <c r="F118" s="65"/>
      <c r="H118" s="41"/>
      <c r="J118" s="4" t="s">
        <v>800</v>
      </c>
    </row>
    <row r="119" spans="1:10" x14ac:dyDescent="0.3">
      <c r="A119" s="37" t="s">
        <v>558</v>
      </c>
      <c r="B119" s="65">
        <v>1</v>
      </c>
      <c r="C119" s="42" t="s">
        <v>47</v>
      </c>
      <c r="D119" s="95">
        <v>54</v>
      </c>
      <c r="E119" s="40" t="s">
        <v>48</v>
      </c>
      <c r="F119" s="65"/>
      <c r="H119" s="41"/>
      <c r="J119" s="4" t="s">
        <v>800</v>
      </c>
    </row>
    <row r="120" spans="1:10" x14ac:dyDescent="0.3">
      <c r="A120" s="37" t="s">
        <v>565</v>
      </c>
      <c r="B120" s="65">
        <v>1</v>
      </c>
      <c r="C120" s="42" t="s">
        <v>47</v>
      </c>
      <c r="D120" s="95">
        <v>52</v>
      </c>
      <c r="E120" s="40" t="s">
        <v>48</v>
      </c>
      <c r="F120" s="65"/>
      <c r="H120" s="41"/>
      <c r="J120" s="4" t="s">
        <v>800</v>
      </c>
    </row>
    <row r="121" spans="1:10" x14ac:dyDescent="0.3">
      <c r="A121" s="37" t="s">
        <v>559</v>
      </c>
      <c r="B121" s="65">
        <v>1</v>
      </c>
      <c r="C121" s="42" t="s">
        <v>47</v>
      </c>
      <c r="D121" s="95">
        <f>31595340/631907</f>
        <v>49.999984174886492</v>
      </c>
      <c r="E121" s="40" t="s">
        <v>48</v>
      </c>
      <c r="F121" s="65"/>
      <c r="H121" s="41"/>
      <c r="J121" s="4" t="s">
        <v>800</v>
      </c>
    </row>
    <row r="122" spans="1:10" x14ac:dyDescent="0.3">
      <c r="A122" s="37"/>
      <c r="B122" s="65"/>
      <c r="C122" s="42"/>
      <c r="E122" s="40"/>
      <c r="F122" s="65"/>
      <c r="H122" s="41"/>
    </row>
    <row r="123" spans="1:10" x14ac:dyDescent="0.3">
      <c r="A123" s="37">
        <v>1877</v>
      </c>
      <c r="B123" s="4">
        <v>1</v>
      </c>
      <c r="C123" s="42" t="s">
        <v>47</v>
      </c>
      <c r="D123" s="95">
        <v>126</v>
      </c>
      <c r="E123" s="40" t="s">
        <v>799</v>
      </c>
      <c r="J123" s="65" t="s">
        <v>810</v>
      </c>
    </row>
    <row r="124" spans="1:10" x14ac:dyDescent="0.3">
      <c r="A124" s="37">
        <v>1878</v>
      </c>
      <c r="B124" s="4">
        <v>1</v>
      </c>
      <c r="C124" s="42" t="s">
        <v>47</v>
      </c>
      <c r="D124" s="95">
        <v>134.25</v>
      </c>
      <c r="E124" s="40" t="s">
        <v>799</v>
      </c>
      <c r="J124" s="65" t="s">
        <v>810</v>
      </c>
    </row>
    <row r="125" spans="1:10" x14ac:dyDescent="0.3">
      <c r="A125" s="37">
        <v>1879</v>
      </c>
      <c r="B125" s="4">
        <v>1</v>
      </c>
      <c r="C125" s="42" t="s">
        <v>47</v>
      </c>
      <c r="D125" s="95">
        <v>134.25</v>
      </c>
      <c r="E125" s="40" t="s">
        <v>799</v>
      </c>
      <c r="J125" s="65" t="s">
        <v>810</v>
      </c>
    </row>
    <row r="126" spans="1:10" x14ac:dyDescent="0.3">
      <c r="A126" s="37">
        <v>1880</v>
      </c>
      <c r="B126" s="4">
        <v>1</v>
      </c>
      <c r="C126" s="42" t="s">
        <v>47</v>
      </c>
      <c r="D126" s="95">
        <v>134.5</v>
      </c>
      <c r="E126" s="40" t="s">
        <v>799</v>
      </c>
      <c r="J126" s="65" t="s">
        <v>810</v>
      </c>
    </row>
    <row r="127" spans="1:10" x14ac:dyDescent="0.3">
      <c r="A127" s="37"/>
      <c r="C127" s="42"/>
      <c r="E127" s="40"/>
      <c r="J127" s="65"/>
    </row>
    <row r="128" spans="1:10" x14ac:dyDescent="0.3">
      <c r="A128" s="37" t="s">
        <v>526</v>
      </c>
      <c r="B128" s="9">
        <v>1</v>
      </c>
      <c r="C128" s="43" t="s">
        <v>88</v>
      </c>
      <c r="D128" s="46">
        <v>110</v>
      </c>
      <c r="E128" s="43" t="s">
        <v>799</v>
      </c>
      <c r="F128" s="48"/>
      <c r="G128" s="48"/>
      <c r="H128" s="48"/>
      <c r="I128" s="48"/>
      <c r="J128" s="48" t="s">
        <v>811</v>
      </c>
    </row>
    <row r="129" spans="1:10" x14ac:dyDescent="0.3">
      <c r="A129" s="37" t="s">
        <v>527</v>
      </c>
      <c r="B129" s="9">
        <v>1</v>
      </c>
      <c r="C129" s="43" t="s">
        <v>88</v>
      </c>
      <c r="D129" s="46">
        <v>25.152999999999999</v>
      </c>
      <c r="E129" s="49" t="s">
        <v>797</v>
      </c>
      <c r="F129" s="45"/>
      <c r="G129" s="43"/>
      <c r="H129" s="48"/>
      <c r="I129" s="48"/>
      <c r="J129" s="48" t="s">
        <v>812</v>
      </c>
    </row>
    <row r="130" spans="1:10" x14ac:dyDescent="0.3">
      <c r="A130" s="37" t="s">
        <v>528</v>
      </c>
      <c r="B130" s="9">
        <v>1</v>
      </c>
      <c r="C130" s="43" t="s">
        <v>88</v>
      </c>
      <c r="D130" s="46">
        <v>25.050505050505048</v>
      </c>
      <c r="E130" s="49" t="s">
        <v>797</v>
      </c>
      <c r="F130" s="50"/>
      <c r="G130" s="48"/>
      <c r="H130" s="48"/>
      <c r="I130" s="48"/>
      <c r="J130" s="48" t="s">
        <v>812</v>
      </c>
    </row>
    <row r="131" spans="1:10" x14ac:dyDescent="0.3">
      <c r="A131" s="37" t="s">
        <v>526</v>
      </c>
      <c r="B131" s="9">
        <v>1</v>
      </c>
      <c r="C131" s="43" t="s">
        <v>88</v>
      </c>
      <c r="D131" s="46">
        <v>110</v>
      </c>
      <c r="E131" s="43" t="s">
        <v>799</v>
      </c>
      <c r="F131" s="51"/>
      <c r="G131" s="52"/>
      <c r="H131" s="48"/>
      <c r="I131" s="48"/>
      <c r="J131" s="48" t="s">
        <v>812</v>
      </c>
    </row>
    <row r="132" spans="1:10" x14ac:dyDescent="0.3">
      <c r="A132" s="37" t="s">
        <v>529</v>
      </c>
      <c r="B132" s="9">
        <v>1</v>
      </c>
      <c r="C132" s="43" t="s">
        <v>88</v>
      </c>
      <c r="D132" s="46">
        <v>116</v>
      </c>
      <c r="E132" s="43" t="s">
        <v>799</v>
      </c>
      <c r="F132" s="45">
        <v>25.305399999999999</v>
      </c>
      <c r="G132" s="53" t="s">
        <v>798</v>
      </c>
      <c r="H132" s="48"/>
      <c r="I132" s="48"/>
      <c r="J132" s="48" t="s">
        <v>812</v>
      </c>
    </row>
    <row r="133" spans="1:10" x14ac:dyDescent="0.3">
      <c r="A133" s="37" t="s">
        <v>530</v>
      </c>
      <c r="B133" s="9">
        <v>1</v>
      </c>
      <c r="C133" s="43" t="s">
        <v>88</v>
      </c>
      <c r="D133" s="46">
        <v>112</v>
      </c>
      <c r="E133" s="43" t="s">
        <v>799</v>
      </c>
      <c r="F133" s="45">
        <v>25.225999999999999</v>
      </c>
      <c r="G133" s="51"/>
      <c r="H133" s="48"/>
      <c r="I133" s="48"/>
      <c r="J133" s="48" t="s">
        <v>812</v>
      </c>
    </row>
    <row r="134" spans="1:10" x14ac:dyDescent="0.3">
      <c r="A134" s="37" t="s">
        <v>531</v>
      </c>
      <c r="B134" s="33">
        <v>1</v>
      </c>
      <c r="C134" s="43" t="s">
        <v>88</v>
      </c>
      <c r="D134" s="98">
        <f>(108.5+110.5)/2</f>
        <v>109.5</v>
      </c>
      <c r="E134" s="54" t="s">
        <v>796</v>
      </c>
      <c r="F134" s="48"/>
      <c r="G134" s="48"/>
      <c r="H134" s="48"/>
      <c r="I134" s="48"/>
      <c r="J134" s="48" t="s">
        <v>813</v>
      </c>
    </row>
    <row r="135" spans="1:10" x14ac:dyDescent="0.3">
      <c r="A135" s="37" t="s">
        <v>526</v>
      </c>
      <c r="B135" s="9">
        <v>1</v>
      </c>
      <c r="C135" s="43" t="s">
        <v>88</v>
      </c>
      <c r="D135" s="46">
        <v>110</v>
      </c>
      <c r="E135" s="43" t="s">
        <v>799</v>
      </c>
      <c r="F135" s="51"/>
      <c r="G135" s="52"/>
      <c r="H135" s="48"/>
      <c r="I135" s="48"/>
      <c r="J135" s="48" t="s">
        <v>813</v>
      </c>
    </row>
    <row r="136" spans="1:10" x14ac:dyDescent="0.3">
      <c r="A136" s="37" t="s">
        <v>529</v>
      </c>
      <c r="B136" s="9">
        <v>1</v>
      </c>
      <c r="C136" s="43" t="s">
        <v>88</v>
      </c>
      <c r="D136" s="46">
        <v>116</v>
      </c>
      <c r="E136" s="43" t="s">
        <v>799</v>
      </c>
      <c r="F136" s="45">
        <v>25.305399999999999</v>
      </c>
      <c r="G136" s="53" t="s">
        <v>798</v>
      </c>
      <c r="H136" s="48"/>
      <c r="I136" s="48"/>
      <c r="J136" s="48" t="s">
        <v>813</v>
      </c>
    </row>
    <row r="137" spans="1:10" x14ac:dyDescent="0.3">
      <c r="A137" s="37" t="s">
        <v>530</v>
      </c>
      <c r="B137" s="9">
        <v>1</v>
      </c>
      <c r="C137" s="43" t="s">
        <v>88</v>
      </c>
      <c r="D137" s="46">
        <v>112</v>
      </c>
      <c r="E137" s="43" t="s">
        <v>799</v>
      </c>
      <c r="F137" s="51"/>
      <c r="G137" s="51"/>
      <c r="H137" s="48"/>
      <c r="I137" s="48"/>
      <c r="J137" s="48" t="s">
        <v>813</v>
      </c>
    </row>
    <row r="138" spans="1:10" x14ac:dyDescent="0.3">
      <c r="A138" s="37" t="s">
        <v>564</v>
      </c>
      <c r="B138" s="10">
        <v>1</v>
      </c>
      <c r="C138" s="43" t="s">
        <v>88</v>
      </c>
      <c r="D138" s="46">
        <f>240/2</f>
        <v>120</v>
      </c>
      <c r="E138" s="43" t="s">
        <v>799</v>
      </c>
      <c r="F138" s="51"/>
      <c r="G138" s="51"/>
      <c r="H138" s="48"/>
      <c r="I138" s="48"/>
      <c r="J138" s="48" t="s">
        <v>826</v>
      </c>
    </row>
    <row r="139" spans="1:10" x14ac:dyDescent="0.3">
      <c r="A139" s="37" t="s">
        <v>533</v>
      </c>
      <c r="B139" s="9">
        <v>1</v>
      </c>
      <c r="C139" s="43" t="s">
        <v>88</v>
      </c>
      <c r="D139" s="46">
        <f>849705324/7647347</f>
        <v>111.11112442001128</v>
      </c>
      <c r="E139" s="43" t="s">
        <v>799</v>
      </c>
      <c r="F139" s="48"/>
      <c r="G139" s="48"/>
      <c r="H139" s="48"/>
      <c r="I139" s="48"/>
      <c r="J139" s="48" t="s">
        <v>813</v>
      </c>
    </row>
    <row r="140" spans="1:10" x14ac:dyDescent="0.3">
      <c r="A140" s="37" t="s">
        <v>534</v>
      </c>
      <c r="B140" s="9">
        <v>1</v>
      </c>
      <c r="C140" s="43" t="s">
        <v>88</v>
      </c>
      <c r="D140" s="46">
        <f>(109.25+110.25)/2</f>
        <v>109.75</v>
      </c>
      <c r="E140" s="43" t="s">
        <v>799</v>
      </c>
      <c r="F140" s="48"/>
      <c r="G140" s="48"/>
      <c r="H140" s="48"/>
      <c r="I140" s="48"/>
      <c r="J140" s="48" t="s">
        <v>813</v>
      </c>
    </row>
    <row r="141" spans="1:10" x14ac:dyDescent="0.3">
      <c r="A141" s="37" t="s">
        <v>531</v>
      </c>
      <c r="B141" s="9">
        <v>1</v>
      </c>
      <c r="C141" s="43" t="s">
        <v>88</v>
      </c>
      <c r="D141" s="46">
        <f>(108.5+110.5)/2</f>
        <v>109.5</v>
      </c>
      <c r="E141" s="54" t="s">
        <v>796</v>
      </c>
      <c r="F141" s="48"/>
      <c r="G141" s="48"/>
      <c r="H141" s="48"/>
      <c r="I141" s="48"/>
      <c r="J141" s="48" t="s">
        <v>814</v>
      </c>
    </row>
    <row r="142" spans="1:10" x14ac:dyDescent="0.3">
      <c r="A142" s="37" t="s">
        <v>824</v>
      </c>
      <c r="B142" s="9">
        <v>1</v>
      </c>
      <c r="C142" s="43" t="s">
        <v>88</v>
      </c>
      <c r="D142" s="46">
        <v>110</v>
      </c>
      <c r="E142" s="54" t="s">
        <v>796</v>
      </c>
      <c r="F142" s="48"/>
      <c r="G142" s="48"/>
      <c r="H142" s="48"/>
      <c r="I142" s="48"/>
      <c r="J142" s="48" t="s">
        <v>825</v>
      </c>
    </row>
    <row r="143" spans="1:10" x14ac:dyDescent="0.3">
      <c r="A143" s="37" t="s">
        <v>535</v>
      </c>
      <c r="B143" s="9">
        <v>1</v>
      </c>
      <c r="C143" s="54" t="s">
        <v>532</v>
      </c>
      <c r="D143" s="46">
        <f>2/C4</f>
        <v>8.3333333333333332E-3</v>
      </c>
      <c r="E143" s="43" t="s">
        <v>3</v>
      </c>
      <c r="F143" s="48"/>
      <c r="G143" s="48"/>
      <c r="H143" s="48"/>
      <c r="I143" s="48"/>
      <c r="J143" s="48" t="s">
        <v>814</v>
      </c>
    </row>
    <row r="144" spans="1:10" x14ac:dyDescent="0.3">
      <c r="A144" s="37"/>
      <c r="B144" s="9"/>
      <c r="C144" s="54"/>
      <c r="D144" s="46"/>
      <c r="E144" s="43"/>
      <c r="F144" s="48"/>
      <c r="G144" s="48"/>
      <c r="H144" s="48"/>
      <c r="I144" s="48"/>
      <c r="J144" s="48"/>
    </row>
    <row r="145" spans="1:29" x14ac:dyDescent="0.3">
      <c r="A145" s="37" t="s">
        <v>533</v>
      </c>
      <c r="B145" s="9">
        <v>1</v>
      </c>
      <c r="C145" s="34" t="s">
        <v>88</v>
      </c>
      <c r="D145" s="46">
        <f>1129531000/10165779</f>
        <v>111.11111111111111</v>
      </c>
      <c r="E145" s="43" t="s">
        <v>799</v>
      </c>
      <c r="F145" s="55"/>
      <c r="G145" s="55"/>
      <c r="H145" s="55"/>
      <c r="I145" s="55"/>
      <c r="J145" s="48" t="s">
        <v>815</v>
      </c>
    </row>
    <row r="146" spans="1:29" x14ac:dyDescent="0.3">
      <c r="A146" s="37" t="s">
        <v>537</v>
      </c>
      <c r="B146" s="9">
        <v>1</v>
      </c>
      <c r="C146" s="34" t="s">
        <v>88</v>
      </c>
      <c r="D146" s="46">
        <f>849705324/7647347</f>
        <v>111.11112442001128</v>
      </c>
      <c r="E146" s="43" t="s">
        <v>799</v>
      </c>
      <c r="F146" s="55"/>
      <c r="G146" s="55"/>
      <c r="H146" s="55"/>
      <c r="I146" s="55"/>
      <c r="J146" s="48" t="s">
        <v>815</v>
      </c>
    </row>
    <row r="147" spans="1:29" x14ac:dyDescent="0.3">
      <c r="A147" s="37" t="s">
        <v>526</v>
      </c>
      <c r="B147" s="35">
        <v>1</v>
      </c>
      <c r="C147" s="57" t="s">
        <v>88</v>
      </c>
      <c r="D147" s="58">
        <v>110</v>
      </c>
      <c r="E147" s="56" t="s">
        <v>799</v>
      </c>
      <c r="F147" s="59"/>
      <c r="G147" s="59"/>
      <c r="H147" s="59"/>
      <c r="I147" s="59"/>
      <c r="J147" s="48" t="s">
        <v>815</v>
      </c>
    </row>
    <row r="148" spans="1:29" x14ac:dyDescent="0.3">
      <c r="A148" s="37" t="s">
        <v>530</v>
      </c>
      <c r="B148" s="35">
        <v>1</v>
      </c>
      <c r="C148" s="57" t="s">
        <v>88</v>
      </c>
      <c r="D148" s="58">
        <v>112</v>
      </c>
      <c r="E148" s="56" t="s">
        <v>799</v>
      </c>
      <c r="F148" s="59"/>
      <c r="G148" s="59"/>
      <c r="H148" s="59"/>
      <c r="I148" s="59"/>
      <c r="J148" s="48" t="s">
        <v>815</v>
      </c>
    </row>
    <row r="149" spans="1:29" x14ac:dyDescent="0.3">
      <c r="A149" s="37" t="s">
        <v>533</v>
      </c>
      <c r="B149" s="35">
        <v>1</v>
      </c>
      <c r="C149" s="57" t="s">
        <v>88</v>
      </c>
      <c r="D149" s="58">
        <f>1129531000/10165779</f>
        <v>111.11111111111111</v>
      </c>
      <c r="E149" s="56" t="s">
        <v>799</v>
      </c>
      <c r="F149" s="59"/>
      <c r="G149" s="59"/>
      <c r="H149" s="59"/>
      <c r="I149" s="59"/>
      <c r="J149" s="48" t="s">
        <v>815</v>
      </c>
    </row>
    <row r="150" spans="1:29" x14ac:dyDescent="0.3">
      <c r="A150" s="37" t="s">
        <v>537</v>
      </c>
      <c r="B150" s="35">
        <v>1</v>
      </c>
      <c r="C150" s="57" t="s">
        <v>88</v>
      </c>
      <c r="D150" s="58">
        <f>849705324/7647347</f>
        <v>111.11112442001128</v>
      </c>
      <c r="E150" s="56" t="s">
        <v>799</v>
      </c>
      <c r="F150" s="59"/>
      <c r="G150" s="59"/>
      <c r="H150" s="59"/>
      <c r="I150" s="59"/>
      <c r="J150" s="48" t="s">
        <v>815</v>
      </c>
    </row>
    <row r="155" spans="1:29" s="64" customFormat="1" x14ac:dyDescent="0.3">
      <c r="B155" s="3"/>
      <c r="C155" s="1"/>
      <c r="K155" s="1"/>
      <c r="U155" s="13"/>
    </row>
    <row r="156" spans="1:29" s="1" customFormat="1" x14ac:dyDescent="0.3">
      <c r="B156" s="196" t="s">
        <v>161</v>
      </c>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8"/>
    </row>
    <row r="157" spans="1:29" s="1" customFormat="1" x14ac:dyDescent="0.3">
      <c r="B157" s="199" t="s">
        <v>162</v>
      </c>
      <c r="C157" s="199"/>
      <c r="D157" s="199"/>
      <c r="E157" s="200"/>
      <c r="F157" s="200"/>
      <c r="G157" s="200"/>
      <c r="H157" s="200"/>
      <c r="I157" s="199" t="s">
        <v>163</v>
      </c>
      <c r="J157" s="199"/>
      <c r="K157" s="201"/>
      <c r="L157" s="201"/>
      <c r="M157" s="200"/>
      <c r="N157" s="200"/>
      <c r="O157" s="199" t="s">
        <v>164</v>
      </c>
      <c r="P157" s="199"/>
      <c r="Q157" s="200"/>
      <c r="R157" s="200"/>
      <c r="S157" s="200"/>
      <c r="T157" s="200"/>
      <c r="U157" s="199" t="s">
        <v>165</v>
      </c>
      <c r="V157" s="199"/>
      <c r="W157" s="200"/>
      <c r="X157" s="200"/>
      <c r="Y157" s="200"/>
      <c r="Z157" s="200"/>
    </row>
    <row r="158" spans="1:29" s="17" customFormat="1" ht="41.4" customHeight="1" x14ac:dyDescent="0.3">
      <c r="A158" s="14" t="s">
        <v>25</v>
      </c>
      <c r="B158" s="15" t="s">
        <v>166</v>
      </c>
      <c r="C158" s="16" t="s">
        <v>167</v>
      </c>
      <c r="D158" s="16" t="s">
        <v>168</v>
      </c>
      <c r="E158" s="16" t="s">
        <v>169</v>
      </c>
      <c r="F158" s="16" t="s">
        <v>170</v>
      </c>
      <c r="G158" s="16" t="s">
        <v>171</v>
      </c>
      <c r="H158" s="16" t="s">
        <v>172</v>
      </c>
      <c r="I158" s="15" t="s">
        <v>166</v>
      </c>
      <c r="J158" s="16" t="s">
        <v>116</v>
      </c>
      <c r="K158" s="16" t="s">
        <v>173</v>
      </c>
      <c r="L158" s="16" t="s">
        <v>169</v>
      </c>
      <c r="M158" s="16" t="s">
        <v>170</v>
      </c>
      <c r="N158" s="16" t="s">
        <v>172</v>
      </c>
      <c r="O158" s="15" t="s">
        <v>166</v>
      </c>
      <c r="P158" s="16" t="s">
        <v>116</v>
      </c>
      <c r="Q158" s="16" t="s">
        <v>169</v>
      </c>
      <c r="R158" s="16" t="s">
        <v>170</v>
      </c>
      <c r="T158" s="16" t="s">
        <v>172</v>
      </c>
      <c r="U158" s="15" t="s">
        <v>166</v>
      </c>
      <c r="V158" s="16" t="s">
        <v>116</v>
      </c>
      <c r="W158" s="16" t="s">
        <v>169</v>
      </c>
      <c r="X158" s="16" t="s">
        <v>170</v>
      </c>
      <c r="Z158" s="16" t="s">
        <v>172</v>
      </c>
    </row>
    <row r="159" spans="1:29" s="64" customFormat="1" x14ac:dyDescent="0.3">
      <c r="A159" s="185">
        <v>1856</v>
      </c>
      <c r="B159" s="142">
        <f>C159</f>
        <v>117.5</v>
      </c>
      <c r="C159" s="107">
        <f>C160</f>
        <v>117.5</v>
      </c>
      <c r="D159" s="107"/>
      <c r="E159" s="139"/>
      <c r="F159" s="139"/>
      <c r="G159" s="139"/>
      <c r="H159" s="145"/>
      <c r="I159" s="146"/>
      <c r="J159" s="107"/>
      <c r="K159" s="107"/>
      <c r="L159" s="139"/>
      <c r="M159" s="139"/>
      <c r="N159" s="143"/>
      <c r="O159" s="142"/>
      <c r="P159" s="107"/>
      <c r="Q159" s="107"/>
      <c r="R159" s="139"/>
      <c r="S159" s="139"/>
      <c r="T159" s="143"/>
      <c r="U159" s="144"/>
      <c r="V159" s="107"/>
      <c r="W159" s="107"/>
      <c r="X159" s="139"/>
      <c r="Y159" s="106"/>
      <c r="Z159" s="145"/>
      <c r="AA159" s="106"/>
      <c r="AB159" s="106"/>
      <c r="AC159" s="106"/>
    </row>
    <row r="160" spans="1:29" s="64" customFormat="1" x14ac:dyDescent="0.3">
      <c r="A160" s="185">
        <v>1857</v>
      </c>
      <c r="B160" s="142">
        <f>C160</f>
        <v>117.5</v>
      </c>
      <c r="C160" s="147">
        <v>117.5</v>
      </c>
      <c r="D160" s="147">
        <v>140</v>
      </c>
      <c r="E160" s="139"/>
      <c r="F160" s="139"/>
      <c r="G160" s="139"/>
      <c r="H160" s="143" t="s">
        <v>174</v>
      </c>
      <c r="I160" s="146" t="s">
        <v>175</v>
      </c>
      <c r="J160" s="107"/>
      <c r="K160" s="107"/>
      <c r="L160" s="139"/>
      <c r="M160" s="139"/>
      <c r="N160" s="143"/>
      <c r="O160" s="142"/>
      <c r="P160" s="107"/>
      <c r="Q160" s="107"/>
      <c r="R160" s="139"/>
      <c r="S160" s="139"/>
      <c r="T160" s="143"/>
      <c r="U160" s="144"/>
      <c r="V160" s="107"/>
      <c r="W160" s="107"/>
      <c r="X160" s="139"/>
      <c r="Y160" s="106"/>
      <c r="Z160" s="145"/>
      <c r="AA160" s="106"/>
      <c r="AB160" s="106"/>
      <c r="AC160" s="106"/>
    </row>
    <row r="161" spans="1:29" s="64" customFormat="1" x14ac:dyDescent="0.3">
      <c r="A161" s="185">
        <v>1862</v>
      </c>
      <c r="B161" s="146">
        <f>G161</f>
        <v>130.00027083389756</v>
      </c>
      <c r="C161" s="107"/>
      <c r="D161" s="107"/>
      <c r="E161" s="149">
        <f>H228</f>
        <v>115</v>
      </c>
      <c r="F161" s="139"/>
      <c r="G161" s="150">
        <v>130.00027083389756</v>
      </c>
      <c r="H161" s="145"/>
      <c r="I161" s="146"/>
      <c r="J161" s="107"/>
      <c r="K161" s="107"/>
      <c r="L161" s="139"/>
      <c r="M161" s="139"/>
      <c r="N161" s="145"/>
      <c r="O161" s="146"/>
      <c r="P161" s="107"/>
      <c r="Q161" s="107"/>
      <c r="R161" s="139"/>
      <c r="S161" s="139"/>
      <c r="T161" s="143"/>
      <c r="U161" s="144"/>
      <c r="V161" s="107"/>
      <c r="W161" s="107"/>
      <c r="X161" s="139"/>
      <c r="Y161" s="106"/>
      <c r="Z161" s="145"/>
      <c r="AA161" s="106"/>
      <c r="AB161" s="148" t="s">
        <v>176</v>
      </c>
      <c r="AC161" s="106"/>
    </row>
    <row r="162" spans="1:29" s="64" customFormat="1" x14ac:dyDescent="0.3">
      <c r="A162" s="185">
        <v>1863</v>
      </c>
      <c r="B162" s="146">
        <f>G162</f>
        <v>129.38099389712295</v>
      </c>
      <c r="C162" s="107"/>
      <c r="D162" s="107"/>
      <c r="E162" s="139"/>
      <c r="F162" s="139"/>
      <c r="G162" s="150">
        <v>129.38099389712295</v>
      </c>
      <c r="H162" s="145"/>
      <c r="I162" s="146">
        <f>L162</f>
        <v>112</v>
      </c>
      <c r="J162" s="107"/>
      <c r="K162" s="107"/>
      <c r="L162" s="149">
        <f>H216</f>
        <v>112</v>
      </c>
      <c r="M162" s="139"/>
      <c r="N162" s="145"/>
      <c r="O162" s="146"/>
      <c r="P162" s="107"/>
      <c r="Q162" s="107"/>
      <c r="R162" s="139"/>
      <c r="S162" s="139"/>
      <c r="T162" s="143"/>
      <c r="U162" s="144"/>
      <c r="V162" s="107"/>
      <c r="W162" s="107"/>
      <c r="X162" s="139"/>
      <c r="Y162" s="106"/>
      <c r="Z162" s="145"/>
      <c r="AA162" s="106"/>
      <c r="AB162" s="148">
        <f>(B161-B160)/5</f>
        <v>2.500054166779512</v>
      </c>
      <c r="AC162" s="106"/>
    </row>
    <row r="163" spans="1:29" s="64" customFormat="1" x14ac:dyDescent="0.3">
      <c r="A163" s="185">
        <v>1872</v>
      </c>
      <c r="B163" s="146">
        <f>D163</f>
        <v>126.5</v>
      </c>
      <c r="C163" s="107"/>
      <c r="D163" s="147">
        <v>126.5</v>
      </c>
      <c r="E163" s="139"/>
      <c r="F163" s="139"/>
      <c r="G163" s="139"/>
      <c r="H163" s="143" t="s">
        <v>174</v>
      </c>
      <c r="I163" s="146" t="s">
        <v>175</v>
      </c>
      <c r="J163" s="107"/>
      <c r="K163" s="107"/>
      <c r="L163" s="139"/>
      <c r="M163" s="139"/>
      <c r="N163" s="145"/>
      <c r="O163" s="146"/>
      <c r="P163" s="107"/>
      <c r="Q163" s="107"/>
      <c r="R163" s="139"/>
      <c r="S163" s="106"/>
      <c r="T163" s="145"/>
      <c r="U163" s="151"/>
      <c r="V163" s="107"/>
      <c r="W163" s="107"/>
      <c r="X163" s="139"/>
      <c r="Y163" s="106"/>
      <c r="Z163" s="145"/>
      <c r="AA163" s="106"/>
      <c r="AB163" s="106"/>
      <c r="AC163" s="106"/>
    </row>
    <row r="164" spans="1:29" s="64" customFormat="1" x14ac:dyDescent="0.3">
      <c r="A164" s="185">
        <v>1873</v>
      </c>
      <c r="B164" s="146">
        <f>E164</f>
        <v>126</v>
      </c>
      <c r="C164" s="107"/>
      <c r="D164" s="107"/>
      <c r="E164" s="149">
        <f>H218</f>
        <v>126</v>
      </c>
      <c r="F164" s="139"/>
      <c r="G164" s="139"/>
      <c r="H164" s="145"/>
      <c r="I164" s="146"/>
      <c r="J164" s="107"/>
      <c r="K164" s="107"/>
      <c r="L164" s="139"/>
      <c r="M164" s="139"/>
      <c r="N164" s="145"/>
      <c r="O164" s="146"/>
      <c r="P164" s="107"/>
      <c r="Q164" s="107"/>
      <c r="R164" s="139"/>
      <c r="S164" s="106"/>
      <c r="T164" s="145"/>
      <c r="U164" s="151"/>
      <c r="V164" s="107"/>
      <c r="W164" s="107"/>
      <c r="X164" s="139"/>
      <c r="Y164" s="106"/>
      <c r="Z164" s="145"/>
      <c r="AA164" s="106"/>
      <c r="AB164" s="106"/>
      <c r="AC164" s="106"/>
    </row>
    <row r="165" spans="1:29" s="64" customFormat="1" x14ac:dyDescent="0.3">
      <c r="A165" s="185">
        <v>1874</v>
      </c>
      <c r="B165" s="146">
        <f t="shared" ref="B165:B175" si="4">E165</f>
        <v>128</v>
      </c>
      <c r="C165" s="107"/>
      <c r="D165" s="107"/>
      <c r="E165" s="149">
        <f>H219</f>
        <v>128</v>
      </c>
      <c r="F165" s="139"/>
      <c r="G165" s="139"/>
      <c r="H165" s="145"/>
      <c r="I165" s="106">
        <f>J165</f>
        <v>121</v>
      </c>
      <c r="J165" s="147">
        <v>121</v>
      </c>
      <c r="K165" s="107"/>
      <c r="L165" s="139"/>
      <c r="M165" s="139"/>
      <c r="N165" s="143" t="s">
        <v>174</v>
      </c>
      <c r="O165" s="152">
        <f>$O$169</f>
        <v>140</v>
      </c>
      <c r="P165" s="107"/>
      <c r="Q165" s="107"/>
      <c r="R165" s="139"/>
      <c r="S165" s="106"/>
      <c r="T165" s="145"/>
      <c r="U165" s="151" t="s">
        <v>175</v>
      </c>
      <c r="V165" s="107"/>
      <c r="W165" s="107"/>
      <c r="X165" s="139"/>
      <c r="Y165" s="106"/>
      <c r="Z165" s="145"/>
      <c r="AA165" s="106"/>
      <c r="AB165" s="106"/>
      <c r="AC165" s="106"/>
    </row>
    <row r="166" spans="1:29" s="64" customFormat="1" x14ac:dyDescent="0.3">
      <c r="A166" s="185">
        <v>1875</v>
      </c>
      <c r="B166" s="146">
        <f t="shared" si="4"/>
        <v>128</v>
      </c>
      <c r="C166" s="107"/>
      <c r="D166" s="107"/>
      <c r="E166" s="149">
        <f>H220</f>
        <v>128</v>
      </c>
      <c r="F166" s="139"/>
      <c r="G166" s="139"/>
      <c r="H166" s="145"/>
      <c r="I166" s="106">
        <f>J166</f>
        <v>121</v>
      </c>
      <c r="J166" s="147">
        <v>121</v>
      </c>
      <c r="K166" s="107"/>
      <c r="L166" s="139"/>
      <c r="M166" s="139"/>
      <c r="N166" s="143" t="s">
        <v>174</v>
      </c>
      <c r="O166" s="152">
        <f t="shared" ref="O166:O168" si="5">$O$169</f>
        <v>140</v>
      </c>
      <c r="P166" s="107"/>
      <c r="Q166" s="107"/>
      <c r="R166" s="139"/>
      <c r="S166" s="106"/>
      <c r="T166" s="145"/>
      <c r="U166" s="151" t="s">
        <v>175</v>
      </c>
      <c r="V166" s="107"/>
      <c r="W166" s="107"/>
      <c r="X166" s="139"/>
      <c r="Y166" s="106"/>
      <c r="Z166" s="145"/>
      <c r="AA166" s="106"/>
      <c r="AB166" s="106"/>
      <c r="AC166" s="106"/>
    </row>
    <row r="167" spans="1:29" s="64" customFormat="1" x14ac:dyDescent="0.3">
      <c r="A167" s="185">
        <v>1876</v>
      </c>
      <c r="B167" s="146">
        <f t="shared" si="4"/>
        <v>129</v>
      </c>
      <c r="C167" s="107"/>
      <c r="D167" s="107"/>
      <c r="E167" s="149">
        <f>H221</f>
        <v>129</v>
      </c>
      <c r="F167" s="139"/>
      <c r="G167" s="139"/>
      <c r="H167" s="145"/>
      <c r="I167" s="106">
        <f>J167</f>
        <v>128.5</v>
      </c>
      <c r="J167" s="147">
        <f>(128+129)/2</f>
        <v>128.5</v>
      </c>
      <c r="K167" s="107"/>
      <c r="L167" s="139"/>
      <c r="M167" s="139"/>
      <c r="N167" s="143" t="s">
        <v>174</v>
      </c>
      <c r="O167" s="152">
        <f t="shared" si="5"/>
        <v>140</v>
      </c>
      <c r="P167" s="107"/>
      <c r="Q167" s="107"/>
      <c r="R167" s="139"/>
      <c r="S167" s="106"/>
      <c r="T167" s="145"/>
      <c r="U167" s="151" t="s">
        <v>175</v>
      </c>
      <c r="V167" s="107"/>
      <c r="W167" s="107"/>
      <c r="X167" s="139"/>
      <c r="Y167" s="106"/>
      <c r="Z167" s="145"/>
      <c r="AA167" s="106"/>
      <c r="AB167" s="106"/>
      <c r="AC167" s="106"/>
    </row>
    <row r="168" spans="1:29" s="64" customFormat="1" x14ac:dyDescent="0.3">
      <c r="A168" s="185">
        <v>1877</v>
      </c>
      <c r="B168" s="146">
        <f t="shared" si="4"/>
        <v>132</v>
      </c>
      <c r="C168" s="107"/>
      <c r="D168" s="107"/>
      <c r="E168" s="149">
        <f>H222</f>
        <v>132</v>
      </c>
      <c r="F168" s="139"/>
      <c r="G168" s="139"/>
      <c r="H168" s="145"/>
      <c r="I168" s="106">
        <f>J168</f>
        <v>139</v>
      </c>
      <c r="J168" s="147">
        <v>139</v>
      </c>
      <c r="K168" s="107"/>
      <c r="L168" s="139"/>
      <c r="M168" s="139"/>
      <c r="N168" s="143" t="s">
        <v>174</v>
      </c>
      <c r="O168" s="152">
        <f t="shared" si="5"/>
        <v>140</v>
      </c>
      <c r="P168" s="107"/>
      <c r="Q168" s="107"/>
      <c r="R168" s="139"/>
      <c r="S168" s="106"/>
      <c r="T168" s="145"/>
      <c r="U168" s="151" t="s">
        <v>175</v>
      </c>
      <c r="V168" s="107"/>
      <c r="W168" s="107"/>
      <c r="X168" s="139"/>
      <c r="Y168" s="106"/>
      <c r="Z168" s="145"/>
      <c r="AA168" s="106"/>
      <c r="AB168" s="106"/>
      <c r="AC168" s="106"/>
    </row>
    <row r="169" spans="1:29" s="64" customFormat="1" x14ac:dyDescent="0.3">
      <c r="A169" s="185">
        <v>1878</v>
      </c>
      <c r="B169" s="152">
        <f>AVERAGE(B168,B170)</f>
        <v>133.5</v>
      </c>
      <c r="C169" s="107"/>
      <c r="D169" s="107"/>
      <c r="E169" s="139"/>
      <c r="F169" s="139"/>
      <c r="G169" s="139"/>
      <c r="H169" s="145"/>
      <c r="I169" s="106">
        <f>J169</f>
        <v>144</v>
      </c>
      <c r="J169" s="147">
        <f>(142+146)/2</f>
        <v>144</v>
      </c>
      <c r="K169" s="107"/>
      <c r="L169" s="139"/>
      <c r="M169" s="139"/>
      <c r="N169" s="143" t="s">
        <v>174</v>
      </c>
      <c r="O169" s="146">
        <f>P169</f>
        <v>140</v>
      </c>
      <c r="P169" s="147">
        <v>140</v>
      </c>
      <c r="Q169" s="107"/>
      <c r="R169" s="139"/>
      <c r="S169" s="106"/>
      <c r="T169" s="143" t="s">
        <v>174</v>
      </c>
      <c r="U169" s="151" t="s">
        <v>175</v>
      </c>
      <c r="V169" s="107"/>
      <c r="W169" s="107"/>
      <c r="X169" s="139"/>
      <c r="Y169" s="106"/>
      <c r="Z169" s="143"/>
      <c r="AA169" s="106"/>
      <c r="AB169" s="106"/>
      <c r="AC169" s="106"/>
    </row>
    <row r="170" spans="1:29" s="64" customFormat="1" x14ac:dyDescent="0.3">
      <c r="A170" s="185">
        <v>1879</v>
      </c>
      <c r="B170" s="146">
        <f t="shared" si="4"/>
        <v>135</v>
      </c>
      <c r="C170" s="107"/>
      <c r="D170" s="107"/>
      <c r="E170" s="149">
        <f>H223</f>
        <v>135</v>
      </c>
      <c r="F170" s="139"/>
      <c r="G170" s="139"/>
      <c r="H170" s="145"/>
      <c r="I170" s="106"/>
      <c r="J170" s="107"/>
      <c r="K170" s="107"/>
      <c r="L170" s="139"/>
      <c r="M170" s="139"/>
      <c r="N170" s="145"/>
      <c r="O170" s="146">
        <f>P170</f>
        <v>131</v>
      </c>
      <c r="P170" s="147">
        <v>131</v>
      </c>
      <c r="Q170" s="107"/>
      <c r="R170" s="139"/>
      <c r="S170" s="106"/>
      <c r="T170" s="143" t="s">
        <v>174</v>
      </c>
      <c r="U170" s="151" t="s">
        <v>177</v>
      </c>
      <c r="V170" s="107"/>
      <c r="W170" s="107"/>
      <c r="X170" s="139"/>
      <c r="Y170" s="106"/>
      <c r="Z170" s="143"/>
      <c r="AA170" s="106"/>
      <c r="AB170" s="106"/>
      <c r="AC170" s="106"/>
    </row>
    <row r="171" spans="1:29" s="64" customFormat="1" x14ac:dyDescent="0.3">
      <c r="A171" s="185">
        <v>1880</v>
      </c>
      <c r="B171" s="146">
        <f t="shared" si="4"/>
        <v>135</v>
      </c>
      <c r="C171" s="107"/>
      <c r="D171" s="107"/>
      <c r="E171" s="149">
        <f>H224</f>
        <v>135</v>
      </c>
      <c r="F171" s="139"/>
      <c r="G171" s="139"/>
      <c r="H171" s="145"/>
      <c r="I171" s="106"/>
      <c r="J171" s="107"/>
      <c r="K171" s="107"/>
      <c r="L171" s="139"/>
      <c r="M171" s="139"/>
      <c r="N171" s="145"/>
      <c r="O171" s="146">
        <f>P171</f>
        <v>131</v>
      </c>
      <c r="P171" s="147">
        <v>131</v>
      </c>
      <c r="Q171" s="107"/>
      <c r="R171" s="139"/>
      <c r="S171" s="106"/>
      <c r="T171" s="143" t="s">
        <v>174</v>
      </c>
      <c r="U171" s="151" t="s">
        <v>175</v>
      </c>
      <c r="V171" s="107"/>
      <c r="W171" s="107"/>
      <c r="X171" s="139"/>
      <c r="Y171" s="106"/>
      <c r="Z171" s="143"/>
      <c r="AA171" s="106"/>
      <c r="AB171" s="106"/>
      <c r="AC171" s="106"/>
    </row>
    <row r="172" spans="1:29" s="64" customFormat="1" x14ac:dyDescent="0.3">
      <c r="A172" s="185">
        <v>1881</v>
      </c>
      <c r="B172" s="146">
        <f t="shared" si="4"/>
        <v>135</v>
      </c>
      <c r="C172" s="107"/>
      <c r="D172" s="107"/>
      <c r="E172" s="149">
        <f>H225</f>
        <v>135</v>
      </c>
      <c r="F172" s="139"/>
      <c r="G172" s="139"/>
      <c r="H172" s="145"/>
      <c r="I172" s="106">
        <f>J172</f>
        <v>133</v>
      </c>
      <c r="J172" s="147">
        <v>133</v>
      </c>
      <c r="K172" s="147">
        <v>100</v>
      </c>
      <c r="L172" s="139"/>
      <c r="M172" s="139"/>
      <c r="N172" s="143" t="s">
        <v>174</v>
      </c>
      <c r="O172" s="146">
        <f>P172</f>
        <v>134</v>
      </c>
      <c r="P172" s="147">
        <v>134</v>
      </c>
      <c r="Q172" s="107"/>
      <c r="R172" s="139"/>
      <c r="S172" s="106"/>
      <c r="T172" s="143" t="s">
        <v>174</v>
      </c>
      <c r="U172" s="151" t="s">
        <v>175</v>
      </c>
      <c r="V172" s="107"/>
      <c r="W172" s="107"/>
      <c r="X172" s="139"/>
      <c r="Y172" s="106"/>
      <c r="Z172" s="143"/>
      <c r="AA172" s="106"/>
      <c r="AB172" s="106"/>
      <c r="AC172" s="106"/>
    </row>
    <row r="173" spans="1:29" s="64" customFormat="1" x14ac:dyDescent="0.3">
      <c r="A173" s="185">
        <v>1882</v>
      </c>
      <c r="B173" s="146">
        <f t="shared" si="4"/>
        <v>135</v>
      </c>
      <c r="C173" s="107"/>
      <c r="D173" s="147">
        <v>154</v>
      </c>
      <c r="E173" s="149">
        <f>H217</f>
        <v>135</v>
      </c>
      <c r="F173" s="139"/>
      <c r="G173" s="139"/>
      <c r="H173" s="143" t="s">
        <v>174</v>
      </c>
      <c r="I173" s="107">
        <f>J173</f>
        <v>135</v>
      </c>
      <c r="J173" s="147">
        <v>135</v>
      </c>
      <c r="K173" s="107"/>
      <c r="L173" s="139"/>
      <c r="M173" s="139"/>
      <c r="N173" s="143" t="s">
        <v>174</v>
      </c>
      <c r="O173" s="146" t="s">
        <v>175</v>
      </c>
      <c r="P173" s="107"/>
      <c r="Q173" s="107"/>
      <c r="R173" s="139"/>
      <c r="S173" s="106"/>
      <c r="T173" s="145"/>
      <c r="U173" s="151" t="s">
        <v>175</v>
      </c>
      <c r="V173" s="107"/>
      <c r="W173" s="107"/>
      <c r="X173" s="139"/>
      <c r="Y173" s="106"/>
      <c r="Z173" s="145"/>
      <c r="AA173" s="106"/>
      <c r="AB173" s="106"/>
      <c r="AC173" s="106"/>
    </row>
    <row r="174" spans="1:29" s="64" customFormat="1" x14ac:dyDescent="0.3">
      <c r="A174" s="185">
        <v>1883</v>
      </c>
      <c r="B174" s="146">
        <f t="shared" si="4"/>
        <v>135.5</v>
      </c>
      <c r="C174" s="107"/>
      <c r="D174" s="107"/>
      <c r="E174" s="149">
        <f>H226</f>
        <v>135.5</v>
      </c>
      <c r="F174" s="139"/>
      <c r="G174" s="139"/>
      <c r="H174" s="145"/>
      <c r="I174" s="146"/>
      <c r="J174" s="107"/>
      <c r="K174" s="107"/>
      <c r="L174" s="139"/>
      <c r="M174" s="139"/>
      <c r="N174" s="145"/>
      <c r="O174" s="146"/>
      <c r="P174" s="107"/>
      <c r="Q174" s="107"/>
      <c r="R174" s="139"/>
      <c r="S174" s="106"/>
      <c r="T174" s="145"/>
      <c r="U174" s="151"/>
      <c r="V174" s="107"/>
      <c r="W174" s="107"/>
      <c r="X174" s="139"/>
      <c r="Y174" s="106"/>
      <c r="Z174" s="145"/>
      <c r="AA174" s="106"/>
      <c r="AB174" s="106"/>
      <c r="AC174" s="106"/>
    </row>
    <row r="175" spans="1:29" s="64" customFormat="1" x14ac:dyDescent="0.3">
      <c r="A175" s="185">
        <v>1884</v>
      </c>
      <c r="B175" s="146">
        <f t="shared" si="4"/>
        <v>136</v>
      </c>
      <c r="C175" s="107"/>
      <c r="D175" s="107"/>
      <c r="E175" s="149">
        <f>H227</f>
        <v>136</v>
      </c>
      <c r="F175" s="139"/>
      <c r="G175" s="139"/>
      <c r="H175" s="145"/>
      <c r="I175" s="146"/>
      <c r="J175" s="107"/>
      <c r="K175" s="107"/>
      <c r="L175" s="139"/>
      <c r="M175" s="139"/>
      <c r="N175" s="145"/>
      <c r="O175" s="146"/>
      <c r="P175" s="107"/>
      <c r="Q175" s="107"/>
      <c r="R175" s="139"/>
      <c r="S175" s="106"/>
      <c r="T175" s="145"/>
      <c r="U175" s="151"/>
      <c r="V175" s="107"/>
      <c r="W175" s="107"/>
      <c r="X175" s="139"/>
      <c r="Y175" s="106"/>
      <c r="Z175" s="145"/>
      <c r="AA175" s="106"/>
      <c r="AB175" s="106"/>
      <c r="AC175" s="106"/>
    </row>
    <row r="176" spans="1:29" s="64" customFormat="1" x14ac:dyDescent="0.3">
      <c r="A176" s="185">
        <v>1908</v>
      </c>
      <c r="B176" s="152">
        <f>B177</f>
        <v>156</v>
      </c>
      <c r="C176" s="107"/>
      <c r="D176" s="107"/>
      <c r="E176" s="139"/>
      <c r="F176" s="139"/>
      <c r="G176" s="139"/>
      <c r="H176" s="143"/>
      <c r="I176" s="142"/>
      <c r="J176" s="107"/>
      <c r="K176" s="107"/>
      <c r="L176" s="139"/>
      <c r="M176" s="149">
        <f>I192</f>
        <v>279</v>
      </c>
      <c r="N176" s="106" t="s">
        <v>178</v>
      </c>
      <c r="O176" s="146"/>
      <c r="P176" s="153"/>
      <c r="Q176" s="107"/>
      <c r="R176" s="139"/>
      <c r="S176" s="106"/>
      <c r="T176" s="145"/>
      <c r="U176" s="151"/>
      <c r="V176" s="107"/>
      <c r="W176" s="107"/>
      <c r="X176" s="139"/>
      <c r="Y176" s="106"/>
      <c r="Z176" s="145"/>
      <c r="AA176" s="106"/>
      <c r="AB176" s="106"/>
      <c r="AC176" s="106"/>
    </row>
    <row r="177" spans="1:29" s="64" customFormat="1" x14ac:dyDescent="0.3">
      <c r="A177" s="185">
        <v>1909</v>
      </c>
      <c r="B177" s="146">
        <f>E177</f>
        <v>156</v>
      </c>
      <c r="C177" s="107"/>
      <c r="D177" s="107"/>
      <c r="E177" s="149">
        <f>H202</f>
        <v>156</v>
      </c>
      <c r="F177" s="139"/>
      <c r="G177" s="139"/>
      <c r="H177" s="145"/>
      <c r="I177" s="146">
        <f>L177</f>
        <v>136</v>
      </c>
      <c r="J177" s="107"/>
      <c r="K177" s="107"/>
      <c r="L177" s="149">
        <f>H198</f>
        <v>136</v>
      </c>
      <c r="M177" s="139"/>
      <c r="N177" s="145"/>
      <c r="O177" s="146"/>
      <c r="P177" s="107"/>
      <c r="Q177" s="107"/>
      <c r="R177" s="139"/>
      <c r="S177" s="106"/>
      <c r="T177" s="145"/>
      <c r="U177" s="151"/>
      <c r="V177" s="107"/>
      <c r="W177" s="107"/>
      <c r="X177" s="149">
        <f>I203</f>
        <v>279</v>
      </c>
      <c r="Y177" s="106"/>
      <c r="Z177" s="145"/>
      <c r="AA177" s="106"/>
      <c r="AB177" s="106"/>
      <c r="AC177" s="106"/>
    </row>
    <row r="178" spans="1:29" s="64" customFormat="1" x14ac:dyDescent="0.3">
      <c r="A178" s="185">
        <v>1910</v>
      </c>
      <c r="B178" s="146">
        <f>E178</f>
        <v>156</v>
      </c>
      <c r="C178" s="107"/>
      <c r="D178" s="107"/>
      <c r="E178" s="149">
        <f>H205</f>
        <v>156</v>
      </c>
      <c r="F178" s="139"/>
      <c r="G178" s="139"/>
      <c r="H178" s="145"/>
      <c r="I178" s="146">
        <f>L178</f>
        <v>136</v>
      </c>
      <c r="J178" s="107"/>
      <c r="K178" s="107"/>
      <c r="L178" s="149">
        <f>H204</f>
        <v>136</v>
      </c>
      <c r="M178" s="139"/>
      <c r="N178" s="145"/>
      <c r="O178" s="146"/>
      <c r="P178" s="107"/>
      <c r="Q178" s="107"/>
      <c r="R178" s="139"/>
      <c r="S178" s="106"/>
      <c r="T178" s="145"/>
      <c r="U178" s="151">
        <f>W178</f>
        <v>110</v>
      </c>
      <c r="V178" s="107"/>
      <c r="W178" s="147">
        <f>H206</f>
        <v>110</v>
      </c>
      <c r="X178" s="149">
        <f>I206</f>
        <v>279</v>
      </c>
      <c r="Y178" s="106"/>
      <c r="Z178" s="145"/>
      <c r="AA178" s="106"/>
      <c r="AB178" s="106"/>
      <c r="AC178" s="106"/>
    </row>
    <row r="179" spans="1:29" s="64" customFormat="1" x14ac:dyDescent="0.3">
      <c r="A179" s="185">
        <v>1911</v>
      </c>
      <c r="B179" s="146">
        <f>E179</f>
        <v>156</v>
      </c>
      <c r="C179" s="107"/>
      <c r="D179" s="107"/>
      <c r="E179" s="149">
        <f>H208</f>
        <v>156</v>
      </c>
      <c r="F179" s="139"/>
      <c r="G179" s="139"/>
      <c r="H179" s="145"/>
      <c r="I179" s="146">
        <f>L179</f>
        <v>136.25</v>
      </c>
      <c r="J179" s="107"/>
      <c r="K179" s="107"/>
      <c r="L179" s="149">
        <f>H207</f>
        <v>136.25</v>
      </c>
      <c r="M179" s="139"/>
      <c r="N179" s="145"/>
      <c r="O179" s="146"/>
      <c r="P179" s="107"/>
      <c r="Q179" s="107"/>
      <c r="R179" s="139"/>
      <c r="S179" s="106"/>
      <c r="T179" s="145"/>
      <c r="U179" s="151">
        <f>W179</f>
        <v>110</v>
      </c>
      <c r="V179" s="107"/>
      <c r="W179" s="147">
        <f>H209</f>
        <v>110</v>
      </c>
      <c r="X179" s="149">
        <f>I209</f>
        <v>279</v>
      </c>
      <c r="Y179" s="106"/>
      <c r="Z179" s="145"/>
      <c r="AA179" s="106"/>
      <c r="AB179" s="106"/>
      <c r="AC179" s="106"/>
    </row>
    <row r="180" spans="1:29" s="64" customFormat="1" x14ac:dyDescent="0.3">
      <c r="A180" s="185">
        <v>1912</v>
      </c>
      <c r="B180" s="146">
        <f>E180</f>
        <v>156</v>
      </c>
      <c r="C180" s="107"/>
      <c r="D180" s="107"/>
      <c r="E180" s="149">
        <f>H211</f>
        <v>156</v>
      </c>
      <c r="F180" s="139"/>
      <c r="G180" s="139"/>
      <c r="H180" s="145"/>
      <c r="I180" s="146">
        <f>L180</f>
        <v>136.25</v>
      </c>
      <c r="J180" s="107"/>
      <c r="K180" s="107"/>
      <c r="L180" s="149">
        <f>H210</f>
        <v>136.25</v>
      </c>
      <c r="M180" s="139"/>
      <c r="N180" s="145"/>
      <c r="O180" s="146"/>
      <c r="P180" s="107"/>
      <c r="Q180" s="107"/>
      <c r="R180" s="139"/>
      <c r="S180" s="106"/>
      <c r="T180" s="145"/>
      <c r="U180" s="151">
        <f>W180</f>
        <v>110</v>
      </c>
      <c r="V180" s="107"/>
      <c r="W180" s="147">
        <f>H212</f>
        <v>110</v>
      </c>
      <c r="X180" s="149">
        <f>I212</f>
        <v>279</v>
      </c>
      <c r="Y180" s="106"/>
      <c r="Z180" s="145"/>
      <c r="AA180" s="106"/>
      <c r="AB180" s="106"/>
      <c r="AC180" s="106"/>
    </row>
    <row r="181" spans="1:29" s="18" customFormat="1" x14ac:dyDescent="0.3">
      <c r="A181" s="184">
        <v>1913</v>
      </c>
      <c r="B181" s="155">
        <f>E181</f>
        <v>156</v>
      </c>
      <c r="C181" s="154"/>
      <c r="D181" s="154"/>
      <c r="E181" s="156">
        <f>H214</f>
        <v>156</v>
      </c>
      <c r="F181" s="154"/>
      <c r="G181" s="154"/>
      <c r="H181" s="157"/>
      <c r="I181" s="155">
        <f>L181</f>
        <v>136.25</v>
      </c>
      <c r="J181" s="154"/>
      <c r="K181" s="154"/>
      <c r="L181" s="156">
        <f>H213</f>
        <v>136.25</v>
      </c>
      <c r="M181" s="154"/>
      <c r="N181" s="157"/>
      <c r="O181" s="155"/>
      <c r="P181" s="154"/>
      <c r="Q181" s="154"/>
      <c r="R181" s="154"/>
      <c r="S181" s="158"/>
      <c r="T181" s="157"/>
      <c r="U181" s="159">
        <f>W181</f>
        <v>112</v>
      </c>
      <c r="V181" s="154"/>
      <c r="W181" s="156">
        <f>H215</f>
        <v>112</v>
      </c>
      <c r="X181" s="156">
        <f>I215</f>
        <v>279</v>
      </c>
      <c r="Y181" s="158"/>
      <c r="Z181" s="157"/>
      <c r="AA181" s="158"/>
      <c r="AB181" s="158"/>
      <c r="AC181" s="158"/>
    </row>
    <row r="182" spans="1:29" s="3" customFormat="1" x14ac:dyDescent="0.3">
      <c r="A182" s="183"/>
      <c r="B182" s="107"/>
      <c r="C182" s="107"/>
      <c r="D182" s="107"/>
      <c r="E182" s="107"/>
      <c r="F182" s="107"/>
      <c r="G182" s="107"/>
      <c r="H182" s="107"/>
      <c r="I182" s="107"/>
      <c r="J182" s="107"/>
      <c r="K182" s="107"/>
      <c r="L182" s="107"/>
      <c r="M182" s="107"/>
      <c r="N182" s="107"/>
      <c r="O182" s="107"/>
      <c r="P182" s="107"/>
      <c r="Q182" s="107"/>
      <c r="R182" s="107"/>
      <c r="S182" s="107"/>
      <c r="T182" s="107"/>
      <c r="U182" s="122"/>
      <c r="V182" s="107"/>
      <c r="W182" s="107"/>
      <c r="X182" s="107"/>
      <c r="Y182" s="107"/>
      <c r="Z182" s="107"/>
      <c r="AA182" s="107"/>
      <c r="AB182" s="107"/>
      <c r="AC182" s="107"/>
    </row>
    <row r="183" spans="1:29" s="3" customFormat="1" x14ac:dyDescent="0.3">
      <c r="A183" s="183"/>
      <c r="B183" s="107"/>
      <c r="C183" s="107"/>
      <c r="D183" s="107"/>
      <c r="E183" s="107"/>
      <c r="F183" s="107"/>
      <c r="G183" s="107"/>
      <c r="H183" s="107"/>
      <c r="I183" s="107"/>
      <c r="J183" s="107"/>
      <c r="K183" s="107"/>
      <c r="L183" s="107"/>
      <c r="M183" s="107"/>
      <c r="N183" s="107"/>
      <c r="O183" s="107"/>
      <c r="P183" s="107"/>
      <c r="Q183" s="107"/>
      <c r="R183" s="107"/>
      <c r="S183" s="107"/>
      <c r="T183" s="107"/>
      <c r="U183" s="122"/>
      <c r="V183" s="107"/>
      <c r="W183" s="107"/>
      <c r="X183" s="107"/>
      <c r="Y183" s="107"/>
      <c r="Z183" s="107"/>
      <c r="AA183" s="107"/>
      <c r="AB183" s="107"/>
      <c r="AC183" s="107"/>
    </row>
    <row r="184" spans="1:29" s="64" customFormat="1" x14ac:dyDescent="0.3">
      <c r="A184" s="106"/>
      <c r="B184" s="106"/>
      <c r="C184" s="106"/>
      <c r="D184" s="106"/>
      <c r="E184" s="106"/>
      <c r="F184" s="106"/>
      <c r="G184" s="106"/>
      <c r="H184" s="106"/>
      <c r="I184" s="106"/>
      <c r="J184" s="106"/>
      <c r="K184" s="106"/>
      <c r="L184" s="106"/>
      <c r="M184" s="106"/>
      <c r="N184" s="106"/>
      <c r="O184" s="106"/>
      <c r="P184" s="106"/>
      <c r="Q184" s="106"/>
      <c r="R184" s="106"/>
      <c r="S184" s="106"/>
      <c r="T184" s="106"/>
      <c r="U184" s="160"/>
      <c r="V184" s="106"/>
      <c r="W184" s="106"/>
      <c r="X184" s="106"/>
      <c r="Y184" s="106"/>
      <c r="Z184" s="106"/>
      <c r="AA184" s="106"/>
      <c r="AB184" s="106"/>
      <c r="AC184" s="106"/>
    </row>
    <row r="185" spans="1:29" s="64" customFormat="1" ht="30" customHeight="1" x14ac:dyDescent="0.3">
      <c r="A185" s="161"/>
      <c r="B185" s="161"/>
      <c r="C185" s="161"/>
      <c r="D185" s="161"/>
      <c r="E185" s="162" t="s">
        <v>175</v>
      </c>
      <c r="F185" s="161"/>
      <c r="G185" s="161"/>
      <c r="H185" s="106"/>
      <c r="I185" s="106"/>
      <c r="J185" s="163" t="s">
        <v>179</v>
      </c>
      <c r="K185" s="163" t="s">
        <v>180</v>
      </c>
      <c r="L185" s="163" t="s">
        <v>179</v>
      </c>
      <c r="M185" s="163" t="s">
        <v>180</v>
      </c>
      <c r="N185" s="161"/>
      <c r="O185" s="205" t="s">
        <v>172</v>
      </c>
      <c r="P185" s="206"/>
      <c r="Q185" s="206"/>
      <c r="R185" s="207"/>
      <c r="S185" s="161"/>
      <c r="T185" s="161"/>
      <c r="U185" s="106"/>
      <c r="V185" s="106"/>
      <c r="W185" s="106"/>
      <c r="X185" s="106"/>
      <c r="Y185" s="106"/>
      <c r="Z185" s="106"/>
      <c r="AA185" s="106"/>
      <c r="AB185" s="106"/>
      <c r="AC185" s="106"/>
    </row>
    <row r="186" spans="1:29" s="64" customFormat="1" ht="28.8" x14ac:dyDescent="0.3">
      <c r="A186" s="164" t="s">
        <v>181</v>
      </c>
      <c r="B186" s="164" t="s">
        <v>182</v>
      </c>
      <c r="C186" s="164" t="s">
        <v>183</v>
      </c>
      <c r="D186" s="164" t="s">
        <v>157</v>
      </c>
      <c r="E186" s="164" t="s">
        <v>25</v>
      </c>
      <c r="F186" s="164" t="s">
        <v>184</v>
      </c>
      <c r="G186" s="164" t="s">
        <v>185</v>
      </c>
      <c r="H186" s="164" t="s">
        <v>186</v>
      </c>
      <c r="I186" s="164" t="s">
        <v>187</v>
      </c>
      <c r="J186" s="164" t="s">
        <v>188</v>
      </c>
      <c r="K186" s="164" t="s">
        <v>189</v>
      </c>
      <c r="L186" s="164" t="s">
        <v>188</v>
      </c>
      <c r="M186" s="164" t="s">
        <v>189</v>
      </c>
      <c r="N186" s="165" t="s">
        <v>190</v>
      </c>
      <c r="O186" s="166" t="s">
        <v>191</v>
      </c>
      <c r="P186" s="208" t="s">
        <v>192</v>
      </c>
      <c r="Q186" s="208"/>
      <c r="R186" s="165" t="s">
        <v>193</v>
      </c>
      <c r="S186" s="161"/>
      <c r="T186" s="161"/>
      <c r="U186" s="106"/>
      <c r="V186" s="106"/>
      <c r="W186" s="106"/>
      <c r="X186" s="106"/>
      <c r="Y186" s="106"/>
      <c r="Z186" s="106"/>
      <c r="AA186" s="106"/>
      <c r="AB186" s="106"/>
      <c r="AC186" s="106"/>
    </row>
    <row r="187" spans="1:29" s="64" customFormat="1" x14ac:dyDescent="0.3">
      <c r="A187" s="140" t="s">
        <v>194</v>
      </c>
      <c r="B187" s="141" t="s">
        <v>163</v>
      </c>
      <c r="C187" s="167"/>
      <c r="D187" s="141" t="s">
        <v>116</v>
      </c>
      <c r="E187" s="182">
        <v>1908</v>
      </c>
      <c r="F187" s="141">
        <v>40</v>
      </c>
      <c r="G187" s="141"/>
      <c r="H187" s="141"/>
      <c r="I187" s="141">
        <f t="shared" ref="I187:I194" si="6">G187+F187/40</f>
        <v>1</v>
      </c>
      <c r="J187" s="141"/>
      <c r="K187" s="141"/>
      <c r="L187" s="141"/>
      <c r="M187" s="141"/>
      <c r="N187" s="141" t="s">
        <v>195</v>
      </c>
      <c r="O187" s="141" t="s">
        <v>196</v>
      </c>
      <c r="P187" s="141" t="s">
        <v>178</v>
      </c>
      <c r="Q187" s="141"/>
      <c r="R187" s="168" t="s">
        <v>197</v>
      </c>
      <c r="S187" s="106"/>
      <c r="T187" s="106"/>
      <c r="U187" s="106"/>
      <c r="V187" s="106"/>
      <c r="W187" s="106"/>
      <c r="X187" s="106"/>
      <c r="Y187" s="106"/>
      <c r="Z187" s="106"/>
      <c r="AA187" s="106"/>
      <c r="AB187" s="106"/>
      <c r="AC187" s="106"/>
    </row>
    <row r="188" spans="1:29" s="64" customFormat="1" x14ac:dyDescent="0.3">
      <c r="A188" s="142" t="s">
        <v>194</v>
      </c>
      <c r="B188" s="107" t="s">
        <v>163</v>
      </c>
      <c r="C188" s="107"/>
      <c r="D188" s="107" t="s">
        <v>198</v>
      </c>
      <c r="E188" s="183">
        <v>1908</v>
      </c>
      <c r="F188" s="107">
        <v>10</v>
      </c>
      <c r="G188" s="107">
        <v>6</v>
      </c>
      <c r="H188" s="107"/>
      <c r="I188" s="107">
        <f t="shared" si="6"/>
        <v>6.25</v>
      </c>
      <c r="J188" s="107"/>
      <c r="K188" s="107"/>
      <c r="L188" s="107"/>
      <c r="M188" s="107"/>
      <c r="N188" s="107"/>
      <c r="O188" s="107" t="s">
        <v>196</v>
      </c>
      <c r="P188" s="107" t="s">
        <v>178</v>
      </c>
      <c r="Q188" s="107"/>
      <c r="R188" s="169" t="s">
        <v>197</v>
      </c>
      <c r="S188" s="106"/>
      <c r="T188" s="106"/>
      <c r="U188" s="106"/>
      <c r="V188" s="106"/>
      <c r="W188" s="106"/>
      <c r="X188" s="106"/>
      <c r="Y188" s="106"/>
      <c r="Z188" s="106"/>
      <c r="AA188" s="106"/>
      <c r="AB188" s="106"/>
      <c r="AC188" s="106"/>
    </row>
    <row r="189" spans="1:29" s="64" customFormat="1" x14ac:dyDescent="0.3">
      <c r="A189" s="142" t="s">
        <v>194</v>
      </c>
      <c r="B189" s="107" t="s">
        <v>163</v>
      </c>
      <c r="C189" s="107"/>
      <c r="D189" s="107" t="s">
        <v>199</v>
      </c>
      <c r="E189" s="183">
        <v>1908</v>
      </c>
      <c r="F189" s="107">
        <v>20</v>
      </c>
      <c r="G189" s="107">
        <v>47</v>
      </c>
      <c r="H189" s="107"/>
      <c r="I189" s="107">
        <f t="shared" si="6"/>
        <v>47.5</v>
      </c>
      <c r="J189" s="107"/>
      <c r="K189" s="107"/>
      <c r="L189" s="107"/>
      <c r="M189" s="107"/>
      <c r="N189" s="107"/>
      <c r="O189" s="107" t="s">
        <v>196</v>
      </c>
      <c r="P189" s="107" t="s">
        <v>178</v>
      </c>
      <c r="Q189" s="107"/>
      <c r="R189" s="169" t="s">
        <v>197</v>
      </c>
      <c r="S189" s="106"/>
      <c r="T189" s="106"/>
      <c r="U189" s="106"/>
      <c r="V189" s="106"/>
      <c r="W189" s="106"/>
      <c r="X189" s="106"/>
      <c r="Y189" s="106"/>
      <c r="Z189" s="106"/>
      <c r="AA189" s="106"/>
      <c r="AB189" s="106"/>
      <c r="AC189" s="106"/>
    </row>
    <row r="190" spans="1:29" s="64" customFormat="1" x14ac:dyDescent="0.3">
      <c r="A190" s="142" t="s">
        <v>194</v>
      </c>
      <c r="B190" s="107" t="s">
        <v>163</v>
      </c>
      <c r="C190" s="107"/>
      <c r="D190" s="107" t="s">
        <v>200</v>
      </c>
      <c r="E190" s="183">
        <v>1908</v>
      </c>
      <c r="F190" s="107"/>
      <c r="G190" s="107">
        <v>222</v>
      </c>
      <c r="H190" s="107"/>
      <c r="I190" s="107">
        <f t="shared" si="6"/>
        <v>222</v>
      </c>
      <c r="J190" s="107"/>
      <c r="K190" s="107"/>
      <c r="L190" s="107"/>
      <c r="M190" s="107"/>
      <c r="N190" s="107"/>
      <c r="O190" s="107" t="s">
        <v>196</v>
      </c>
      <c r="P190" s="107" t="s">
        <v>178</v>
      </c>
      <c r="Q190" s="107"/>
      <c r="R190" s="169" t="s">
        <v>197</v>
      </c>
      <c r="S190" s="106"/>
      <c r="T190" s="106"/>
      <c r="U190" s="106"/>
      <c r="V190" s="106"/>
      <c r="W190" s="106"/>
      <c r="X190" s="106"/>
      <c r="Y190" s="106"/>
      <c r="Z190" s="106"/>
      <c r="AA190" s="106"/>
      <c r="AB190" s="106"/>
      <c r="AC190" s="106"/>
    </row>
    <row r="191" spans="1:29" s="64" customFormat="1" x14ac:dyDescent="0.3">
      <c r="A191" s="142" t="s">
        <v>194</v>
      </c>
      <c r="B191" s="107" t="s">
        <v>163</v>
      </c>
      <c r="C191" s="107"/>
      <c r="D191" s="107" t="s">
        <v>201</v>
      </c>
      <c r="E191" s="183">
        <v>1908</v>
      </c>
      <c r="F191" s="107"/>
      <c r="G191" s="107">
        <v>255</v>
      </c>
      <c r="H191" s="107"/>
      <c r="I191" s="107">
        <f t="shared" si="6"/>
        <v>255</v>
      </c>
      <c r="J191" s="107"/>
      <c r="K191" s="107"/>
      <c r="L191" s="107"/>
      <c r="M191" s="107"/>
      <c r="N191" s="107"/>
      <c r="O191" s="107" t="s">
        <v>196</v>
      </c>
      <c r="P191" s="107" t="s">
        <v>178</v>
      </c>
      <c r="Q191" s="107"/>
      <c r="R191" s="169" t="s">
        <v>197</v>
      </c>
      <c r="S191" s="106"/>
      <c r="T191" s="106"/>
      <c r="U191" s="106"/>
      <c r="V191" s="106"/>
      <c r="W191" s="106"/>
      <c r="X191" s="106"/>
      <c r="Y191" s="106"/>
      <c r="Z191" s="106"/>
      <c r="AA191" s="106"/>
      <c r="AB191" s="106"/>
      <c r="AC191" s="106"/>
    </row>
    <row r="192" spans="1:29" s="64" customFormat="1" x14ac:dyDescent="0.3">
      <c r="A192" s="142" t="s">
        <v>194</v>
      </c>
      <c r="B192" s="107" t="s">
        <v>163</v>
      </c>
      <c r="C192" s="107"/>
      <c r="D192" s="107" t="s">
        <v>202</v>
      </c>
      <c r="E192" s="183">
        <v>1908</v>
      </c>
      <c r="F192" s="107"/>
      <c r="G192" s="107">
        <v>279</v>
      </c>
      <c r="H192" s="107"/>
      <c r="I192" s="107">
        <f t="shared" si="6"/>
        <v>279</v>
      </c>
      <c r="J192" s="107"/>
      <c r="K192" s="107"/>
      <c r="L192" s="107"/>
      <c r="M192" s="107"/>
      <c r="N192" s="107"/>
      <c r="O192" s="107" t="s">
        <v>196</v>
      </c>
      <c r="P192" s="107" t="s">
        <v>178</v>
      </c>
      <c r="Q192" s="107"/>
      <c r="R192" s="169" t="s">
        <v>197</v>
      </c>
      <c r="S192" s="106"/>
      <c r="T192" s="106"/>
      <c r="U192" s="106"/>
      <c r="V192" s="106"/>
      <c r="W192" s="106"/>
      <c r="X192" s="106"/>
      <c r="Y192" s="106"/>
      <c r="Z192" s="106"/>
      <c r="AA192" s="106"/>
      <c r="AB192" s="106"/>
      <c r="AC192" s="106"/>
    </row>
    <row r="193" spans="1:29" s="64" customFormat="1" x14ac:dyDescent="0.3">
      <c r="A193" s="142" t="s">
        <v>194</v>
      </c>
      <c r="B193" s="107" t="s">
        <v>163</v>
      </c>
      <c r="C193" s="107"/>
      <c r="D193" s="107" t="s">
        <v>203</v>
      </c>
      <c r="E193" s="183">
        <v>1908</v>
      </c>
      <c r="F193" s="107">
        <v>4</v>
      </c>
      <c r="G193" s="107">
        <v>11</v>
      </c>
      <c r="H193" s="107"/>
      <c r="I193" s="107">
        <f t="shared" si="6"/>
        <v>11.1</v>
      </c>
      <c r="J193" s="107"/>
      <c r="K193" s="107"/>
      <c r="L193" s="107"/>
      <c r="M193" s="107"/>
      <c r="N193" s="107"/>
      <c r="O193" s="107" t="s">
        <v>196</v>
      </c>
      <c r="P193" s="107" t="s">
        <v>178</v>
      </c>
      <c r="Q193" s="107"/>
      <c r="R193" s="169" t="s">
        <v>197</v>
      </c>
      <c r="S193" s="106"/>
      <c r="T193" s="106"/>
      <c r="U193" s="106"/>
      <c r="V193" s="106"/>
      <c r="W193" s="106"/>
      <c r="X193" s="106"/>
      <c r="Y193" s="106"/>
      <c r="Z193" s="106"/>
      <c r="AA193" s="106"/>
      <c r="AB193" s="106"/>
      <c r="AC193" s="106"/>
    </row>
    <row r="194" spans="1:29" s="64" customFormat="1" x14ac:dyDescent="0.3">
      <c r="A194" s="142" t="s">
        <v>194</v>
      </c>
      <c r="B194" s="107" t="s">
        <v>163</v>
      </c>
      <c r="C194" s="107"/>
      <c r="D194" s="107" t="s">
        <v>204</v>
      </c>
      <c r="E194" s="183">
        <v>1908</v>
      </c>
      <c r="F194" s="107">
        <v>38</v>
      </c>
      <c r="G194" s="107">
        <v>13</v>
      </c>
      <c r="H194" s="107"/>
      <c r="I194" s="107">
        <f t="shared" si="6"/>
        <v>13.95</v>
      </c>
      <c r="J194" s="107"/>
      <c r="K194" s="107"/>
      <c r="L194" s="107"/>
      <c r="M194" s="107"/>
      <c r="N194" s="107"/>
      <c r="O194" s="107" t="s">
        <v>196</v>
      </c>
      <c r="P194" s="107" t="s">
        <v>178</v>
      </c>
      <c r="Q194" s="107"/>
      <c r="R194" s="169" t="s">
        <v>197</v>
      </c>
      <c r="S194" s="106"/>
      <c r="T194" s="106"/>
      <c r="U194" s="106"/>
      <c r="V194" s="106"/>
      <c r="W194" s="106"/>
      <c r="X194" s="106"/>
      <c r="Y194" s="106"/>
      <c r="Z194" s="106"/>
      <c r="AA194" s="106"/>
      <c r="AB194" s="106"/>
      <c r="AC194" s="106"/>
    </row>
    <row r="195" spans="1:29" s="64" customFormat="1" x14ac:dyDescent="0.3">
      <c r="A195" s="142" t="s">
        <v>194</v>
      </c>
      <c r="B195" s="107" t="s">
        <v>163</v>
      </c>
      <c r="C195" s="107"/>
      <c r="D195" s="107" t="s">
        <v>205</v>
      </c>
      <c r="E195" s="183">
        <v>1909</v>
      </c>
      <c r="F195" s="107"/>
      <c r="G195" s="107">
        <v>23</v>
      </c>
      <c r="H195" s="107">
        <f>G195+F195/40</f>
        <v>23</v>
      </c>
      <c r="I195" s="107"/>
      <c r="J195" s="107"/>
      <c r="K195" s="107"/>
      <c r="L195" s="107"/>
      <c r="M195" s="107"/>
      <c r="N195" s="107"/>
      <c r="O195" s="107"/>
      <c r="P195" s="133" t="s">
        <v>206</v>
      </c>
      <c r="Q195" s="107"/>
      <c r="R195" s="169" t="s">
        <v>197</v>
      </c>
      <c r="S195" s="106"/>
      <c r="T195" s="106"/>
      <c r="U195" s="106"/>
      <c r="V195" s="106"/>
      <c r="W195" s="106"/>
      <c r="X195" s="106"/>
      <c r="Y195" s="106"/>
      <c r="Z195" s="106"/>
      <c r="AA195" s="106"/>
      <c r="AB195" s="106"/>
      <c r="AC195" s="106"/>
    </row>
    <row r="196" spans="1:29" s="64" customFormat="1" x14ac:dyDescent="0.3">
      <c r="A196" s="142" t="s">
        <v>194</v>
      </c>
      <c r="B196" s="107" t="s">
        <v>163</v>
      </c>
      <c r="C196" s="107"/>
      <c r="D196" s="107" t="s">
        <v>207</v>
      </c>
      <c r="E196" s="183">
        <v>1909</v>
      </c>
      <c r="F196" s="107"/>
      <c r="G196" s="107">
        <v>109</v>
      </c>
      <c r="H196" s="107">
        <f>G196+F196/40</f>
        <v>109</v>
      </c>
      <c r="I196" s="107"/>
      <c r="J196" s="107"/>
      <c r="K196" s="107"/>
      <c r="L196" s="107"/>
      <c r="M196" s="107"/>
      <c r="N196" s="107"/>
      <c r="O196" s="107"/>
      <c r="P196" s="133" t="s">
        <v>206</v>
      </c>
      <c r="Q196" s="107"/>
      <c r="R196" s="169" t="s">
        <v>197</v>
      </c>
      <c r="S196" s="106"/>
      <c r="T196" s="106"/>
      <c r="U196" s="106"/>
      <c r="V196" s="106"/>
      <c r="W196" s="106"/>
      <c r="X196" s="106"/>
      <c r="Y196" s="106"/>
      <c r="Z196" s="106"/>
      <c r="AA196" s="106"/>
      <c r="AB196" s="106"/>
      <c r="AC196" s="106"/>
    </row>
    <row r="197" spans="1:29" s="64" customFormat="1" x14ac:dyDescent="0.3">
      <c r="A197" s="142" t="s">
        <v>194</v>
      </c>
      <c r="B197" s="107" t="s">
        <v>163</v>
      </c>
      <c r="C197" s="107"/>
      <c r="D197" s="107" t="s">
        <v>201</v>
      </c>
      <c r="E197" s="183">
        <v>1909</v>
      </c>
      <c r="F197" s="107"/>
      <c r="G197" s="107">
        <v>124</v>
      </c>
      <c r="H197" s="107">
        <f>G197+F197/40</f>
        <v>124</v>
      </c>
      <c r="I197" s="107"/>
      <c r="J197" s="107"/>
      <c r="K197" s="107"/>
      <c r="L197" s="107"/>
      <c r="M197" s="107"/>
      <c r="N197" s="107"/>
      <c r="O197" s="107"/>
      <c r="P197" s="133" t="s">
        <v>206</v>
      </c>
      <c r="Q197" s="107"/>
      <c r="R197" s="169" t="s">
        <v>197</v>
      </c>
      <c r="S197" s="106"/>
      <c r="T197" s="106"/>
      <c r="U197" s="106"/>
      <c r="V197" s="106"/>
      <c r="W197" s="106"/>
      <c r="X197" s="106"/>
      <c r="Y197" s="106"/>
      <c r="Z197" s="106"/>
      <c r="AA197" s="106"/>
      <c r="AB197" s="106"/>
      <c r="AC197" s="106"/>
    </row>
    <row r="198" spans="1:29" s="64" customFormat="1" x14ac:dyDescent="0.3">
      <c r="A198" s="142" t="s">
        <v>194</v>
      </c>
      <c r="B198" s="107" t="s">
        <v>163</v>
      </c>
      <c r="C198" s="107"/>
      <c r="D198" s="107" t="s">
        <v>208</v>
      </c>
      <c r="E198" s="183">
        <v>1909</v>
      </c>
      <c r="F198" s="107"/>
      <c r="G198" s="107">
        <v>136</v>
      </c>
      <c r="H198" s="107">
        <f>G198+F198/40</f>
        <v>136</v>
      </c>
      <c r="I198" s="107"/>
      <c r="J198" s="107"/>
      <c r="K198" s="107"/>
      <c r="L198" s="107"/>
      <c r="M198" s="107"/>
      <c r="N198" s="107"/>
      <c r="O198" s="107"/>
      <c r="P198" s="133" t="s">
        <v>206</v>
      </c>
      <c r="Q198" s="107"/>
      <c r="R198" s="169" t="s">
        <v>197</v>
      </c>
      <c r="S198" s="106"/>
      <c r="T198" s="106"/>
      <c r="U198" s="106"/>
      <c r="V198" s="106"/>
      <c r="W198" s="106"/>
      <c r="X198" s="106"/>
      <c r="Y198" s="106"/>
      <c r="Z198" s="106"/>
      <c r="AA198" s="106"/>
      <c r="AB198" s="106"/>
      <c r="AC198" s="106"/>
    </row>
    <row r="199" spans="1:29" s="64" customFormat="1" x14ac:dyDescent="0.3">
      <c r="A199" s="142" t="s">
        <v>194</v>
      </c>
      <c r="B199" s="107" t="s">
        <v>163</v>
      </c>
      <c r="C199" s="107"/>
      <c r="D199" s="107" t="s">
        <v>208</v>
      </c>
      <c r="E199" s="183">
        <v>1909</v>
      </c>
      <c r="F199" s="107"/>
      <c r="G199" s="107"/>
      <c r="H199" s="107"/>
      <c r="I199" s="107"/>
      <c r="J199" s="107">
        <v>25</v>
      </c>
      <c r="K199" s="107">
        <v>20</v>
      </c>
      <c r="L199" s="107">
        <v>25</v>
      </c>
      <c r="M199" s="107">
        <v>25</v>
      </c>
      <c r="N199" s="107"/>
      <c r="O199" s="107"/>
      <c r="P199" s="133" t="s">
        <v>206</v>
      </c>
      <c r="Q199" s="107"/>
      <c r="R199" s="169" t="s">
        <v>197</v>
      </c>
      <c r="S199" s="106"/>
      <c r="T199" s="106"/>
      <c r="U199" s="106"/>
      <c r="V199" s="106"/>
      <c r="W199" s="106"/>
      <c r="X199" s="106"/>
      <c r="Y199" s="106"/>
      <c r="Z199" s="106"/>
      <c r="AA199" s="106"/>
      <c r="AB199" s="106"/>
      <c r="AC199" s="106"/>
    </row>
    <row r="200" spans="1:29" s="64" customFormat="1" x14ac:dyDescent="0.3">
      <c r="A200" s="142" t="s">
        <v>194</v>
      </c>
      <c r="B200" s="107" t="s">
        <v>163</v>
      </c>
      <c r="C200" s="107"/>
      <c r="D200" s="107" t="s">
        <v>208</v>
      </c>
      <c r="E200" s="183">
        <v>1909</v>
      </c>
      <c r="F200" s="107"/>
      <c r="G200" s="107"/>
      <c r="H200" s="107"/>
      <c r="I200" s="107"/>
      <c r="J200" s="107">
        <v>25</v>
      </c>
      <c r="K200" s="107">
        <v>2</v>
      </c>
      <c r="L200" s="107">
        <v>25</v>
      </c>
      <c r="M200" s="107">
        <v>13</v>
      </c>
      <c r="N200" s="107"/>
      <c r="O200" s="107"/>
      <c r="P200" s="133" t="s">
        <v>206</v>
      </c>
      <c r="Q200" s="107"/>
      <c r="R200" s="169" t="s">
        <v>197</v>
      </c>
      <c r="S200" s="106"/>
      <c r="T200" s="106"/>
      <c r="U200" s="106"/>
      <c r="V200" s="106"/>
      <c r="W200" s="106"/>
      <c r="X200" s="106"/>
      <c r="Y200" s="106"/>
      <c r="Z200" s="106"/>
      <c r="AA200" s="106"/>
      <c r="AB200" s="106"/>
      <c r="AC200" s="106"/>
    </row>
    <row r="201" spans="1:29" s="64" customFormat="1" x14ac:dyDescent="0.3">
      <c r="A201" s="142" t="s">
        <v>194</v>
      </c>
      <c r="B201" s="107" t="s">
        <v>163</v>
      </c>
      <c r="C201" s="107"/>
      <c r="D201" s="107" t="s">
        <v>208</v>
      </c>
      <c r="E201" s="183">
        <v>1909</v>
      </c>
      <c r="F201" s="107"/>
      <c r="G201" s="107"/>
      <c r="H201" s="107"/>
      <c r="I201" s="107"/>
      <c r="J201" s="107">
        <v>25</v>
      </c>
      <c r="K201" s="107">
        <v>10</v>
      </c>
      <c r="L201" s="107">
        <v>25</v>
      </c>
      <c r="M201" s="107">
        <v>17</v>
      </c>
      <c r="N201" s="107"/>
      <c r="O201" s="107"/>
      <c r="P201" s="133" t="s">
        <v>206</v>
      </c>
      <c r="Q201" s="107"/>
      <c r="R201" s="169" t="s">
        <v>197</v>
      </c>
      <c r="S201" s="106"/>
      <c r="T201" s="106"/>
      <c r="U201" s="106"/>
      <c r="V201" s="106"/>
      <c r="W201" s="106"/>
      <c r="X201" s="106"/>
      <c r="Y201" s="106"/>
      <c r="Z201" s="106"/>
      <c r="AA201" s="106"/>
      <c r="AB201" s="106"/>
      <c r="AC201" s="106"/>
    </row>
    <row r="202" spans="1:29" s="64" customFormat="1" x14ac:dyDescent="0.3">
      <c r="A202" s="142" t="s">
        <v>194</v>
      </c>
      <c r="B202" s="107" t="s">
        <v>163</v>
      </c>
      <c r="C202" s="107" t="s">
        <v>162</v>
      </c>
      <c r="D202" s="107" t="s">
        <v>208</v>
      </c>
      <c r="E202" s="183">
        <v>1909</v>
      </c>
      <c r="F202" s="107"/>
      <c r="G202" s="107">
        <v>156</v>
      </c>
      <c r="H202" s="107">
        <f>G202+F202/40</f>
        <v>156</v>
      </c>
      <c r="I202" s="107"/>
      <c r="J202" s="107"/>
      <c r="K202" s="107"/>
      <c r="L202" s="107"/>
      <c r="M202" s="107"/>
      <c r="N202" s="107"/>
      <c r="O202" s="107"/>
      <c r="P202" s="133" t="s">
        <v>206</v>
      </c>
      <c r="Q202" s="107"/>
      <c r="R202" s="180">
        <v>14</v>
      </c>
      <c r="S202" s="106"/>
      <c r="T202" s="106"/>
      <c r="U202" s="106"/>
      <c r="V202" s="106"/>
      <c r="W202" s="106"/>
      <c r="X202" s="106"/>
      <c r="Y202" s="106"/>
      <c r="Z202" s="106"/>
      <c r="AA202" s="106"/>
      <c r="AB202" s="106"/>
      <c r="AC202" s="106"/>
    </row>
    <row r="203" spans="1:29" s="64" customFormat="1" x14ac:dyDescent="0.3">
      <c r="A203" s="142" t="s">
        <v>194</v>
      </c>
      <c r="B203" s="107" t="s">
        <v>163</v>
      </c>
      <c r="C203" s="107" t="s">
        <v>165</v>
      </c>
      <c r="D203" s="107" t="s">
        <v>208</v>
      </c>
      <c r="E203" s="183">
        <v>1909</v>
      </c>
      <c r="F203" s="107"/>
      <c r="G203" s="107"/>
      <c r="H203" s="107"/>
      <c r="I203" s="107">
        <v>279</v>
      </c>
      <c r="J203" s="107"/>
      <c r="K203" s="107"/>
      <c r="L203" s="107"/>
      <c r="M203" s="107"/>
      <c r="N203" s="107"/>
      <c r="O203" s="107"/>
      <c r="P203" s="133"/>
      <c r="Q203" s="107"/>
      <c r="R203" s="180"/>
      <c r="S203" s="106"/>
      <c r="T203" s="106"/>
      <c r="U203" s="106"/>
      <c r="V203" s="106"/>
      <c r="W203" s="106"/>
      <c r="X203" s="106"/>
      <c r="Y203" s="106"/>
      <c r="Z203" s="106"/>
      <c r="AA203" s="106"/>
      <c r="AB203" s="106"/>
      <c r="AC203" s="106"/>
    </row>
    <row r="204" spans="1:29" s="64" customFormat="1" x14ac:dyDescent="0.3">
      <c r="A204" s="142" t="s">
        <v>194</v>
      </c>
      <c r="B204" s="107" t="s">
        <v>163</v>
      </c>
      <c r="C204" s="107"/>
      <c r="D204" s="107" t="s">
        <v>208</v>
      </c>
      <c r="E204" s="183">
        <v>1910</v>
      </c>
      <c r="F204" s="107"/>
      <c r="G204" s="107">
        <v>136</v>
      </c>
      <c r="H204" s="107">
        <f t="shared" ref="H204:H228" si="7">G204+F204/40</f>
        <v>136</v>
      </c>
      <c r="I204" s="107"/>
      <c r="J204" s="107"/>
      <c r="K204" s="107"/>
      <c r="L204" s="107"/>
      <c r="M204" s="107"/>
      <c r="N204" s="107"/>
      <c r="O204" s="107"/>
      <c r="P204" s="133"/>
      <c r="Q204" s="107"/>
      <c r="R204" s="180"/>
      <c r="S204" s="106"/>
      <c r="T204" s="106"/>
      <c r="U204" s="106"/>
      <c r="V204" s="106"/>
      <c r="W204" s="106"/>
      <c r="X204" s="106"/>
      <c r="Y204" s="106"/>
      <c r="Z204" s="106"/>
      <c r="AA204" s="106"/>
      <c r="AB204" s="106"/>
      <c r="AC204" s="106"/>
    </row>
    <row r="205" spans="1:29" s="64" customFormat="1" x14ac:dyDescent="0.3">
      <c r="A205" s="142" t="s">
        <v>194</v>
      </c>
      <c r="B205" s="107" t="s">
        <v>163</v>
      </c>
      <c r="C205" s="107" t="s">
        <v>162</v>
      </c>
      <c r="D205" s="107" t="s">
        <v>208</v>
      </c>
      <c r="E205" s="183">
        <v>1910</v>
      </c>
      <c r="F205" s="107"/>
      <c r="G205" s="107">
        <v>156</v>
      </c>
      <c r="H205" s="107">
        <f t="shared" si="7"/>
        <v>156</v>
      </c>
      <c r="I205" s="107"/>
      <c r="J205" s="107"/>
      <c r="K205" s="107"/>
      <c r="L205" s="107"/>
      <c r="M205" s="107"/>
      <c r="N205" s="107"/>
      <c r="O205" s="107"/>
      <c r="P205" s="133"/>
      <c r="Q205" s="107"/>
      <c r="R205" s="180"/>
      <c r="S205" s="106"/>
      <c r="T205" s="106"/>
      <c r="U205" s="106"/>
      <c r="V205" s="106"/>
      <c r="W205" s="106"/>
      <c r="X205" s="106"/>
      <c r="Y205" s="106"/>
      <c r="Z205" s="106"/>
      <c r="AA205" s="106"/>
      <c r="AB205" s="106"/>
      <c r="AC205" s="106"/>
    </row>
    <row r="206" spans="1:29" s="64" customFormat="1" x14ac:dyDescent="0.3">
      <c r="A206" s="142" t="s">
        <v>194</v>
      </c>
      <c r="B206" s="107" t="s">
        <v>163</v>
      </c>
      <c r="C206" s="107" t="s">
        <v>165</v>
      </c>
      <c r="D206" s="107" t="s">
        <v>208</v>
      </c>
      <c r="E206" s="183">
        <v>1910</v>
      </c>
      <c r="F206" s="107"/>
      <c r="G206" s="107">
        <v>110</v>
      </c>
      <c r="H206" s="107">
        <f t="shared" si="7"/>
        <v>110</v>
      </c>
      <c r="I206" s="107">
        <v>279</v>
      </c>
      <c r="J206" s="107"/>
      <c r="K206" s="107"/>
      <c r="L206" s="107"/>
      <c r="M206" s="107"/>
      <c r="N206" s="107"/>
      <c r="O206" s="107"/>
      <c r="P206" s="133"/>
      <c r="Q206" s="107"/>
      <c r="R206" s="180"/>
      <c r="S206" s="106"/>
      <c r="T206" s="106"/>
      <c r="U206" s="106"/>
      <c r="V206" s="106"/>
      <c r="W206" s="106"/>
      <c r="X206" s="106"/>
      <c r="Y206" s="106"/>
      <c r="Z206" s="106"/>
      <c r="AA206" s="106"/>
      <c r="AB206" s="106"/>
      <c r="AC206" s="106"/>
    </row>
    <row r="207" spans="1:29" s="64" customFormat="1" x14ac:dyDescent="0.3">
      <c r="A207" s="142" t="s">
        <v>194</v>
      </c>
      <c r="B207" s="107" t="s">
        <v>163</v>
      </c>
      <c r="C207" s="107"/>
      <c r="D207" s="107" t="s">
        <v>208</v>
      </c>
      <c r="E207" s="183">
        <v>1911</v>
      </c>
      <c r="F207" s="107"/>
      <c r="G207" s="107">
        <v>136.25</v>
      </c>
      <c r="H207" s="107">
        <f t="shared" si="7"/>
        <v>136.25</v>
      </c>
      <c r="I207" s="107"/>
      <c r="J207" s="107"/>
      <c r="K207" s="107"/>
      <c r="L207" s="107"/>
      <c r="M207" s="107"/>
      <c r="N207" s="107"/>
      <c r="O207" s="107"/>
      <c r="P207" s="133"/>
      <c r="Q207" s="107"/>
      <c r="R207" s="180"/>
      <c r="S207" s="106"/>
      <c r="T207" s="106"/>
      <c r="U207" s="106"/>
      <c r="V207" s="106"/>
      <c r="W207" s="106"/>
      <c r="X207" s="106"/>
      <c r="Y207" s="106"/>
      <c r="Z207" s="106"/>
      <c r="AA207" s="106"/>
      <c r="AB207" s="106"/>
      <c r="AC207" s="106"/>
    </row>
    <row r="208" spans="1:29" s="64" customFormat="1" x14ac:dyDescent="0.3">
      <c r="A208" s="142" t="s">
        <v>194</v>
      </c>
      <c r="B208" s="107" t="s">
        <v>163</v>
      </c>
      <c r="C208" s="107" t="s">
        <v>162</v>
      </c>
      <c r="D208" s="107" t="s">
        <v>208</v>
      </c>
      <c r="E208" s="183">
        <v>1911</v>
      </c>
      <c r="F208" s="107"/>
      <c r="G208" s="107">
        <v>156</v>
      </c>
      <c r="H208" s="107">
        <f t="shared" si="7"/>
        <v>156</v>
      </c>
      <c r="I208" s="107"/>
      <c r="J208" s="107"/>
      <c r="K208" s="107"/>
      <c r="L208" s="107"/>
      <c r="M208" s="107"/>
      <c r="N208" s="107"/>
      <c r="O208" s="107"/>
      <c r="P208" s="133" t="s">
        <v>209</v>
      </c>
      <c r="Q208" s="107"/>
      <c r="R208" s="180">
        <v>9</v>
      </c>
      <c r="S208" s="106"/>
      <c r="T208" s="106"/>
      <c r="U208" s="106"/>
      <c r="V208" s="106"/>
      <c r="W208" s="106"/>
      <c r="X208" s="106"/>
      <c r="Y208" s="106"/>
      <c r="Z208" s="106"/>
      <c r="AA208" s="106"/>
      <c r="AB208" s="106"/>
      <c r="AC208" s="106"/>
    </row>
    <row r="209" spans="1:29" s="64" customFormat="1" x14ac:dyDescent="0.3">
      <c r="A209" s="142" t="s">
        <v>194</v>
      </c>
      <c r="B209" s="107" t="s">
        <v>163</v>
      </c>
      <c r="C209" s="107" t="s">
        <v>165</v>
      </c>
      <c r="D209" s="107" t="s">
        <v>208</v>
      </c>
      <c r="E209" s="183">
        <v>1911</v>
      </c>
      <c r="F209" s="107"/>
      <c r="G209" s="107">
        <v>110</v>
      </c>
      <c r="H209" s="107">
        <f t="shared" si="7"/>
        <v>110</v>
      </c>
      <c r="I209" s="107">
        <v>279</v>
      </c>
      <c r="J209" s="107"/>
      <c r="K209" s="107"/>
      <c r="L209" s="107"/>
      <c r="M209" s="107"/>
      <c r="N209" s="107"/>
      <c r="O209" s="107"/>
      <c r="P209" s="133" t="s">
        <v>209</v>
      </c>
      <c r="Q209" s="107"/>
      <c r="R209" s="180">
        <v>15</v>
      </c>
      <c r="S209" s="106"/>
      <c r="T209" s="106"/>
      <c r="U209" s="106"/>
      <c r="V209" s="106"/>
      <c r="W209" s="106"/>
      <c r="X209" s="106"/>
      <c r="Y209" s="106"/>
      <c r="Z209" s="106"/>
      <c r="AA209" s="106"/>
      <c r="AB209" s="106"/>
      <c r="AC209" s="106"/>
    </row>
    <row r="210" spans="1:29" s="64" customFormat="1" x14ac:dyDescent="0.3">
      <c r="A210" s="142" t="s">
        <v>194</v>
      </c>
      <c r="B210" s="107" t="s">
        <v>163</v>
      </c>
      <c r="C210" s="107"/>
      <c r="D210" s="107" t="s">
        <v>208</v>
      </c>
      <c r="E210" s="183">
        <v>1912</v>
      </c>
      <c r="F210" s="107"/>
      <c r="G210" s="107">
        <v>136.25</v>
      </c>
      <c r="H210" s="107">
        <f t="shared" si="7"/>
        <v>136.25</v>
      </c>
      <c r="I210" s="107"/>
      <c r="J210" s="107"/>
      <c r="K210" s="107"/>
      <c r="L210" s="107"/>
      <c r="M210" s="107"/>
      <c r="N210" s="107"/>
      <c r="O210" s="107"/>
      <c r="P210" s="133"/>
      <c r="Q210" s="107"/>
      <c r="R210" s="180"/>
      <c r="S210" s="106"/>
      <c r="T210" s="106"/>
      <c r="U210" s="106"/>
      <c r="V210" s="106"/>
      <c r="W210" s="106"/>
      <c r="X210" s="106"/>
      <c r="Y210" s="106"/>
      <c r="Z210" s="106"/>
      <c r="AA210" s="106"/>
      <c r="AB210" s="106"/>
      <c r="AC210" s="106"/>
    </row>
    <row r="211" spans="1:29" s="64" customFormat="1" x14ac:dyDescent="0.3">
      <c r="A211" s="142" t="s">
        <v>194</v>
      </c>
      <c r="B211" s="107" t="s">
        <v>163</v>
      </c>
      <c r="C211" s="107" t="s">
        <v>162</v>
      </c>
      <c r="D211" s="107" t="s">
        <v>208</v>
      </c>
      <c r="E211" s="183">
        <v>1912</v>
      </c>
      <c r="F211" s="107"/>
      <c r="G211" s="107">
        <v>156</v>
      </c>
      <c r="H211" s="107">
        <f t="shared" si="7"/>
        <v>156</v>
      </c>
      <c r="I211" s="107"/>
      <c r="J211" s="107"/>
      <c r="K211" s="107"/>
      <c r="L211" s="107"/>
      <c r="M211" s="107"/>
      <c r="N211" s="107"/>
      <c r="O211" s="107"/>
      <c r="P211" s="133"/>
      <c r="Q211" s="107"/>
      <c r="R211" s="180"/>
      <c r="S211" s="106"/>
      <c r="T211" s="106"/>
      <c r="U211" s="106"/>
      <c r="V211" s="106"/>
      <c r="W211" s="106"/>
      <c r="X211" s="106"/>
      <c r="Y211" s="106"/>
      <c r="Z211" s="106"/>
      <c r="AA211" s="106"/>
      <c r="AB211" s="106"/>
      <c r="AC211" s="106"/>
    </row>
    <row r="212" spans="1:29" s="64" customFormat="1" x14ac:dyDescent="0.3">
      <c r="A212" s="142" t="s">
        <v>194</v>
      </c>
      <c r="B212" s="107" t="s">
        <v>163</v>
      </c>
      <c r="C212" s="107" t="s">
        <v>165</v>
      </c>
      <c r="D212" s="107" t="s">
        <v>208</v>
      </c>
      <c r="E212" s="183">
        <v>1912</v>
      </c>
      <c r="F212" s="107"/>
      <c r="G212" s="107">
        <v>110</v>
      </c>
      <c r="H212" s="107">
        <f t="shared" si="7"/>
        <v>110</v>
      </c>
      <c r="I212" s="107">
        <v>279</v>
      </c>
      <c r="J212" s="107"/>
      <c r="K212" s="107"/>
      <c r="L212" s="107"/>
      <c r="M212" s="107"/>
      <c r="N212" s="107"/>
      <c r="O212" s="107"/>
      <c r="P212" s="133"/>
      <c r="Q212" s="107"/>
      <c r="R212" s="180"/>
      <c r="S212" s="106"/>
      <c r="T212" s="106"/>
      <c r="U212" s="106"/>
      <c r="V212" s="106"/>
      <c r="W212" s="106"/>
      <c r="X212" s="106"/>
      <c r="Y212" s="106"/>
      <c r="Z212" s="106"/>
      <c r="AA212" s="106"/>
      <c r="AB212" s="106"/>
      <c r="AC212" s="106"/>
    </row>
    <row r="213" spans="1:29" s="64" customFormat="1" x14ac:dyDescent="0.3">
      <c r="A213" s="142" t="s">
        <v>194</v>
      </c>
      <c r="B213" s="107" t="s">
        <v>163</v>
      </c>
      <c r="C213" s="107"/>
      <c r="D213" s="107" t="s">
        <v>208</v>
      </c>
      <c r="E213" s="183">
        <v>1913</v>
      </c>
      <c r="F213" s="107"/>
      <c r="G213" s="107">
        <v>136.25</v>
      </c>
      <c r="H213" s="107">
        <f t="shared" si="7"/>
        <v>136.25</v>
      </c>
      <c r="I213" s="107"/>
      <c r="J213" s="107"/>
      <c r="K213" s="107"/>
      <c r="L213" s="107"/>
      <c r="M213" s="107"/>
      <c r="N213" s="107"/>
      <c r="O213" s="107"/>
      <c r="P213" s="133"/>
      <c r="Q213" s="107"/>
      <c r="R213" s="180"/>
      <c r="S213" s="106"/>
      <c r="T213" s="106"/>
      <c r="U213" s="106"/>
      <c r="V213" s="106"/>
      <c r="W213" s="106"/>
      <c r="X213" s="106"/>
      <c r="Y213" s="106"/>
      <c r="Z213" s="106"/>
      <c r="AA213" s="106"/>
      <c r="AB213" s="106"/>
      <c r="AC213" s="106"/>
    </row>
    <row r="214" spans="1:29" s="64" customFormat="1" x14ac:dyDescent="0.3">
      <c r="A214" s="142" t="s">
        <v>194</v>
      </c>
      <c r="B214" s="107" t="s">
        <v>163</v>
      </c>
      <c r="C214" s="107" t="s">
        <v>162</v>
      </c>
      <c r="D214" s="107" t="s">
        <v>208</v>
      </c>
      <c r="E214" s="183">
        <v>1913</v>
      </c>
      <c r="F214" s="107"/>
      <c r="G214" s="107">
        <v>156</v>
      </c>
      <c r="H214" s="107">
        <f t="shared" si="7"/>
        <v>156</v>
      </c>
      <c r="I214" s="107"/>
      <c r="J214" s="107"/>
      <c r="K214" s="107"/>
      <c r="L214" s="107"/>
      <c r="M214" s="107"/>
      <c r="N214" s="107"/>
      <c r="O214" s="107" t="s">
        <v>210</v>
      </c>
      <c r="P214" s="133" t="s">
        <v>211</v>
      </c>
      <c r="Q214" s="107"/>
      <c r="R214" s="180">
        <v>12</v>
      </c>
      <c r="S214" s="106"/>
      <c r="T214" s="106"/>
      <c r="U214" s="106"/>
      <c r="V214" s="106"/>
      <c r="W214" s="106"/>
      <c r="X214" s="106"/>
      <c r="Y214" s="106"/>
      <c r="Z214" s="106"/>
      <c r="AA214" s="106"/>
      <c r="AB214" s="106"/>
      <c r="AC214" s="106"/>
    </row>
    <row r="215" spans="1:29" s="64" customFormat="1" x14ac:dyDescent="0.3">
      <c r="A215" s="142" t="s">
        <v>194</v>
      </c>
      <c r="B215" s="107" t="s">
        <v>163</v>
      </c>
      <c r="C215" s="107" t="s">
        <v>165</v>
      </c>
      <c r="D215" s="107" t="s">
        <v>208</v>
      </c>
      <c r="E215" s="183">
        <v>1913</v>
      </c>
      <c r="F215" s="107"/>
      <c r="G215" s="107">
        <v>112</v>
      </c>
      <c r="H215" s="107">
        <f t="shared" si="7"/>
        <v>112</v>
      </c>
      <c r="I215" s="107">
        <v>279</v>
      </c>
      <c r="J215" s="107"/>
      <c r="K215" s="107"/>
      <c r="L215" s="107"/>
      <c r="M215" s="107"/>
      <c r="N215" s="107"/>
      <c r="O215" s="107"/>
      <c r="P215" s="107"/>
      <c r="Q215" s="107"/>
      <c r="R215" s="180"/>
      <c r="S215" s="106"/>
      <c r="T215" s="106"/>
      <c r="U215" s="106"/>
      <c r="V215" s="106"/>
      <c r="W215" s="106"/>
      <c r="X215" s="106"/>
      <c r="Y215" s="106"/>
      <c r="Z215" s="106"/>
      <c r="AA215" s="106"/>
      <c r="AB215" s="106"/>
      <c r="AC215" s="106"/>
    </row>
    <row r="216" spans="1:29" s="64" customFormat="1" x14ac:dyDescent="0.3">
      <c r="A216" s="142" t="s">
        <v>194</v>
      </c>
      <c r="B216" s="107" t="s">
        <v>163</v>
      </c>
      <c r="C216" s="107"/>
      <c r="D216" s="107" t="s">
        <v>208</v>
      </c>
      <c r="E216" s="183">
        <v>1863</v>
      </c>
      <c r="F216" s="107"/>
      <c r="G216" s="107">
        <v>112</v>
      </c>
      <c r="H216" s="107">
        <f t="shared" si="7"/>
        <v>112</v>
      </c>
      <c r="I216" s="107"/>
      <c r="J216" s="107"/>
      <c r="K216" s="107"/>
      <c r="L216" s="107"/>
      <c r="M216" s="107"/>
      <c r="N216" s="107"/>
      <c r="O216" s="107"/>
      <c r="P216" s="133" t="s">
        <v>212</v>
      </c>
      <c r="Q216" s="107"/>
      <c r="R216" s="180">
        <v>446</v>
      </c>
      <c r="S216" s="106"/>
      <c r="T216" s="106"/>
      <c r="U216" s="106"/>
      <c r="V216" s="106"/>
      <c r="W216" s="106"/>
      <c r="X216" s="106"/>
      <c r="Y216" s="106"/>
      <c r="Z216" s="106"/>
      <c r="AA216" s="106"/>
      <c r="AB216" s="106"/>
      <c r="AC216" s="106"/>
    </row>
    <row r="217" spans="1:29" s="64" customFormat="1" x14ac:dyDescent="0.3">
      <c r="A217" s="142" t="s">
        <v>194</v>
      </c>
      <c r="B217" s="107"/>
      <c r="C217" s="107" t="s">
        <v>162</v>
      </c>
      <c r="D217" s="107" t="s">
        <v>208</v>
      </c>
      <c r="E217" s="183">
        <v>1882</v>
      </c>
      <c r="F217" s="107"/>
      <c r="G217" s="107">
        <v>135</v>
      </c>
      <c r="H217" s="107">
        <f t="shared" si="7"/>
        <v>135</v>
      </c>
      <c r="I217" s="107"/>
      <c r="J217" s="107"/>
      <c r="K217" s="107"/>
      <c r="L217" s="107"/>
      <c r="M217" s="107"/>
      <c r="N217" s="107"/>
      <c r="O217" s="107"/>
      <c r="P217" s="107" t="s">
        <v>213</v>
      </c>
      <c r="Q217" s="107"/>
      <c r="R217" s="180">
        <v>630</v>
      </c>
      <c r="S217" s="106"/>
      <c r="T217" s="106"/>
      <c r="U217" s="106"/>
      <c r="V217" s="106"/>
      <c r="W217" s="106"/>
      <c r="X217" s="106"/>
      <c r="Y217" s="106"/>
      <c r="Z217" s="106"/>
      <c r="AA217" s="106"/>
      <c r="AB217" s="106"/>
      <c r="AC217" s="106"/>
    </row>
    <row r="218" spans="1:29" s="64" customFormat="1" x14ac:dyDescent="0.3">
      <c r="A218" s="142" t="s">
        <v>194</v>
      </c>
      <c r="B218" s="107"/>
      <c r="C218" s="107" t="s">
        <v>162</v>
      </c>
      <c r="D218" s="107" t="s">
        <v>208</v>
      </c>
      <c r="E218" s="183">
        <v>1873</v>
      </c>
      <c r="F218" s="107"/>
      <c r="G218" s="107">
        <v>126</v>
      </c>
      <c r="H218" s="107">
        <f t="shared" si="7"/>
        <v>126</v>
      </c>
      <c r="I218" s="107"/>
      <c r="J218" s="107"/>
      <c r="K218" s="107"/>
      <c r="L218" s="107"/>
      <c r="M218" s="107"/>
      <c r="N218" s="107"/>
      <c r="O218" s="107"/>
      <c r="P218" s="107" t="s">
        <v>214</v>
      </c>
      <c r="Q218" s="107"/>
      <c r="R218" s="180">
        <v>1599</v>
      </c>
      <c r="S218" s="106"/>
      <c r="T218" s="106"/>
      <c r="U218" s="106"/>
      <c r="V218" s="106"/>
      <c r="W218" s="106"/>
      <c r="X218" s="106"/>
      <c r="Y218" s="106"/>
      <c r="Z218" s="106"/>
      <c r="AA218" s="106"/>
      <c r="AB218" s="106"/>
      <c r="AC218" s="106"/>
    </row>
    <row r="219" spans="1:29" s="64" customFormat="1" x14ac:dyDescent="0.3">
      <c r="A219" s="142" t="s">
        <v>194</v>
      </c>
      <c r="B219" s="107"/>
      <c r="C219" s="107" t="s">
        <v>162</v>
      </c>
      <c r="D219" s="107" t="s">
        <v>208</v>
      </c>
      <c r="E219" s="183">
        <v>1874</v>
      </c>
      <c r="F219" s="107"/>
      <c r="G219" s="107">
        <v>128</v>
      </c>
      <c r="H219" s="107">
        <f t="shared" si="7"/>
        <v>128</v>
      </c>
      <c r="I219" s="107"/>
      <c r="J219" s="107"/>
      <c r="K219" s="107"/>
      <c r="L219" s="107"/>
      <c r="M219" s="107"/>
      <c r="N219" s="107"/>
      <c r="O219" s="107"/>
      <c r="P219" s="107" t="s">
        <v>215</v>
      </c>
      <c r="Q219" s="107"/>
      <c r="R219" s="180">
        <v>1761</v>
      </c>
      <c r="S219" s="106"/>
      <c r="T219" s="106"/>
      <c r="U219" s="106"/>
      <c r="V219" s="106"/>
      <c r="W219" s="106"/>
      <c r="X219" s="106"/>
      <c r="Y219" s="106"/>
      <c r="Z219" s="106"/>
      <c r="AA219" s="106"/>
      <c r="AB219" s="106"/>
      <c r="AC219" s="106"/>
    </row>
    <row r="220" spans="1:29" s="64" customFormat="1" x14ac:dyDescent="0.3">
      <c r="A220" s="142" t="s">
        <v>194</v>
      </c>
      <c r="B220" s="107"/>
      <c r="C220" s="107" t="s">
        <v>162</v>
      </c>
      <c r="D220" s="107" t="s">
        <v>208</v>
      </c>
      <c r="E220" s="183">
        <v>1875</v>
      </c>
      <c r="F220" s="107"/>
      <c r="G220" s="107">
        <v>128</v>
      </c>
      <c r="H220" s="107">
        <f t="shared" si="7"/>
        <v>128</v>
      </c>
      <c r="I220" s="107"/>
      <c r="J220" s="107"/>
      <c r="K220" s="107"/>
      <c r="L220" s="107"/>
      <c r="M220" s="107"/>
      <c r="N220" s="107"/>
      <c r="O220" s="107"/>
      <c r="P220" s="107" t="s">
        <v>216</v>
      </c>
      <c r="Q220" s="133" t="s">
        <v>217</v>
      </c>
      <c r="R220" s="180">
        <v>1049</v>
      </c>
      <c r="S220" s="106"/>
      <c r="T220" s="106"/>
      <c r="U220" s="106"/>
      <c r="V220" s="106"/>
      <c r="W220" s="106"/>
      <c r="X220" s="106"/>
      <c r="Y220" s="106"/>
      <c r="Z220" s="106"/>
      <c r="AA220" s="106"/>
      <c r="AB220" s="106"/>
      <c r="AC220" s="106"/>
    </row>
    <row r="221" spans="1:29" s="64" customFormat="1" x14ac:dyDescent="0.3">
      <c r="A221" s="142" t="s">
        <v>194</v>
      </c>
      <c r="B221" s="107"/>
      <c r="C221" s="107" t="s">
        <v>162</v>
      </c>
      <c r="D221" s="107" t="s">
        <v>208</v>
      </c>
      <c r="E221" s="183">
        <v>1876</v>
      </c>
      <c r="F221" s="107"/>
      <c r="G221" s="107">
        <v>129</v>
      </c>
      <c r="H221" s="107">
        <f t="shared" si="7"/>
        <v>129</v>
      </c>
      <c r="I221" s="107"/>
      <c r="J221" s="107"/>
      <c r="K221" s="107"/>
      <c r="L221" s="107"/>
      <c r="M221" s="107"/>
      <c r="N221" s="107"/>
      <c r="O221" s="107"/>
      <c r="P221" s="107" t="s">
        <v>218</v>
      </c>
      <c r="Q221" s="133" t="s">
        <v>219</v>
      </c>
      <c r="R221" s="180">
        <v>995</v>
      </c>
      <c r="S221" s="106"/>
      <c r="T221" s="106"/>
      <c r="U221" s="106"/>
      <c r="V221" s="106"/>
      <c r="W221" s="106"/>
      <c r="X221" s="106"/>
      <c r="Y221" s="106"/>
      <c r="Z221" s="106"/>
      <c r="AA221" s="106"/>
      <c r="AB221" s="106"/>
      <c r="AC221" s="106"/>
    </row>
    <row r="222" spans="1:29" s="64" customFormat="1" x14ac:dyDescent="0.3">
      <c r="A222" s="142" t="s">
        <v>194</v>
      </c>
      <c r="B222" s="107"/>
      <c r="C222" s="107" t="s">
        <v>162</v>
      </c>
      <c r="D222" s="107" t="s">
        <v>208</v>
      </c>
      <c r="E222" s="183">
        <v>1877</v>
      </c>
      <c r="F222" s="107"/>
      <c r="G222" s="107">
        <v>132</v>
      </c>
      <c r="H222" s="107">
        <f t="shared" si="7"/>
        <v>132</v>
      </c>
      <c r="I222" s="107"/>
      <c r="J222" s="107"/>
      <c r="K222" s="107"/>
      <c r="L222" s="107"/>
      <c r="M222" s="107"/>
      <c r="N222" s="107"/>
      <c r="O222" s="107"/>
      <c r="P222" s="107" t="s">
        <v>220</v>
      </c>
      <c r="Q222" s="133" t="s">
        <v>221</v>
      </c>
      <c r="R222" s="180">
        <v>1375</v>
      </c>
      <c r="S222" s="106"/>
      <c r="T222" s="106"/>
      <c r="U222" s="106"/>
      <c r="V222" s="106"/>
      <c r="W222" s="106"/>
      <c r="X222" s="106"/>
      <c r="Y222" s="106"/>
      <c r="Z222" s="106"/>
      <c r="AA222" s="106"/>
      <c r="AB222" s="106"/>
      <c r="AC222" s="106"/>
    </row>
    <row r="223" spans="1:29" s="64" customFormat="1" x14ac:dyDescent="0.3">
      <c r="A223" s="142" t="s">
        <v>194</v>
      </c>
      <c r="B223" s="107"/>
      <c r="C223" s="107" t="s">
        <v>162</v>
      </c>
      <c r="D223" s="107" t="s">
        <v>208</v>
      </c>
      <c r="E223" s="183">
        <v>1879</v>
      </c>
      <c r="F223" s="107"/>
      <c r="G223" s="107">
        <v>135</v>
      </c>
      <c r="H223" s="107">
        <f t="shared" si="7"/>
        <v>135</v>
      </c>
      <c r="I223" s="107"/>
      <c r="J223" s="107"/>
      <c r="K223" s="107"/>
      <c r="L223" s="107"/>
      <c r="M223" s="107"/>
      <c r="N223" s="107"/>
      <c r="O223" s="107"/>
      <c r="P223" s="107" t="s">
        <v>222</v>
      </c>
      <c r="Q223" s="133" t="s">
        <v>223</v>
      </c>
      <c r="R223" s="180">
        <v>1013</v>
      </c>
      <c r="S223" s="106"/>
      <c r="T223" s="106"/>
      <c r="U223" s="106"/>
      <c r="V223" s="106"/>
      <c r="W223" s="106"/>
      <c r="X223" s="106"/>
      <c r="Y223" s="106"/>
      <c r="Z223" s="106"/>
      <c r="AA223" s="106"/>
      <c r="AB223" s="106"/>
      <c r="AC223" s="106"/>
    </row>
    <row r="224" spans="1:29" s="64" customFormat="1" x14ac:dyDescent="0.3">
      <c r="A224" s="142" t="s">
        <v>194</v>
      </c>
      <c r="B224" s="107"/>
      <c r="C224" s="107" t="s">
        <v>162</v>
      </c>
      <c r="D224" s="107" t="s">
        <v>208</v>
      </c>
      <c r="E224" s="183">
        <v>1880</v>
      </c>
      <c r="F224" s="107"/>
      <c r="G224" s="107">
        <v>135</v>
      </c>
      <c r="H224" s="107">
        <f t="shared" si="7"/>
        <v>135</v>
      </c>
      <c r="I224" s="107"/>
      <c r="J224" s="107"/>
      <c r="K224" s="107"/>
      <c r="L224" s="107"/>
      <c r="M224" s="107"/>
      <c r="N224" s="107"/>
      <c r="O224" s="107"/>
      <c r="P224" s="107" t="s">
        <v>224</v>
      </c>
      <c r="Q224" s="133" t="s">
        <v>225</v>
      </c>
      <c r="R224" s="180">
        <v>1099</v>
      </c>
      <c r="S224" s="106"/>
      <c r="T224" s="106"/>
      <c r="U224" s="106"/>
      <c r="V224" s="106"/>
      <c r="W224" s="106"/>
      <c r="X224" s="106"/>
      <c r="Y224" s="106"/>
      <c r="Z224" s="106"/>
      <c r="AA224" s="106"/>
      <c r="AB224" s="106"/>
      <c r="AC224" s="106"/>
    </row>
    <row r="225" spans="1:78" s="64" customFormat="1" x14ac:dyDescent="0.3">
      <c r="A225" s="142" t="s">
        <v>194</v>
      </c>
      <c r="B225" s="107"/>
      <c r="C225" s="107" t="s">
        <v>162</v>
      </c>
      <c r="D225" s="107" t="s">
        <v>208</v>
      </c>
      <c r="E225" s="183">
        <v>1881</v>
      </c>
      <c r="F225" s="107"/>
      <c r="G225" s="107">
        <v>135</v>
      </c>
      <c r="H225" s="107">
        <f t="shared" si="7"/>
        <v>135</v>
      </c>
      <c r="I225" s="107"/>
      <c r="J225" s="107"/>
      <c r="K225" s="107"/>
      <c r="L225" s="107"/>
      <c r="M225" s="107"/>
      <c r="N225" s="107"/>
      <c r="O225" s="107"/>
      <c r="P225" s="107" t="s">
        <v>226</v>
      </c>
      <c r="Q225" s="133" t="s">
        <v>227</v>
      </c>
      <c r="R225" s="180">
        <v>1154</v>
      </c>
      <c r="S225" s="106"/>
      <c r="T225" s="106"/>
      <c r="U225" s="106"/>
      <c r="V225" s="106"/>
      <c r="W225" s="106"/>
      <c r="X225" s="106"/>
      <c r="Y225" s="106"/>
      <c r="Z225" s="106"/>
      <c r="AA225" s="106"/>
      <c r="AB225" s="106"/>
      <c r="AC225" s="106"/>
    </row>
    <row r="226" spans="1:78" s="64" customFormat="1" x14ac:dyDescent="0.3">
      <c r="A226" s="142" t="s">
        <v>194</v>
      </c>
      <c r="B226" s="107"/>
      <c r="C226" s="107" t="s">
        <v>162</v>
      </c>
      <c r="D226" s="107" t="s">
        <v>208</v>
      </c>
      <c r="E226" s="183">
        <v>1883</v>
      </c>
      <c r="F226" s="107"/>
      <c r="G226" s="107">
        <v>135.5</v>
      </c>
      <c r="H226" s="107">
        <f t="shared" si="7"/>
        <v>135.5</v>
      </c>
      <c r="I226" s="107"/>
      <c r="J226" s="107"/>
      <c r="K226" s="107"/>
      <c r="L226" s="107"/>
      <c r="M226" s="107"/>
      <c r="N226" s="107"/>
      <c r="O226" s="107"/>
      <c r="P226" s="107" t="s">
        <v>228</v>
      </c>
      <c r="Q226" s="133" t="s">
        <v>229</v>
      </c>
      <c r="R226" s="180">
        <v>1428</v>
      </c>
      <c r="S226" s="106"/>
      <c r="T226" s="106"/>
      <c r="U226" s="106"/>
      <c r="V226" s="106"/>
      <c r="W226" s="106"/>
      <c r="X226" s="106"/>
      <c r="Y226" s="106"/>
      <c r="Z226" s="106"/>
      <c r="AA226" s="106"/>
      <c r="AB226" s="106"/>
      <c r="AC226" s="106"/>
    </row>
    <row r="227" spans="1:78" s="64" customFormat="1" x14ac:dyDescent="0.3">
      <c r="A227" s="142" t="s">
        <v>194</v>
      </c>
      <c r="B227" s="107"/>
      <c r="C227" s="107" t="s">
        <v>162</v>
      </c>
      <c r="D227" s="107" t="s">
        <v>208</v>
      </c>
      <c r="E227" s="183">
        <v>1884</v>
      </c>
      <c r="F227" s="107"/>
      <c r="G227" s="107">
        <v>136</v>
      </c>
      <c r="H227" s="107">
        <f t="shared" si="7"/>
        <v>136</v>
      </c>
      <c r="I227" s="107"/>
      <c r="J227" s="107"/>
      <c r="K227" s="107"/>
      <c r="L227" s="107"/>
      <c r="M227" s="107"/>
      <c r="N227" s="107"/>
      <c r="O227" s="107"/>
      <c r="P227" s="107" t="s">
        <v>230</v>
      </c>
      <c r="Q227" s="133" t="s">
        <v>231</v>
      </c>
      <c r="R227" s="180">
        <v>967</v>
      </c>
      <c r="S227" s="106"/>
      <c r="T227" s="106"/>
      <c r="U227" s="106"/>
      <c r="V227" s="106"/>
      <c r="W227" s="106"/>
      <c r="X227" s="106"/>
      <c r="Y227" s="106"/>
      <c r="Z227" s="106"/>
      <c r="AA227" s="106"/>
      <c r="AB227" s="106"/>
      <c r="AC227" s="106"/>
    </row>
    <row r="228" spans="1:78" s="64" customFormat="1" x14ac:dyDescent="0.3">
      <c r="A228" s="170" t="s">
        <v>194</v>
      </c>
      <c r="B228" s="154"/>
      <c r="C228" s="154" t="s">
        <v>162</v>
      </c>
      <c r="D228" s="154" t="s">
        <v>208</v>
      </c>
      <c r="E228" s="184">
        <v>1862</v>
      </c>
      <c r="F228" s="154"/>
      <c r="G228" s="154">
        <v>115</v>
      </c>
      <c r="H228" s="154">
        <f t="shared" si="7"/>
        <v>115</v>
      </c>
      <c r="I228" s="154"/>
      <c r="J228" s="154"/>
      <c r="K228" s="154"/>
      <c r="L228" s="154"/>
      <c r="M228" s="154"/>
      <c r="N228" s="154"/>
      <c r="O228" s="154" t="s">
        <v>232</v>
      </c>
      <c r="P228" s="154" t="s">
        <v>233</v>
      </c>
      <c r="Q228" s="154" t="s">
        <v>234</v>
      </c>
      <c r="R228" s="181">
        <v>485</v>
      </c>
      <c r="S228" s="106"/>
      <c r="T228" s="106"/>
      <c r="U228" s="106"/>
      <c r="V228" s="106"/>
      <c r="W228" s="106"/>
      <c r="X228" s="106"/>
      <c r="Y228" s="106"/>
      <c r="Z228" s="106"/>
      <c r="AA228" s="106"/>
      <c r="AB228" s="106"/>
      <c r="AC228" s="106"/>
    </row>
    <row r="229" spans="1:78" s="64" customFormat="1" x14ac:dyDescent="0.3">
      <c r="A229" s="107"/>
      <c r="B229" s="107"/>
      <c r="C229" s="107"/>
      <c r="D229" s="107"/>
      <c r="E229" s="183"/>
      <c r="F229" s="107"/>
      <c r="G229" s="107"/>
      <c r="H229" s="107"/>
      <c r="I229" s="107"/>
      <c r="J229" s="107"/>
      <c r="K229" s="107"/>
      <c r="L229" s="107"/>
      <c r="M229" s="107"/>
      <c r="N229" s="107"/>
      <c r="O229" s="107"/>
      <c r="P229" s="107"/>
      <c r="Q229" s="107"/>
      <c r="R229" s="190"/>
      <c r="S229" s="106"/>
      <c r="T229" s="106"/>
      <c r="U229" s="106"/>
      <c r="V229" s="106"/>
      <c r="W229" s="106"/>
      <c r="X229" s="106"/>
      <c r="Y229" s="106"/>
      <c r="Z229" s="106"/>
      <c r="AA229" s="106"/>
      <c r="AB229" s="106"/>
      <c r="AC229" s="106"/>
    </row>
    <row r="230" spans="1:78" s="64" customFormat="1" x14ac:dyDescent="0.3">
      <c r="A230" s="107"/>
      <c r="B230" s="107"/>
      <c r="C230" s="107"/>
      <c r="D230" s="107"/>
      <c r="E230" s="183"/>
      <c r="F230" s="107"/>
      <c r="G230" s="107"/>
      <c r="H230" s="107"/>
      <c r="I230" s="107"/>
      <c r="J230" s="107"/>
      <c r="K230" s="107"/>
      <c r="L230" s="107"/>
      <c r="M230" s="107"/>
      <c r="N230" s="107"/>
      <c r="O230" s="107"/>
      <c r="P230" s="107"/>
      <c r="Q230" s="107"/>
      <c r="R230" s="190"/>
      <c r="S230" s="106"/>
      <c r="T230" s="106"/>
      <c r="U230" s="106"/>
      <c r="V230" s="106"/>
      <c r="W230" s="106"/>
      <c r="X230" s="106"/>
      <c r="Y230" s="106"/>
      <c r="Z230" s="106"/>
      <c r="AA230" s="106"/>
      <c r="AB230" s="106"/>
      <c r="AC230" s="106"/>
    </row>
    <row r="231" spans="1:78" s="64" customFormat="1" x14ac:dyDescent="0.3">
      <c r="A231" s="139"/>
      <c r="B231" s="139"/>
      <c r="C231" s="139"/>
      <c r="D231" s="139"/>
      <c r="E231" s="139"/>
      <c r="F231" s="139"/>
      <c r="G231" s="139"/>
      <c r="H231" s="139"/>
      <c r="I231" s="139"/>
      <c r="J231" s="139"/>
      <c r="K231" s="139"/>
      <c r="L231" s="139"/>
      <c r="M231" s="139"/>
      <c r="N231" s="139"/>
      <c r="O231" s="139"/>
      <c r="P231" s="139"/>
      <c r="Q231" s="139"/>
      <c r="R231" s="139"/>
      <c r="S231" s="139"/>
      <c r="T231" s="139"/>
      <c r="U231" s="171"/>
      <c r="V231" s="106"/>
      <c r="W231" s="106"/>
      <c r="X231" s="106"/>
      <c r="Y231" s="106"/>
      <c r="Z231" s="106"/>
      <c r="AA231" s="106"/>
      <c r="AB231" s="106"/>
      <c r="AC231" s="106"/>
    </row>
    <row r="232" spans="1:78" ht="72" x14ac:dyDescent="0.3">
      <c r="A232" s="172"/>
      <c r="B232" s="173" t="s">
        <v>301</v>
      </c>
      <c r="C232" s="209" t="s">
        <v>523</v>
      </c>
      <c r="D232" s="210"/>
      <c r="E232" s="210"/>
      <c r="F232" s="210"/>
      <c r="G232" s="210"/>
      <c r="H232" s="211"/>
      <c r="I232" s="173" t="s">
        <v>301</v>
      </c>
      <c r="J232" s="209" t="s">
        <v>302</v>
      </c>
      <c r="K232" s="210"/>
      <c r="L232" s="210"/>
      <c r="M232" s="210"/>
      <c r="N232" s="210"/>
      <c r="O232" s="211"/>
      <c r="P232" s="173" t="s">
        <v>303</v>
      </c>
      <c r="Q232" s="209" t="s">
        <v>304</v>
      </c>
      <c r="R232" s="210"/>
      <c r="S232" s="210"/>
      <c r="T232" s="210"/>
      <c r="U232" s="210"/>
      <c r="V232" s="211"/>
      <c r="W232" s="173" t="s">
        <v>305</v>
      </c>
      <c r="X232" s="209" t="s">
        <v>304</v>
      </c>
      <c r="Y232" s="210"/>
      <c r="Z232" s="210"/>
      <c r="AA232" s="210"/>
      <c r="AB232" s="210"/>
      <c r="AC232" s="211"/>
      <c r="AD232" s="28" t="s">
        <v>306</v>
      </c>
      <c r="AE232" s="202" t="s">
        <v>302</v>
      </c>
      <c r="AF232" s="203"/>
      <c r="AG232" s="203"/>
      <c r="AH232" s="203"/>
      <c r="AI232" s="203"/>
      <c r="AJ232" s="204"/>
      <c r="AK232" s="28" t="s">
        <v>307</v>
      </c>
      <c r="AL232" s="202" t="s">
        <v>302</v>
      </c>
      <c r="AM232" s="203"/>
      <c r="AN232" s="203"/>
      <c r="AO232" s="203"/>
      <c r="AP232" s="203"/>
      <c r="AQ232" s="204"/>
      <c r="AR232" s="28" t="s">
        <v>308</v>
      </c>
      <c r="AS232" s="202" t="s">
        <v>302</v>
      </c>
      <c r="AT232" s="203"/>
      <c r="AU232" s="203"/>
      <c r="AV232" s="203"/>
      <c r="AW232" s="203"/>
      <c r="AX232" s="204"/>
      <c r="AY232" s="28" t="s">
        <v>305</v>
      </c>
      <c r="AZ232" s="202" t="s">
        <v>302</v>
      </c>
      <c r="BA232" s="203"/>
      <c r="BB232" s="203"/>
      <c r="BC232" s="203"/>
      <c r="BD232" s="203"/>
      <c r="BE232" s="204"/>
      <c r="BF232" s="28" t="s">
        <v>309</v>
      </c>
      <c r="BG232" s="202" t="s">
        <v>302</v>
      </c>
      <c r="BH232" s="203"/>
      <c r="BI232" s="203"/>
      <c r="BJ232" s="203"/>
      <c r="BK232" s="203"/>
      <c r="BL232" s="204"/>
      <c r="BM232" s="28" t="s">
        <v>303</v>
      </c>
      <c r="BN232" s="202" t="s">
        <v>310</v>
      </c>
      <c r="BO232" s="203"/>
      <c r="BP232" s="203"/>
      <c r="BQ232" s="203"/>
      <c r="BR232" s="203"/>
      <c r="BS232" s="204"/>
      <c r="BT232" s="28" t="s">
        <v>303</v>
      </c>
      <c r="BU232" s="202" t="s">
        <v>311</v>
      </c>
      <c r="BV232" s="203"/>
      <c r="BW232" s="203"/>
      <c r="BX232" s="203"/>
      <c r="BY232" s="203"/>
      <c r="BZ232" s="204"/>
    </row>
    <row r="233" spans="1:78" s="1" customFormat="1" x14ac:dyDescent="0.3">
      <c r="A233" s="174"/>
      <c r="B233" s="213" t="s">
        <v>524</v>
      </c>
      <c r="C233" s="213"/>
      <c r="D233" s="213"/>
      <c r="E233" s="214"/>
      <c r="F233" s="214"/>
      <c r="G233" s="214"/>
      <c r="H233" s="214"/>
      <c r="I233" s="213" t="s">
        <v>312</v>
      </c>
      <c r="J233" s="213"/>
      <c r="K233" s="213"/>
      <c r="L233" s="214"/>
      <c r="M233" s="214"/>
      <c r="N233" s="214"/>
      <c r="O233" s="214"/>
      <c r="P233" s="213" t="s">
        <v>312</v>
      </c>
      <c r="Q233" s="213"/>
      <c r="R233" s="213"/>
      <c r="S233" s="214"/>
      <c r="T233" s="214"/>
      <c r="U233" s="214"/>
      <c r="V233" s="214"/>
      <c r="W233" s="213" t="s">
        <v>312</v>
      </c>
      <c r="X233" s="213"/>
      <c r="Y233" s="213"/>
      <c r="Z233" s="214"/>
      <c r="AA233" s="214"/>
      <c r="AB233" s="214"/>
      <c r="AC233" s="214"/>
      <c r="AD233" s="199" t="s">
        <v>312</v>
      </c>
      <c r="AE233" s="199"/>
      <c r="AF233" s="199"/>
      <c r="AG233" s="200"/>
      <c r="AH233" s="200"/>
      <c r="AI233" s="200"/>
      <c r="AJ233" s="200"/>
      <c r="AK233" s="199" t="s">
        <v>312</v>
      </c>
      <c r="AL233" s="199"/>
      <c r="AM233" s="199"/>
      <c r="AN233" s="200"/>
      <c r="AO233" s="200"/>
      <c r="AP233" s="200"/>
      <c r="AQ233" s="200"/>
      <c r="AR233" s="199" t="s">
        <v>312</v>
      </c>
      <c r="AS233" s="199"/>
      <c r="AT233" s="199"/>
      <c r="AU233" s="200"/>
      <c r="AV233" s="200"/>
      <c r="AW233" s="200"/>
      <c r="AX233" s="200"/>
      <c r="AY233" s="199" t="s">
        <v>312</v>
      </c>
      <c r="AZ233" s="199"/>
      <c r="BA233" s="199"/>
      <c r="BB233" s="200"/>
      <c r="BC233" s="200"/>
      <c r="BD233" s="200"/>
      <c r="BE233" s="200"/>
      <c r="BF233" s="199" t="s">
        <v>312</v>
      </c>
      <c r="BG233" s="199"/>
      <c r="BH233" s="199"/>
      <c r="BI233" s="200"/>
      <c r="BJ233" s="200"/>
      <c r="BK233" s="200"/>
      <c r="BL233" s="200"/>
      <c r="BM233" s="199" t="s">
        <v>312</v>
      </c>
      <c r="BN233" s="199"/>
      <c r="BO233" s="199"/>
      <c r="BP233" s="200"/>
      <c r="BQ233" s="200"/>
      <c r="BR233" s="200"/>
      <c r="BS233" s="200"/>
      <c r="BT233" s="199" t="s">
        <v>312</v>
      </c>
      <c r="BU233" s="199"/>
      <c r="BV233" s="199"/>
      <c r="BW233" s="200"/>
      <c r="BX233" s="200"/>
      <c r="BY233" s="200"/>
      <c r="BZ233" s="200"/>
    </row>
    <row r="234" spans="1:78" s="5" customFormat="1" ht="57.6" x14ac:dyDescent="0.3">
      <c r="A234" s="175"/>
      <c r="B234" s="176" t="s">
        <v>166</v>
      </c>
      <c r="C234" s="177" t="s">
        <v>313</v>
      </c>
      <c r="D234" s="177" t="s">
        <v>314</v>
      </c>
      <c r="E234" s="177" t="s">
        <v>315</v>
      </c>
      <c r="F234" s="177" t="s">
        <v>316</v>
      </c>
      <c r="G234" s="177" t="s">
        <v>190</v>
      </c>
      <c r="H234" s="177" t="s">
        <v>172</v>
      </c>
      <c r="I234" s="176" t="s">
        <v>166</v>
      </c>
      <c r="J234" s="177" t="s">
        <v>313</v>
      </c>
      <c r="K234" s="177" t="s">
        <v>314</v>
      </c>
      <c r="L234" s="177" t="s">
        <v>315</v>
      </c>
      <c r="M234" s="177" t="s">
        <v>316</v>
      </c>
      <c r="N234" s="177" t="s">
        <v>190</v>
      </c>
      <c r="O234" s="177" t="s">
        <v>172</v>
      </c>
      <c r="P234" s="176" t="s">
        <v>166</v>
      </c>
      <c r="Q234" s="177" t="s">
        <v>313</v>
      </c>
      <c r="R234" s="177" t="s">
        <v>314</v>
      </c>
      <c r="S234" s="177" t="s">
        <v>315</v>
      </c>
      <c r="T234" s="177" t="s">
        <v>316</v>
      </c>
      <c r="U234" s="177" t="s">
        <v>190</v>
      </c>
      <c r="V234" s="177" t="s">
        <v>172</v>
      </c>
      <c r="W234" s="176" t="s">
        <v>166</v>
      </c>
      <c r="X234" s="177" t="s">
        <v>313</v>
      </c>
      <c r="Y234" s="177" t="s">
        <v>314</v>
      </c>
      <c r="Z234" s="177" t="s">
        <v>315</v>
      </c>
      <c r="AA234" s="177" t="s">
        <v>316</v>
      </c>
      <c r="AB234" s="177" t="s">
        <v>190</v>
      </c>
      <c r="AC234" s="177" t="s">
        <v>172</v>
      </c>
      <c r="AD234" s="15" t="s">
        <v>166</v>
      </c>
      <c r="AE234" s="16" t="s">
        <v>313</v>
      </c>
      <c r="AF234" s="16" t="s">
        <v>314</v>
      </c>
      <c r="AG234" s="16" t="s">
        <v>315</v>
      </c>
      <c r="AH234" s="16" t="s">
        <v>316</v>
      </c>
      <c r="AI234" s="16" t="s">
        <v>190</v>
      </c>
      <c r="AJ234" s="16" t="s">
        <v>172</v>
      </c>
      <c r="AK234" s="15" t="s">
        <v>317</v>
      </c>
      <c r="AL234" s="16" t="s">
        <v>313</v>
      </c>
      <c r="AM234" s="16" t="s">
        <v>318</v>
      </c>
      <c r="AN234" s="16" t="s">
        <v>319</v>
      </c>
      <c r="AO234" s="16" t="s">
        <v>316</v>
      </c>
      <c r="AP234" s="16" t="s">
        <v>190</v>
      </c>
      <c r="AQ234" s="16" t="s">
        <v>172</v>
      </c>
      <c r="AR234" s="15" t="s">
        <v>317</v>
      </c>
      <c r="AS234" s="16" t="s">
        <v>313</v>
      </c>
      <c r="AT234" s="16" t="s">
        <v>318</v>
      </c>
      <c r="AU234" s="16" t="s">
        <v>319</v>
      </c>
      <c r="AV234" s="16" t="s">
        <v>316</v>
      </c>
      <c r="AW234" s="16" t="s">
        <v>190</v>
      </c>
      <c r="AX234" s="16" t="s">
        <v>172</v>
      </c>
      <c r="AY234" s="15" t="s">
        <v>317</v>
      </c>
      <c r="AZ234" s="16" t="s">
        <v>313</v>
      </c>
      <c r="BA234" s="16" t="s">
        <v>318</v>
      </c>
      <c r="BB234" s="16" t="s">
        <v>319</v>
      </c>
      <c r="BC234" s="16" t="s">
        <v>316</v>
      </c>
      <c r="BD234" s="16" t="s">
        <v>190</v>
      </c>
      <c r="BE234" s="16" t="s">
        <v>172</v>
      </c>
      <c r="BF234" s="15" t="s">
        <v>317</v>
      </c>
      <c r="BG234" s="16" t="s">
        <v>313</v>
      </c>
      <c r="BH234" s="16" t="s">
        <v>318</v>
      </c>
      <c r="BI234" s="16" t="s">
        <v>319</v>
      </c>
      <c r="BJ234" s="16" t="s">
        <v>316</v>
      </c>
      <c r="BK234" s="16" t="s">
        <v>190</v>
      </c>
      <c r="BL234" s="16" t="s">
        <v>172</v>
      </c>
      <c r="BM234" s="15" t="s">
        <v>317</v>
      </c>
      <c r="BN234" s="16" t="s">
        <v>313</v>
      </c>
      <c r="BO234" s="16" t="s">
        <v>318</v>
      </c>
      <c r="BP234" s="16" t="s">
        <v>319</v>
      </c>
      <c r="BQ234" s="16" t="s">
        <v>316</v>
      </c>
      <c r="BR234" s="16" t="s">
        <v>190</v>
      </c>
      <c r="BS234" s="16" t="s">
        <v>172</v>
      </c>
      <c r="BT234" s="15" t="s">
        <v>317</v>
      </c>
      <c r="BU234" s="16" t="s">
        <v>313</v>
      </c>
      <c r="BV234" s="16" t="s">
        <v>318</v>
      </c>
      <c r="BW234" s="16" t="s">
        <v>319</v>
      </c>
      <c r="BX234" s="16" t="s">
        <v>316</v>
      </c>
      <c r="BY234" s="16" t="s">
        <v>190</v>
      </c>
      <c r="BZ234" s="16" t="s">
        <v>172</v>
      </c>
    </row>
    <row r="235" spans="1:78" x14ac:dyDescent="0.3">
      <c r="A235" s="188">
        <v>1860</v>
      </c>
      <c r="B235" s="106"/>
      <c r="C235" s="106"/>
      <c r="D235" s="106"/>
      <c r="E235" s="106"/>
      <c r="F235" s="106"/>
      <c r="G235" s="106"/>
      <c r="H235" s="106"/>
      <c r="I235" s="178">
        <f>$I$245</f>
        <v>110.00016796293617</v>
      </c>
      <c r="J235" s="106"/>
      <c r="K235" s="106"/>
      <c r="L235" s="106"/>
      <c r="M235" s="106"/>
      <c r="N235" s="106"/>
      <c r="O235" s="106"/>
      <c r="P235" s="106"/>
      <c r="Q235" s="106"/>
      <c r="R235" s="106"/>
      <c r="S235" s="106"/>
      <c r="T235" s="106"/>
      <c r="U235" s="106"/>
      <c r="V235" s="106"/>
      <c r="W235" s="106"/>
      <c r="X235" s="106"/>
      <c r="Y235" s="106"/>
      <c r="Z235" s="106"/>
      <c r="AA235" s="106"/>
      <c r="AB235" s="106"/>
      <c r="AC235" s="106"/>
    </row>
    <row r="236" spans="1:78" x14ac:dyDescent="0.3">
      <c r="A236" s="188">
        <v>1861</v>
      </c>
      <c r="B236" s="106"/>
      <c r="C236" s="106"/>
      <c r="D236" s="106"/>
      <c r="E236" s="106"/>
      <c r="F236" s="106"/>
      <c r="G236" s="106"/>
      <c r="H236" s="106"/>
      <c r="I236" s="178">
        <f t="shared" ref="I236:I266" si="8">$I$245</f>
        <v>110.00016796293617</v>
      </c>
      <c r="J236" s="106"/>
      <c r="K236" s="106"/>
      <c r="L236" s="106"/>
      <c r="M236" s="106"/>
      <c r="N236" s="106"/>
      <c r="O236" s="106"/>
      <c r="P236" s="106"/>
      <c r="Q236" s="106"/>
      <c r="R236" s="106"/>
      <c r="S236" s="106"/>
      <c r="T236" s="106"/>
      <c r="U236" s="106"/>
      <c r="V236" s="106"/>
      <c r="W236" s="106"/>
      <c r="X236" s="106"/>
      <c r="Y236" s="106"/>
      <c r="Z236" s="106"/>
      <c r="AA236" s="106"/>
      <c r="AB236" s="106"/>
      <c r="AC236" s="106"/>
    </row>
    <row r="237" spans="1:78" x14ac:dyDescent="0.3">
      <c r="A237" s="188">
        <v>1862</v>
      </c>
      <c r="B237" s="106"/>
      <c r="C237" s="106"/>
      <c r="D237" s="106"/>
      <c r="E237" s="106"/>
      <c r="F237" s="106"/>
      <c r="G237" s="106"/>
      <c r="H237" s="106"/>
      <c r="I237" s="178">
        <f t="shared" si="8"/>
        <v>110.00016796293617</v>
      </c>
      <c r="J237" s="106"/>
      <c r="K237" s="106"/>
      <c r="L237" s="106"/>
      <c r="M237" s="106"/>
      <c r="N237" s="106"/>
      <c r="O237" s="106"/>
      <c r="P237" s="106"/>
      <c r="Q237" s="106"/>
      <c r="R237" s="106"/>
      <c r="S237" s="106"/>
      <c r="T237" s="106"/>
      <c r="U237" s="106"/>
      <c r="V237" s="106"/>
      <c r="W237" s="106"/>
      <c r="X237" s="106"/>
      <c r="Y237" s="106"/>
      <c r="Z237" s="106"/>
      <c r="AA237" s="106"/>
      <c r="AB237" s="106"/>
      <c r="AC237" s="106"/>
    </row>
    <row r="238" spans="1:78" x14ac:dyDescent="0.3">
      <c r="A238" s="188">
        <v>1863</v>
      </c>
      <c r="B238" s="106"/>
      <c r="C238" s="106"/>
      <c r="D238" s="106"/>
      <c r="E238" s="106"/>
      <c r="F238" s="106"/>
      <c r="G238" s="106"/>
      <c r="H238" s="106"/>
      <c r="I238" s="178">
        <f t="shared" si="8"/>
        <v>110.00016796293617</v>
      </c>
      <c r="J238" s="106"/>
      <c r="K238" s="106"/>
      <c r="L238" s="106"/>
      <c r="M238" s="106"/>
      <c r="N238" s="106"/>
      <c r="O238" s="106"/>
      <c r="P238" s="106"/>
      <c r="Q238" s="106"/>
      <c r="R238" s="106"/>
      <c r="S238" s="106"/>
      <c r="T238" s="106"/>
      <c r="U238" s="106"/>
      <c r="V238" s="106"/>
      <c r="W238" s="106"/>
      <c r="X238" s="106"/>
      <c r="Y238" s="106"/>
      <c r="Z238" s="106"/>
      <c r="AA238" s="106"/>
      <c r="AB238" s="106"/>
      <c r="AC238" s="106"/>
    </row>
    <row r="239" spans="1:78" x14ac:dyDescent="0.3">
      <c r="A239" s="188">
        <v>1864</v>
      </c>
      <c r="B239" s="106"/>
      <c r="C239" s="106"/>
      <c r="D239" s="106"/>
      <c r="E239" s="106"/>
      <c r="F239" s="106"/>
      <c r="G239" s="106"/>
      <c r="H239" s="106"/>
      <c r="I239" s="178">
        <f t="shared" si="8"/>
        <v>110.00016796293617</v>
      </c>
      <c r="J239" s="106"/>
      <c r="K239" s="106"/>
      <c r="L239" s="106"/>
      <c r="M239" s="106"/>
      <c r="N239" s="106"/>
      <c r="O239" s="106"/>
      <c r="P239" s="106"/>
      <c r="Q239" s="106"/>
      <c r="R239" s="106"/>
      <c r="S239" s="106"/>
      <c r="T239" s="106"/>
      <c r="U239" s="106"/>
      <c r="V239" s="106"/>
      <c r="W239" s="106"/>
      <c r="X239" s="106"/>
      <c r="Y239" s="106"/>
      <c r="Z239" s="106"/>
      <c r="AA239" s="106"/>
      <c r="AB239" s="106"/>
      <c r="AC239" s="106"/>
    </row>
    <row r="240" spans="1:78" x14ac:dyDescent="0.3">
      <c r="A240" s="188">
        <v>1865</v>
      </c>
      <c r="B240" s="106"/>
      <c r="C240" s="106"/>
      <c r="D240" s="106"/>
      <c r="E240" s="106"/>
      <c r="F240" s="106"/>
      <c r="G240" s="106"/>
      <c r="H240" s="106"/>
      <c r="I240" s="178">
        <f t="shared" si="8"/>
        <v>110.00016796293617</v>
      </c>
      <c r="J240" s="106"/>
      <c r="K240" s="106"/>
      <c r="L240" s="106"/>
      <c r="M240" s="106"/>
      <c r="N240" s="106"/>
      <c r="O240" s="106"/>
      <c r="P240" s="106"/>
      <c r="Q240" s="106"/>
      <c r="R240" s="106"/>
      <c r="S240" s="106"/>
      <c r="T240" s="106"/>
      <c r="U240" s="106"/>
      <c r="V240" s="106"/>
      <c r="W240" s="106"/>
      <c r="X240" s="106"/>
      <c r="Y240" s="106"/>
      <c r="Z240" s="106"/>
      <c r="AA240" s="106"/>
      <c r="AB240" s="106"/>
      <c r="AC240" s="106"/>
    </row>
    <row r="241" spans="1:29" x14ac:dyDescent="0.3">
      <c r="A241" s="188">
        <v>1866</v>
      </c>
      <c r="B241" s="106"/>
      <c r="C241" s="106"/>
      <c r="D241" s="106"/>
      <c r="E241" s="106"/>
      <c r="F241" s="106"/>
      <c r="G241" s="106"/>
      <c r="H241" s="106"/>
      <c r="I241" s="178">
        <f t="shared" si="8"/>
        <v>110.00016796293617</v>
      </c>
      <c r="J241" s="106"/>
      <c r="K241" s="106"/>
      <c r="L241" s="106"/>
      <c r="M241" s="106"/>
      <c r="N241" s="106"/>
      <c r="O241" s="106"/>
      <c r="P241" s="106"/>
      <c r="Q241" s="106"/>
      <c r="R241" s="106"/>
      <c r="S241" s="106"/>
      <c r="T241" s="106"/>
      <c r="U241" s="106"/>
      <c r="V241" s="106"/>
      <c r="W241" s="106"/>
      <c r="X241" s="106"/>
      <c r="Y241" s="106"/>
      <c r="Z241" s="106"/>
      <c r="AA241" s="106"/>
      <c r="AB241" s="106"/>
      <c r="AC241" s="106"/>
    </row>
    <row r="242" spans="1:29" x14ac:dyDescent="0.3">
      <c r="A242" s="188">
        <v>1867</v>
      </c>
      <c r="B242" s="106"/>
      <c r="C242" s="106"/>
      <c r="D242" s="106"/>
      <c r="E242" s="106"/>
      <c r="F242" s="106"/>
      <c r="G242" s="106"/>
      <c r="H242" s="106"/>
      <c r="I242" s="178">
        <f t="shared" si="8"/>
        <v>110.00016796293617</v>
      </c>
      <c r="J242" s="106"/>
      <c r="K242" s="106"/>
      <c r="L242" s="106"/>
      <c r="M242" s="106"/>
      <c r="N242" s="106"/>
      <c r="O242" s="106"/>
      <c r="P242" s="106"/>
      <c r="Q242" s="106"/>
      <c r="R242" s="106"/>
      <c r="S242" s="106"/>
      <c r="T242" s="106"/>
      <c r="U242" s="106"/>
      <c r="V242" s="106"/>
      <c r="W242" s="106"/>
      <c r="X242" s="106"/>
      <c r="Y242" s="106"/>
      <c r="Z242" s="106"/>
      <c r="AA242" s="106"/>
      <c r="AB242" s="106"/>
      <c r="AC242" s="106"/>
    </row>
    <row r="243" spans="1:29" x14ac:dyDescent="0.3">
      <c r="A243" s="188">
        <v>1868</v>
      </c>
      <c r="B243" s="106"/>
      <c r="C243" s="106"/>
      <c r="D243" s="106"/>
      <c r="E243" s="106"/>
      <c r="F243" s="106"/>
      <c r="G243" s="106"/>
      <c r="H243" s="106"/>
      <c r="I243" s="178">
        <f t="shared" si="8"/>
        <v>110.00016796293617</v>
      </c>
      <c r="J243" s="106"/>
      <c r="K243" s="106"/>
      <c r="L243" s="106"/>
      <c r="M243" s="106"/>
      <c r="N243" s="106"/>
      <c r="O243" s="106"/>
      <c r="P243" s="106"/>
      <c r="Q243" s="106"/>
      <c r="R243" s="106"/>
      <c r="S243" s="106"/>
      <c r="T243" s="106"/>
      <c r="U243" s="106"/>
      <c r="V243" s="106"/>
      <c r="W243" s="106"/>
      <c r="X243" s="106"/>
      <c r="Y243" s="106"/>
      <c r="Z243" s="106"/>
      <c r="AA243" s="106"/>
      <c r="AB243" s="106"/>
      <c r="AC243" s="106"/>
    </row>
    <row r="244" spans="1:29" x14ac:dyDescent="0.3">
      <c r="A244" s="188">
        <v>1869</v>
      </c>
      <c r="B244" s="106"/>
      <c r="C244" s="106"/>
      <c r="D244" s="106"/>
      <c r="E244" s="106"/>
      <c r="F244" s="106"/>
      <c r="G244" s="106"/>
      <c r="H244" s="106"/>
      <c r="I244" s="178">
        <f t="shared" si="8"/>
        <v>110.00016796293617</v>
      </c>
      <c r="J244" s="106"/>
      <c r="K244" s="106"/>
      <c r="L244" s="106"/>
      <c r="M244" s="106"/>
      <c r="N244" s="106"/>
      <c r="O244" s="106"/>
      <c r="P244" s="106"/>
      <c r="Q244" s="106"/>
      <c r="R244" s="106"/>
      <c r="S244" s="106"/>
      <c r="T244" s="106"/>
      <c r="U244" s="106"/>
      <c r="V244" s="106"/>
      <c r="W244" s="106"/>
      <c r="X244" s="106"/>
      <c r="Y244" s="106"/>
      <c r="Z244" s="106"/>
      <c r="AA244" s="106"/>
      <c r="AB244" s="106"/>
      <c r="AC244" s="106"/>
    </row>
    <row r="245" spans="1:29" x14ac:dyDescent="0.3">
      <c r="A245" s="188">
        <v>1870</v>
      </c>
      <c r="B245" s="106"/>
      <c r="C245" s="106"/>
      <c r="D245" s="106"/>
      <c r="E245" s="106"/>
      <c r="F245" s="106"/>
      <c r="G245" s="106"/>
      <c r="H245" s="106"/>
      <c r="I245" s="106">
        <f>J245</f>
        <v>110.00016796293617</v>
      </c>
      <c r="J245" s="106">
        <f>11788333/107166.5</f>
        <v>110.00016796293617</v>
      </c>
      <c r="K245" s="106"/>
      <c r="L245" s="106"/>
      <c r="M245" s="106"/>
      <c r="N245" s="106"/>
      <c r="O245" s="106"/>
      <c r="P245" s="106"/>
      <c r="Q245" s="106"/>
      <c r="R245" s="106"/>
      <c r="S245" s="106"/>
      <c r="T245" s="106"/>
      <c r="U245" s="106"/>
      <c r="V245" s="106"/>
      <c r="W245" s="106"/>
      <c r="X245" s="106"/>
      <c r="Y245" s="106"/>
      <c r="Z245" s="106"/>
      <c r="AA245" s="106"/>
      <c r="AB245" s="106"/>
      <c r="AC245" s="106"/>
    </row>
    <row r="246" spans="1:29" x14ac:dyDescent="0.3">
      <c r="A246" s="188">
        <v>1871</v>
      </c>
      <c r="B246" s="106"/>
      <c r="C246" s="106"/>
      <c r="D246" s="106"/>
      <c r="E246" s="106"/>
      <c r="F246" s="106"/>
      <c r="G246" s="106"/>
      <c r="H246" s="106"/>
      <c r="I246" s="178">
        <f t="shared" si="8"/>
        <v>110.00016796293617</v>
      </c>
      <c r="J246" s="106"/>
      <c r="K246" s="106"/>
      <c r="L246" s="106"/>
      <c r="M246" s="106"/>
      <c r="N246" s="106"/>
      <c r="O246" s="106"/>
      <c r="P246" s="106"/>
      <c r="Q246" s="106"/>
      <c r="R246" s="106"/>
      <c r="S246" s="106"/>
      <c r="T246" s="106"/>
      <c r="U246" s="106"/>
      <c r="V246" s="106"/>
      <c r="W246" s="106"/>
      <c r="X246" s="106"/>
      <c r="Y246" s="106"/>
      <c r="Z246" s="106"/>
      <c r="AA246" s="106"/>
      <c r="AB246" s="106"/>
      <c r="AC246" s="106"/>
    </row>
    <row r="247" spans="1:29" x14ac:dyDescent="0.3">
      <c r="A247" s="188">
        <v>1872</v>
      </c>
      <c r="B247" s="106"/>
      <c r="C247" s="106"/>
      <c r="D247" s="106"/>
      <c r="E247" s="106"/>
      <c r="F247" s="106"/>
      <c r="G247" s="106"/>
      <c r="H247" s="106"/>
      <c r="I247" s="178">
        <f t="shared" si="8"/>
        <v>110.00016796293617</v>
      </c>
      <c r="J247" s="106"/>
      <c r="K247" s="106"/>
      <c r="L247" s="106"/>
      <c r="M247" s="106"/>
      <c r="N247" s="106"/>
      <c r="O247" s="106"/>
      <c r="P247" s="106"/>
      <c r="Q247" s="106"/>
      <c r="R247" s="106"/>
      <c r="S247" s="106"/>
      <c r="T247" s="106"/>
      <c r="U247" s="106"/>
      <c r="V247" s="106"/>
      <c r="W247" s="106"/>
      <c r="X247" s="106"/>
      <c r="Y247" s="106"/>
      <c r="Z247" s="106"/>
      <c r="AA247" s="106"/>
      <c r="AB247" s="106"/>
      <c r="AC247" s="106"/>
    </row>
    <row r="248" spans="1:29" x14ac:dyDescent="0.3">
      <c r="A248" s="188">
        <v>1873</v>
      </c>
      <c r="B248" s="106"/>
      <c r="C248" s="106"/>
      <c r="D248" s="106"/>
      <c r="E248" s="106"/>
      <c r="F248" s="106"/>
      <c r="G248" s="106"/>
      <c r="H248" s="106"/>
      <c r="I248" s="178">
        <f t="shared" si="8"/>
        <v>110.00016796293617</v>
      </c>
      <c r="J248" s="106"/>
      <c r="K248" s="106"/>
      <c r="L248" s="106"/>
      <c r="M248" s="106"/>
      <c r="N248" s="106"/>
      <c r="O248" s="106"/>
      <c r="P248" s="106"/>
      <c r="Q248" s="106"/>
      <c r="R248" s="106"/>
      <c r="S248" s="106"/>
      <c r="T248" s="106"/>
      <c r="U248" s="106"/>
      <c r="V248" s="106"/>
      <c r="W248" s="106"/>
      <c r="X248" s="106"/>
      <c r="Y248" s="106"/>
      <c r="Z248" s="106"/>
      <c r="AA248" s="106"/>
      <c r="AB248" s="106"/>
      <c r="AC248" s="106"/>
    </row>
    <row r="249" spans="1:29" x14ac:dyDescent="0.3">
      <c r="A249" s="188">
        <v>1874</v>
      </c>
      <c r="B249" s="106"/>
      <c r="C249" s="106"/>
      <c r="D249" s="106"/>
      <c r="E249" s="106"/>
      <c r="F249" s="106"/>
      <c r="G249" s="106"/>
      <c r="H249" s="106"/>
      <c r="I249" s="178">
        <f t="shared" si="8"/>
        <v>110.00016796293617</v>
      </c>
      <c r="J249" s="106"/>
      <c r="K249" s="106"/>
      <c r="L249" s="106"/>
      <c r="M249" s="106"/>
      <c r="N249" s="106"/>
      <c r="O249" s="106"/>
      <c r="P249" s="106"/>
      <c r="Q249" s="106"/>
      <c r="R249" s="106"/>
      <c r="S249" s="106"/>
      <c r="T249" s="106"/>
      <c r="U249" s="106"/>
      <c r="V249" s="106"/>
      <c r="W249" s="106"/>
      <c r="X249" s="106"/>
      <c r="Y249" s="106"/>
      <c r="Z249" s="106"/>
      <c r="AA249" s="106"/>
      <c r="AB249" s="106"/>
      <c r="AC249" s="106"/>
    </row>
    <row r="250" spans="1:29" x14ac:dyDescent="0.3">
      <c r="A250" s="188">
        <v>1875</v>
      </c>
      <c r="B250" s="106"/>
      <c r="C250" s="106"/>
      <c r="D250" s="106"/>
      <c r="E250" s="106"/>
      <c r="F250" s="106"/>
      <c r="G250" s="106"/>
      <c r="H250" s="106"/>
      <c r="I250" s="178">
        <f t="shared" si="8"/>
        <v>110.00016796293617</v>
      </c>
      <c r="J250" s="106"/>
      <c r="K250" s="106"/>
      <c r="L250" s="106"/>
      <c r="M250" s="106"/>
      <c r="N250" s="106"/>
      <c r="O250" s="106"/>
      <c r="P250" s="106"/>
      <c r="Q250" s="106"/>
      <c r="R250" s="106"/>
      <c r="S250" s="106"/>
      <c r="T250" s="106"/>
      <c r="U250" s="106"/>
      <c r="V250" s="106"/>
      <c r="W250" s="106"/>
      <c r="X250" s="106"/>
      <c r="Y250" s="106"/>
      <c r="Z250" s="106"/>
      <c r="AA250" s="106"/>
      <c r="AB250" s="106"/>
      <c r="AC250" s="106"/>
    </row>
    <row r="251" spans="1:29" x14ac:dyDescent="0.3">
      <c r="A251" s="188">
        <v>1876</v>
      </c>
      <c r="B251" s="106"/>
      <c r="C251" s="106"/>
      <c r="D251" s="106"/>
      <c r="E251" s="106"/>
      <c r="F251" s="106"/>
      <c r="G251" s="106"/>
      <c r="H251" s="106"/>
      <c r="I251" s="178">
        <f t="shared" si="8"/>
        <v>110.00016796293617</v>
      </c>
      <c r="J251" s="106"/>
      <c r="K251" s="106"/>
      <c r="L251" s="106"/>
      <c r="M251" s="106"/>
      <c r="N251" s="106"/>
      <c r="O251" s="106"/>
      <c r="P251" s="106"/>
      <c r="Q251" s="106"/>
      <c r="R251" s="106"/>
      <c r="S251" s="106"/>
      <c r="T251" s="106"/>
      <c r="U251" s="106"/>
      <c r="V251" s="106"/>
      <c r="W251" s="106"/>
      <c r="X251" s="106"/>
      <c r="Y251" s="106"/>
      <c r="Z251" s="106"/>
      <c r="AA251" s="106"/>
      <c r="AB251" s="106"/>
      <c r="AC251" s="106"/>
    </row>
    <row r="252" spans="1:29" x14ac:dyDescent="0.3">
      <c r="A252" s="188">
        <v>1877</v>
      </c>
      <c r="B252" s="106"/>
      <c r="C252" s="106"/>
      <c r="D252" s="106"/>
      <c r="E252" s="106"/>
      <c r="F252" s="106"/>
      <c r="G252" s="106"/>
      <c r="H252" s="106"/>
      <c r="I252" s="178">
        <f t="shared" si="8"/>
        <v>110.00016796293617</v>
      </c>
      <c r="J252" s="106"/>
      <c r="K252" s="106"/>
      <c r="L252" s="106"/>
      <c r="M252" s="106"/>
      <c r="N252" s="106"/>
      <c r="O252" s="106"/>
      <c r="P252" s="106"/>
      <c r="Q252" s="106"/>
      <c r="R252" s="106"/>
      <c r="S252" s="106"/>
      <c r="T252" s="106"/>
      <c r="U252" s="106"/>
      <c r="V252" s="106"/>
      <c r="W252" s="106"/>
      <c r="X252" s="106"/>
      <c r="Y252" s="106"/>
      <c r="Z252" s="106"/>
      <c r="AA252" s="106"/>
      <c r="AB252" s="106"/>
      <c r="AC252" s="106"/>
    </row>
    <row r="253" spans="1:29" x14ac:dyDescent="0.3">
      <c r="A253" s="188">
        <v>1878</v>
      </c>
      <c r="B253" s="106"/>
      <c r="C253" s="106"/>
      <c r="D253" s="106"/>
      <c r="E253" s="106"/>
      <c r="F253" s="106"/>
      <c r="G253" s="106"/>
      <c r="H253" s="106"/>
      <c r="I253" s="178">
        <f t="shared" si="8"/>
        <v>110.00016796293617</v>
      </c>
      <c r="J253" s="106"/>
      <c r="K253" s="106"/>
      <c r="L253" s="106"/>
      <c r="M253" s="106"/>
      <c r="N253" s="106"/>
      <c r="O253" s="106"/>
      <c r="P253" s="106"/>
      <c r="Q253" s="106"/>
      <c r="R253" s="106"/>
      <c r="S253" s="106"/>
      <c r="T253" s="106"/>
      <c r="U253" s="106"/>
      <c r="V253" s="106"/>
      <c r="W253" s="106"/>
      <c r="X253" s="106"/>
      <c r="Y253" s="106"/>
      <c r="Z253" s="106"/>
      <c r="AA253" s="106"/>
      <c r="AB253" s="106"/>
      <c r="AC253" s="106"/>
    </row>
    <row r="254" spans="1:29" x14ac:dyDescent="0.3">
      <c r="A254" s="188">
        <v>1879</v>
      </c>
      <c r="B254" s="106"/>
      <c r="C254" s="106"/>
      <c r="D254" s="106"/>
      <c r="E254" s="106"/>
      <c r="F254" s="106"/>
      <c r="G254" s="106"/>
      <c r="H254" s="106"/>
      <c r="I254" s="178">
        <f t="shared" si="8"/>
        <v>110.00016796293617</v>
      </c>
      <c r="J254" s="106"/>
      <c r="K254" s="106"/>
      <c r="L254" s="106"/>
      <c r="M254" s="106"/>
      <c r="N254" s="106"/>
      <c r="O254" s="106"/>
      <c r="P254" s="106"/>
      <c r="Q254" s="106"/>
      <c r="R254" s="106"/>
      <c r="S254" s="106"/>
      <c r="T254" s="106"/>
      <c r="U254" s="106"/>
      <c r="V254" s="106"/>
      <c r="W254" s="106"/>
      <c r="X254" s="106"/>
      <c r="Y254" s="106"/>
      <c r="Z254" s="106"/>
      <c r="AA254" s="106"/>
      <c r="AB254" s="106"/>
      <c r="AC254" s="106"/>
    </row>
    <row r="255" spans="1:29" x14ac:dyDescent="0.3">
      <c r="A255" s="188">
        <v>1880</v>
      </c>
      <c r="B255" s="106"/>
      <c r="C255" s="106"/>
      <c r="D255" s="106"/>
      <c r="E255" s="106"/>
      <c r="F255" s="106"/>
      <c r="G255" s="106"/>
      <c r="H255" s="106"/>
      <c r="I255" s="178">
        <f t="shared" si="8"/>
        <v>110.00016796293617</v>
      </c>
      <c r="J255" s="106"/>
      <c r="K255" s="106"/>
      <c r="L255" s="106"/>
      <c r="M255" s="106"/>
      <c r="N255" s="106"/>
      <c r="O255" s="106"/>
      <c r="P255" s="106"/>
      <c r="Q255" s="106"/>
      <c r="R255" s="106"/>
      <c r="S255" s="106"/>
      <c r="T255" s="106"/>
      <c r="U255" s="106"/>
      <c r="V255" s="106"/>
      <c r="W255" s="106"/>
      <c r="X255" s="106"/>
      <c r="Y255" s="106"/>
      <c r="Z255" s="106"/>
      <c r="AA255" s="106"/>
      <c r="AB255" s="106"/>
      <c r="AC255" s="106"/>
    </row>
    <row r="256" spans="1:29" x14ac:dyDescent="0.3">
      <c r="A256" s="188">
        <v>1881</v>
      </c>
      <c r="B256" s="106"/>
      <c r="C256" s="106"/>
      <c r="D256" s="106"/>
      <c r="E256" s="106"/>
      <c r="F256" s="106"/>
      <c r="G256" s="106"/>
      <c r="H256" s="106"/>
      <c r="I256" s="178">
        <f t="shared" si="8"/>
        <v>110.00016796293617</v>
      </c>
      <c r="J256" s="106"/>
      <c r="K256" s="106"/>
      <c r="L256" s="106"/>
      <c r="M256" s="106"/>
      <c r="N256" s="106"/>
      <c r="O256" s="106"/>
      <c r="P256" s="106"/>
      <c r="Q256" s="106"/>
      <c r="R256" s="106"/>
      <c r="S256" s="106"/>
      <c r="T256" s="106"/>
      <c r="U256" s="106"/>
      <c r="V256" s="106"/>
      <c r="W256" s="106"/>
      <c r="X256" s="106"/>
      <c r="Y256" s="106"/>
      <c r="Z256" s="106"/>
      <c r="AA256" s="106"/>
      <c r="AB256" s="106"/>
      <c r="AC256" s="106"/>
    </row>
    <row r="257" spans="1:61" x14ac:dyDescent="0.3">
      <c r="A257" s="188">
        <v>1882</v>
      </c>
      <c r="B257" s="106"/>
      <c r="C257" s="106"/>
      <c r="D257" s="106"/>
      <c r="E257" s="106"/>
      <c r="F257" s="106"/>
      <c r="G257" s="106"/>
      <c r="H257" s="106"/>
      <c r="I257" s="178">
        <f t="shared" si="8"/>
        <v>110.00016796293617</v>
      </c>
      <c r="J257" s="106"/>
      <c r="K257" s="106"/>
      <c r="L257" s="106"/>
      <c r="M257" s="106"/>
      <c r="N257" s="106"/>
      <c r="O257" s="106"/>
      <c r="P257" s="106"/>
      <c r="Q257" s="106"/>
      <c r="R257" s="106"/>
      <c r="S257" s="106"/>
      <c r="T257" s="106"/>
      <c r="U257" s="106"/>
      <c r="V257" s="106"/>
      <c r="W257" s="106"/>
      <c r="X257" s="106"/>
      <c r="Y257" s="106"/>
      <c r="Z257" s="106"/>
      <c r="AA257" s="106"/>
      <c r="AB257" s="106"/>
      <c r="AC257" s="106"/>
    </row>
    <row r="258" spans="1:61" x14ac:dyDescent="0.3">
      <c r="A258" s="188">
        <v>1883</v>
      </c>
      <c r="B258" s="106"/>
      <c r="C258" s="106"/>
      <c r="D258" s="106"/>
      <c r="E258" s="106"/>
      <c r="F258" s="106"/>
      <c r="G258" s="106"/>
      <c r="H258" s="106"/>
      <c r="I258" s="178">
        <f t="shared" si="8"/>
        <v>110.00016796293617</v>
      </c>
      <c r="J258" s="106"/>
      <c r="K258" s="106"/>
      <c r="L258" s="106"/>
      <c r="M258" s="106"/>
      <c r="N258" s="106"/>
      <c r="O258" s="106"/>
      <c r="P258" s="106"/>
      <c r="Q258" s="106"/>
      <c r="R258" s="106"/>
      <c r="S258" s="106"/>
      <c r="T258" s="106"/>
      <c r="U258" s="106"/>
      <c r="V258" s="106"/>
      <c r="W258" s="106"/>
      <c r="X258" s="106"/>
      <c r="Y258" s="106"/>
      <c r="Z258" s="106"/>
      <c r="AA258" s="106"/>
      <c r="AB258" s="106"/>
      <c r="AC258" s="106"/>
    </row>
    <row r="259" spans="1:61" x14ac:dyDescent="0.3">
      <c r="A259" s="188">
        <v>1884</v>
      </c>
      <c r="B259" s="106"/>
      <c r="C259" s="106"/>
      <c r="D259" s="106"/>
      <c r="E259" s="106"/>
      <c r="F259" s="106"/>
      <c r="G259" s="106"/>
      <c r="H259" s="106"/>
      <c r="I259" s="178">
        <f t="shared" si="8"/>
        <v>110.00016796293617</v>
      </c>
      <c r="J259" s="106"/>
      <c r="K259" s="106"/>
      <c r="L259" s="106"/>
      <c r="M259" s="106"/>
      <c r="N259" s="106"/>
      <c r="O259" s="106"/>
      <c r="P259" s="106"/>
      <c r="Q259" s="106"/>
      <c r="R259" s="106"/>
      <c r="S259" s="106"/>
      <c r="T259" s="106"/>
      <c r="U259" s="106"/>
      <c r="V259" s="106"/>
      <c r="W259" s="106"/>
      <c r="X259" s="106"/>
      <c r="Y259" s="106"/>
      <c r="Z259" s="106"/>
      <c r="AA259" s="106"/>
      <c r="AB259" s="106"/>
      <c r="AC259" s="106"/>
    </row>
    <row r="260" spans="1:61" x14ac:dyDescent="0.3">
      <c r="A260" s="188">
        <v>1885</v>
      </c>
      <c r="B260" s="179"/>
      <c r="C260" s="106"/>
      <c r="D260" s="106"/>
      <c r="E260" s="106"/>
      <c r="F260" s="106"/>
      <c r="G260" s="106"/>
      <c r="H260" s="106"/>
      <c r="I260" s="178">
        <f t="shared" si="8"/>
        <v>110.00016796293617</v>
      </c>
      <c r="J260" s="106"/>
      <c r="K260" s="106"/>
      <c r="L260" s="106"/>
      <c r="M260" s="106"/>
      <c r="N260" s="106"/>
      <c r="O260" s="106"/>
      <c r="P260" s="106"/>
      <c r="Q260" s="106"/>
      <c r="R260" s="106"/>
      <c r="S260" s="106"/>
      <c r="T260" s="106"/>
      <c r="U260" s="106"/>
      <c r="V260" s="106"/>
      <c r="W260" s="106"/>
      <c r="X260" s="106"/>
      <c r="Y260" s="106"/>
      <c r="Z260" s="106"/>
      <c r="AA260" s="106"/>
      <c r="AB260" s="106"/>
      <c r="AC260" s="106"/>
    </row>
    <row r="261" spans="1:61" x14ac:dyDescent="0.3">
      <c r="A261" s="188">
        <v>1886</v>
      </c>
      <c r="B261" s="179"/>
      <c r="C261" s="106"/>
      <c r="D261" s="106"/>
      <c r="E261" s="106"/>
      <c r="F261" s="106"/>
      <c r="G261" s="106"/>
      <c r="H261" s="106"/>
      <c r="I261" s="178">
        <f t="shared" si="8"/>
        <v>110.00016796293617</v>
      </c>
      <c r="J261" s="106"/>
      <c r="K261" s="106"/>
      <c r="L261" s="106"/>
      <c r="M261" s="106"/>
      <c r="N261" s="106"/>
      <c r="O261" s="106"/>
      <c r="P261" s="106"/>
      <c r="Q261" s="106"/>
      <c r="R261" s="106"/>
      <c r="S261" s="106"/>
      <c r="T261" s="106"/>
      <c r="U261" s="106"/>
      <c r="V261" s="106"/>
      <c r="W261" s="106"/>
      <c r="X261" s="106"/>
      <c r="Y261" s="106"/>
      <c r="Z261" s="106"/>
      <c r="AA261" s="106"/>
      <c r="AB261" s="106"/>
      <c r="AC261" s="106"/>
    </row>
    <row r="262" spans="1:61" x14ac:dyDescent="0.3">
      <c r="A262" s="188">
        <v>1887</v>
      </c>
      <c r="B262" s="179"/>
      <c r="C262" s="106"/>
      <c r="D262" s="106"/>
      <c r="E262" s="106"/>
      <c r="F262" s="106"/>
      <c r="G262" s="106"/>
      <c r="H262" s="106"/>
      <c r="I262" s="178">
        <f t="shared" si="8"/>
        <v>110.00016796293617</v>
      </c>
      <c r="J262" s="106"/>
      <c r="K262" s="106"/>
      <c r="L262" s="106"/>
      <c r="M262" s="106"/>
      <c r="N262" s="106"/>
      <c r="O262" s="106"/>
      <c r="P262" s="106"/>
      <c r="Q262" s="106"/>
      <c r="R262" s="106"/>
      <c r="S262" s="106"/>
      <c r="T262" s="106"/>
      <c r="U262" s="106"/>
      <c r="V262" s="106"/>
      <c r="W262" s="106"/>
      <c r="X262" s="106"/>
      <c r="Y262" s="106"/>
      <c r="Z262" s="106"/>
      <c r="AA262" s="106"/>
      <c r="AB262" s="106"/>
      <c r="AC262" s="106"/>
    </row>
    <row r="263" spans="1:61" x14ac:dyDescent="0.3">
      <c r="A263" s="188">
        <v>1888</v>
      </c>
      <c r="B263" s="179"/>
      <c r="C263" s="106"/>
      <c r="D263" s="106"/>
      <c r="E263" s="106"/>
      <c r="F263" s="106"/>
      <c r="G263" s="106"/>
      <c r="H263" s="106"/>
      <c r="I263" s="178">
        <f t="shared" si="8"/>
        <v>110.00016796293617</v>
      </c>
      <c r="J263" s="106"/>
      <c r="K263" s="106"/>
      <c r="L263" s="106"/>
      <c r="M263" s="106"/>
      <c r="N263" s="106"/>
      <c r="O263" s="106"/>
      <c r="P263" s="106"/>
      <c r="Q263" s="106"/>
      <c r="R263" s="106"/>
      <c r="S263" s="106"/>
      <c r="T263" s="106"/>
      <c r="U263" s="106"/>
      <c r="V263" s="106"/>
      <c r="W263" s="106"/>
      <c r="X263" s="106"/>
      <c r="Y263" s="106"/>
      <c r="Z263" s="106"/>
      <c r="AA263" s="106"/>
      <c r="AB263" s="106"/>
      <c r="AC263" s="106"/>
      <c r="AM263" s="62">
        <v>28.75</v>
      </c>
      <c r="AN263" s="62">
        <v>19</v>
      </c>
      <c r="AT263" s="62">
        <v>4.75</v>
      </c>
      <c r="AU263" s="62">
        <v>3</v>
      </c>
      <c r="AV263" s="62">
        <v>4.875</v>
      </c>
      <c r="AW263" s="62">
        <v>3</v>
      </c>
      <c r="BA263" s="62">
        <v>11.75</v>
      </c>
      <c r="BB263" s="62">
        <v>7.5</v>
      </c>
      <c r="BH263" s="62">
        <v>24.75</v>
      </c>
      <c r="BI263" s="62">
        <v>16.5</v>
      </c>
    </row>
    <row r="264" spans="1:61" x14ac:dyDescent="0.3">
      <c r="A264" s="188">
        <v>1889</v>
      </c>
      <c r="B264" s="179"/>
      <c r="C264" s="106"/>
      <c r="D264" s="106"/>
      <c r="E264" s="106"/>
      <c r="F264" s="106"/>
      <c r="G264" s="106"/>
      <c r="H264" s="106"/>
      <c r="I264" s="178">
        <f t="shared" si="8"/>
        <v>110.00016796293617</v>
      </c>
      <c r="J264" s="106"/>
      <c r="K264" s="106"/>
      <c r="L264" s="106"/>
      <c r="M264" s="106"/>
      <c r="N264" s="106"/>
      <c r="O264" s="106"/>
      <c r="P264" s="106"/>
      <c r="Q264" s="106"/>
      <c r="R264" s="106"/>
      <c r="S264" s="106"/>
      <c r="T264" s="106"/>
      <c r="U264" s="106"/>
      <c r="V264" s="106"/>
      <c r="W264" s="106"/>
      <c r="X264" s="106"/>
      <c r="Y264" s="106"/>
      <c r="Z264" s="106"/>
      <c r="AA264" s="106"/>
      <c r="AB264" s="106"/>
      <c r="AC264" s="106"/>
    </row>
    <row r="265" spans="1:61" x14ac:dyDescent="0.3">
      <c r="A265" s="188">
        <v>1890</v>
      </c>
      <c r="B265" s="179"/>
      <c r="C265" s="106"/>
      <c r="D265" s="106"/>
      <c r="E265" s="106"/>
      <c r="F265" s="106"/>
      <c r="G265" s="106"/>
      <c r="H265" s="106"/>
      <c r="I265" s="178">
        <f t="shared" si="8"/>
        <v>110.00016796293617</v>
      </c>
      <c r="J265" s="106"/>
      <c r="K265" s="106"/>
      <c r="L265" s="106"/>
      <c r="M265" s="106"/>
      <c r="N265" s="106"/>
      <c r="O265" s="106"/>
      <c r="P265" s="106"/>
      <c r="Q265" s="106"/>
      <c r="R265" s="106"/>
      <c r="S265" s="106"/>
      <c r="T265" s="106"/>
      <c r="U265" s="106"/>
      <c r="V265" s="106"/>
      <c r="W265" s="106"/>
      <c r="X265" s="106"/>
      <c r="Y265" s="106"/>
      <c r="Z265" s="106"/>
      <c r="AA265" s="106"/>
      <c r="AB265" s="106"/>
      <c r="AC265" s="106"/>
    </row>
    <row r="266" spans="1:61" x14ac:dyDescent="0.3">
      <c r="A266" s="188">
        <v>1891</v>
      </c>
      <c r="B266" s="179"/>
      <c r="C266" s="106"/>
      <c r="D266" s="106"/>
      <c r="E266" s="106"/>
      <c r="F266" s="106"/>
      <c r="G266" s="106"/>
      <c r="H266" s="106"/>
      <c r="I266" s="178">
        <f t="shared" si="8"/>
        <v>110.00016796293617</v>
      </c>
      <c r="J266" s="106"/>
      <c r="K266" s="106"/>
      <c r="L266" s="106"/>
      <c r="M266" s="106"/>
      <c r="N266" s="106"/>
      <c r="O266" s="106"/>
      <c r="P266" s="106"/>
      <c r="Q266" s="106"/>
      <c r="R266" s="106"/>
      <c r="S266" s="106"/>
      <c r="T266" s="106"/>
      <c r="U266" s="106"/>
      <c r="V266" s="106"/>
      <c r="W266" s="106"/>
      <c r="X266" s="106"/>
      <c r="Y266" s="106"/>
      <c r="Z266" s="106"/>
      <c r="AA266" s="106"/>
      <c r="AB266" s="106"/>
      <c r="AC266" s="106"/>
    </row>
    <row r="267" spans="1:61" x14ac:dyDescent="0.3">
      <c r="A267" s="188">
        <v>1892</v>
      </c>
      <c r="B267" s="179"/>
      <c r="C267" s="106"/>
      <c r="D267" s="106"/>
      <c r="E267" s="106"/>
      <c r="F267" s="106"/>
      <c r="G267" s="106"/>
      <c r="H267" s="106"/>
      <c r="I267" s="106">
        <f>J267</f>
        <v>114.4375</v>
      </c>
      <c r="J267" s="106">
        <f>AVERAGE(114.25,115.25,113,115.25)</f>
        <v>114.4375</v>
      </c>
      <c r="K267" s="106"/>
      <c r="L267" s="106"/>
      <c r="M267" s="106"/>
      <c r="N267" s="106"/>
      <c r="O267" s="106"/>
      <c r="P267" s="106"/>
      <c r="Q267" s="106"/>
      <c r="R267" s="106"/>
      <c r="S267" s="106"/>
      <c r="T267" s="106"/>
      <c r="U267" s="106"/>
      <c r="V267" s="106"/>
      <c r="W267" s="106"/>
      <c r="X267" s="106"/>
      <c r="Y267" s="106"/>
      <c r="Z267" s="106"/>
      <c r="AA267" s="106"/>
      <c r="AB267" s="106"/>
      <c r="AC267" s="106"/>
      <c r="AE267" s="62">
        <v>103.25</v>
      </c>
    </row>
    <row r="268" spans="1:61" x14ac:dyDescent="0.3">
      <c r="A268" s="188">
        <v>1893</v>
      </c>
      <c r="B268" s="179"/>
      <c r="C268" s="106"/>
      <c r="D268" s="106"/>
      <c r="E268" s="106"/>
      <c r="F268" s="106"/>
      <c r="G268" s="106"/>
      <c r="H268" s="106"/>
      <c r="I268" s="106">
        <f>J268</f>
        <v>114.125</v>
      </c>
      <c r="J268" s="106">
        <f>AVERAGE(113,115.25)</f>
        <v>114.125</v>
      </c>
      <c r="K268" s="106"/>
      <c r="L268" s="106"/>
      <c r="M268" s="106"/>
      <c r="N268" s="106"/>
      <c r="O268" s="106"/>
      <c r="P268" s="106"/>
      <c r="Q268" s="106"/>
      <c r="R268" s="106"/>
      <c r="S268" s="106"/>
      <c r="T268" s="106"/>
      <c r="U268" s="106"/>
      <c r="V268" s="106"/>
      <c r="W268" s="106"/>
      <c r="X268" s="106"/>
      <c r="Y268" s="106"/>
      <c r="Z268" s="106"/>
      <c r="AA268" s="106"/>
      <c r="AB268" s="106"/>
      <c r="AC268" s="106"/>
      <c r="AE268" s="62">
        <v>103.5</v>
      </c>
      <c r="AL268" s="62">
        <v>19.25</v>
      </c>
    </row>
    <row r="269" spans="1:61" x14ac:dyDescent="0.3">
      <c r="A269" s="188">
        <v>1894</v>
      </c>
      <c r="B269" s="179"/>
      <c r="C269" s="106"/>
      <c r="D269" s="106"/>
      <c r="E269" s="106"/>
      <c r="F269" s="106"/>
      <c r="G269" s="106"/>
      <c r="H269" s="106"/>
      <c r="I269" s="106">
        <f>J269</f>
        <v>122.92733333333335</v>
      </c>
      <c r="J269" s="106">
        <f>AVERAGE(120,124.235,124.547)</f>
        <v>122.92733333333335</v>
      </c>
      <c r="K269" s="106"/>
      <c r="L269" s="106"/>
      <c r="M269" s="106"/>
      <c r="N269" s="106"/>
      <c r="O269" s="106"/>
      <c r="P269" s="106"/>
      <c r="Q269" s="106"/>
      <c r="R269" s="106"/>
      <c r="S269" s="106"/>
      <c r="T269" s="106"/>
      <c r="U269" s="106"/>
      <c r="V269" s="106"/>
      <c r="W269" s="106"/>
      <c r="X269" s="106"/>
      <c r="Y269" s="106"/>
      <c r="Z269" s="106"/>
      <c r="AA269" s="106"/>
      <c r="AB269" s="106"/>
      <c r="AC269" s="106"/>
      <c r="AE269" s="62">
        <f>AVERAGE(103,104)</f>
        <v>103.5</v>
      </c>
      <c r="AL269" s="62">
        <f>AVERAGE(19,19.375)</f>
        <v>19.1875</v>
      </c>
      <c r="AS269" s="62">
        <f>AVERAGE(2.465, 2.2, 2)</f>
        <v>2.2216666666666667</v>
      </c>
    </row>
    <row r="270" spans="1:61" x14ac:dyDescent="0.3">
      <c r="A270" s="188">
        <v>1895</v>
      </c>
      <c r="B270" s="106">
        <v>18.486707566462165</v>
      </c>
      <c r="C270" s="106"/>
      <c r="D270" s="106"/>
      <c r="E270" s="106"/>
      <c r="F270" s="106"/>
      <c r="G270" s="106"/>
      <c r="H270" s="106"/>
      <c r="I270" s="106">
        <f t="shared" ref="I270:I287" si="9">L270</f>
        <v>116.95499999999998</v>
      </c>
      <c r="J270" s="106"/>
      <c r="K270" s="106">
        <f>AVERAGE(111.375,113,111.125,113)</f>
        <v>112.125</v>
      </c>
      <c r="L270" s="106">
        <f>Q270*$AE$270</f>
        <v>116.95499999999998</v>
      </c>
      <c r="M270" s="106"/>
      <c r="N270" s="106"/>
      <c r="O270" s="106"/>
      <c r="P270" s="106">
        <f>Q270</f>
        <v>1.1299999999999999</v>
      </c>
      <c r="Q270" s="106">
        <f>AVERAGE(112,114)/100</f>
        <v>1.1299999999999999</v>
      </c>
      <c r="R270" s="106"/>
      <c r="S270" s="106"/>
      <c r="T270" s="106"/>
      <c r="U270" s="106"/>
      <c r="V270" s="106"/>
      <c r="W270" s="106"/>
      <c r="X270" s="106">
        <f>AVERAGE(62.75,59.5)/1000</f>
        <v>6.1124999999999999E-2</v>
      </c>
      <c r="Y270" s="106"/>
      <c r="Z270" s="106"/>
      <c r="AA270" s="106"/>
      <c r="AB270" s="106"/>
      <c r="AC270" s="106"/>
      <c r="AE270" s="62">
        <v>103.5</v>
      </c>
    </row>
    <row r="271" spans="1:61" x14ac:dyDescent="0.3">
      <c r="A271" s="188">
        <v>1896</v>
      </c>
      <c r="B271" s="106">
        <v>16.696891191709849</v>
      </c>
      <c r="C271" s="106">
        <v>150</v>
      </c>
      <c r="D271" s="106"/>
      <c r="E271" s="106"/>
      <c r="F271" s="106"/>
      <c r="G271" s="106"/>
      <c r="H271" s="106"/>
      <c r="I271" s="106">
        <f t="shared" si="9"/>
        <v>111.17625000000001</v>
      </c>
      <c r="J271" s="106"/>
      <c r="K271" s="106"/>
      <c r="L271" s="106">
        <f t="shared" ref="L271:L287" si="10">Q271*$AE$270</f>
        <v>111.17625000000001</v>
      </c>
      <c r="M271" s="106"/>
      <c r="N271" s="106"/>
      <c r="O271" s="106"/>
      <c r="P271" s="106">
        <f>Q271</f>
        <v>1.0741666666666667</v>
      </c>
      <c r="Q271" s="106">
        <f>AVERAGE(109.5,104,108.75)/100</f>
        <v>1.0741666666666667</v>
      </c>
      <c r="R271" s="106"/>
      <c r="S271" s="106"/>
      <c r="T271" s="106"/>
      <c r="U271" s="106"/>
      <c r="V271" s="106"/>
      <c r="W271" s="106"/>
      <c r="X271" s="106">
        <f>AVERAGE(63.5,61,68.5)/1000</f>
        <v>6.4333333333333326E-2</v>
      </c>
      <c r="Y271" s="106"/>
      <c r="Z271" s="106"/>
      <c r="AA271" s="106"/>
      <c r="AB271" s="106"/>
      <c r="AC271" s="106"/>
    </row>
    <row r="272" spans="1:61" x14ac:dyDescent="0.3">
      <c r="A272" s="188">
        <v>1897</v>
      </c>
      <c r="B272" s="178">
        <v>15.755853003262333</v>
      </c>
      <c r="C272" s="106"/>
      <c r="D272" s="106"/>
      <c r="E272" s="106"/>
      <c r="F272" s="106"/>
      <c r="G272" s="106"/>
      <c r="H272" s="106"/>
      <c r="I272" s="106">
        <f t="shared" si="9"/>
        <v>113.3325</v>
      </c>
      <c r="J272" s="106"/>
      <c r="K272" s="106"/>
      <c r="L272" s="106">
        <f t="shared" si="10"/>
        <v>113.3325</v>
      </c>
      <c r="M272" s="106"/>
      <c r="N272" s="106"/>
      <c r="O272" s="106"/>
      <c r="P272" s="106">
        <f>Q272</f>
        <v>1.095</v>
      </c>
      <c r="Q272" s="106">
        <f>AVERAGE(110,107,111.5)/100</f>
        <v>1.095</v>
      </c>
      <c r="R272" s="106"/>
      <c r="S272" s="106"/>
      <c r="T272" s="106"/>
      <c r="U272" s="106"/>
      <c r="V272" s="106"/>
      <c r="W272" s="106"/>
      <c r="X272" s="106"/>
      <c r="Y272" s="106"/>
      <c r="Z272" s="106"/>
      <c r="AA272" s="106"/>
      <c r="AB272" s="106"/>
      <c r="AC272" s="106"/>
    </row>
    <row r="273" spans="1:73" x14ac:dyDescent="0.3">
      <c r="A273" s="188">
        <v>1898</v>
      </c>
      <c r="B273" s="106">
        <v>14.814814814814817</v>
      </c>
      <c r="C273" s="106"/>
      <c r="D273" s="106"/>
      <c r="E273" s="106"/>
      <c r="F273" s="106"/>
      <c r="G273" s="106"/>
      <c r="H273" s="106"/>
      <c r="I273" s="106">
        <f t="shared" si="9"/>
        <v>113.85000000000001</v>
      </c>
      <c r="J273" s="106"/>
      <c r="K273" s="106"/>
      <c r="L273" s="106">
        <f t="shared" si="10"/>
        <v>113.85000000000001</v>
      </c>
      <c r="M273" s="106"/>
      <c r="N273" s="106"/>
      <c r="O273" s="106"/>
      <c r="P273" s="106">
        <f>Q273</f>
        <v>1.1000000000000001</v>
      </c>
      <c r="Q273" s="106">
        <f>AVERAGE(108.25,111.75)/100</f>
        <v>1.1000000000000001</v>
      </c>
      <c r="R273" s="106"/>
      <c r="S273" s="106"/>
      <c r="T273" s="106"/>
      <c r="U273" s="106"/>
      <c r="V273" s="106"/>
      <c r="W273" s="106"/>
      <c r="X273" s="106">
        <f>AVERAGE(73.5,75)/1000</f>
        <v>7.4249999999999997E-2</v>
      </c>
      <c r="Y273" s="106"/>
      <c r="Z273" s="106"/>
      <c r="AA273" s="106"/>
      <c r="AB273" s="106"/>
      <c r="AC273" s="106"/>
    </row>
    <row r="274" spans="1:73" x14ac:dyDescent="0.3">
      <c r="A274" s="188">
        <v>1899</v>
      </c>
      <c r="B274" s="106">
        <v>15.093378607809848</v>
      </c>
      <c r="C274" s="106"/>
      <c r="D274" s="106"/>
      <c r="E274" s="106"/>
      <c r="F274" s="106"/>
      <c r="G274" s="106"/>
      <c r="H274" s="106"/>
      <c r="I274" s="106">
        <f t="shared" si="9"/>
        <v>0</v>
      </c>
      <c r="J274" s="106"/>
      <c r="K274" s="106"/>
      <c r="L274" s="106">
        <f t="shared" si="10"/>
        <v>0</v>
      </c>
      <c r="M274" s="106"/>
      <c r="N274" s="106"/>
      <c r="O274" s="106"/>
      <c r="P274" s="106">
        <f>R274</f>
        <v>1.1112500000000001</v>
      </c>
      <c r="Q274" s="106"/>
      <c r="R274" s="106">
        <f>AVERAGE(109.75,112.5)/100</f>
        <v>1.1112500000000001</v>
      </c>
      <c r="S274" s="106"/>
      <c r="T274" s="106"/>
      <c r="U274" s="106"/>
      <c r="V274" s="106"/>
      <c r="W274" s="106"/>
      <c r="X274" s="106"/>
      <c r="Y274" s="106">
        <f>AVERAGE(72,75.25)/1000</f>
        <v>7.3624999999999996E-2</v>
      </c>
      <c r="Z274" s="106"/>
      <c r="AA274" s="106"/>
      <c r="AB274" s="106"/>
      <c r="AC274" s="106"/>
    </row>
    <row r="275" spans="1:73" x14ac:dyDescent="0.3">
      <c r="A275" s="188">
        <v>1900</v>
      </c>
      <c r="B275" s="106">
        <v>15.116883116883118</v>
      </c>
      <c r="C275" s="106"/>
      <c r="D275" s="106"/>
      <c r="E275" s="106"/>
      <c r="F275" s="106"/>
      <c r="G275" s="106"/>
      <c r="H275" s="106"/>
      <c r="I275" s="106">
        <f t="shared" si="9"/>
        <v>0</v>
      </c>
      <c r="J275" s="106"/>
      <c r="K275" s="106"/>
      <c r="L275" s="106">
        <f t="shared" si="10"/>
        <v>0</v>
      </c>
      <c r="M275" s="106"/>
      <c r="N275" s="106"/>
      <c r="O275" s="106"/>
      <c r="P275" s="106">
        <f t="shared" ref="P275:P287" si="11">R275</f>
        <v>1.0912500000000001</v>
      </c>
      <c r="Q275" s="106"/>
      <c r="R275" s="106">
        <f>AVERAGE(107.25,111)/100</f>
        <v>1.0912500000000001</v>
      </c>
      <c r="S275" s="106"/>
      <c r="T275" s="106"/>
      <c r="U275" s="106"/>
      <c r="V275" s="106"/>
      <c r="W275" s="106"/>
      <c r="X275" s="106"/>
      <c r="Y275" s="106">
        <f>AVERAGE(70.75,73.625)/1000</f>
        <v>7.2187500000000002E-2</v>
      </c>
      <c r="Z275" s="106"/>
      <c r="AA275" s="106"/>
      <c r="AB275" s="106"/>
      <c r="AC275" s="106"/>
    </row>
    <row r="276" spans="1:73" x14ac:dyDescent="0.3">
      <c r="A276" s="188">
        <v>1901</v>
      </c>
      <c r="B276" s="106">
        <v>15.119453924914676</v>
      </c>
      <c r="C276" s="106"/>
      <c r="D276" s="106"/>
      <c r="E276" s="106"/>
      <c r="F276" s="106"/>
      <c r="G276" s="106"/>
      <c r="H276" s="106"/>
      <c r="I276" s="106">
        <f t="shared" si="9"/>
        <v>113.46187499999999</v>
      </c>
      <c r="J276" s="106"/>
      <c r="K276" s="106"/>
      <c r="L276" s="106">
        <f t="shared" si="10"/>
        <v>113.46187499999999</v>
      </c>
      <c r="M276" s="106"/>
      <c r="N276" s="106"/>
      <c r="O276" s="106"/>
      <c r="P276" s="106">
        <f t="shared" si="11"/>
        <v>1.1074999999999999</v>
      </c>
      <c r="Q276" s="106">
        <f>AVERAGE(108.25,111)/100</f>
        <v>1.0962499999999999</v>
      </c>
      <c r="R276" s="106">
        <f>AVERAGE(109.25,112.25)/100</f>
        <v>1.1074999999999999</v>
      </c>
      <c r="S276" s="106"/>
      <c r="T276" s="106"/>
      <c r="U276" s="106"/>
      <c r="V276" s="106"/>
      <c r="W276" s="106"/>
      <c r="X276" s="106"/>
      <c r="Y276" s="106">
        <f>AVERAGE(72,74.5)/1000</f>
        <v>7.3249999999999996E-2</v>
      </c>
      <c r="Z276" s="106"/>
      <c r="AA276" s="106"/>
      <c r="AB276" s="106"/>
      <c r="AC276" s="106"/>
    </row>
    <row r="277" spans="1:73" x14ac:dyDescent="0.3">
      <c r="A277" s="188">
        <v>1902</v>
      </c>
      <c r="B277" s="106">
        <v>15.016863406408094</v>
      </c>
      <c r="C277" s="106"/>
      <c r="D277" s="106"/>
      <c r="E277" s="106"/>
      <c r="F277" s="106"/>
      <c r="G277" s="106"/>
      <c r="H277" s="106"/>
      <c r="I277" s="106">
        <f t="shared" si="9"/>
        <v>113.85000000000001</v>
      </c>
      <c r="J277" s="106"/>
      <c r="K277" s="106"/>
      <c r="L277" s="106">
        <f t="shared" si="10"/>
        <v>113.85000000000001</v>
      </c>
      <c r="M277" s="106"/>
      <c r="N277" s="106"/>
      <c r="O277" s="106"/>
      <c r="P277" s="106">
        <f t="shared" si="11"/>
        <v>1.1131249999999999</v>
      </c>
      <c r="Q277" s="106">
        <f>AVERAGE(108.5,111.5)/100</f>
        <v>1.1000000000000001</v>
      </c>
      <c r="R277" s="106">
        <f>AVERAGE(109.75,112.875)/100</f>
        <v>1.1131249999999999</v>
      </c>
      <c r="S277" s="106"/>
      <c r="T277" s="106"/>
      <c r="U277" s="106"/>
      <c r="V277" s="106"/>
      <c r="W277" s="106"/>
      <c r="X277" s="106"/>
      <c r="Y277" s="106">
        <f>AVERAGE(72.5,75.75)/1000</f>
        <v>7.4124999999999996E-2</v>
      </c>
      <c r="Z277" s="106"/>
      <c r="AA277" s="106"/>
      <c r="AB277" s="106"/>
      <c r="AC277" s="106"/>
    </row>
    <row r="278" spans="1:73" x14ac:dyDescent="0.3">
      <c r="A278" s="188">
        <v>1903</v>
      </c>
      <c r="B278" s="106">
        <v>15.025906735751295</v>
      </c>
      <c r="C278" s="106"/>
      <c r="D278" s="106"/>
      <c r="E278" s="106"/>
      <c r="F278" s="106"/>
      <c r="G278" s="106"/>
      <c r="H278" s="106"/>
      <c r="I278" s="106">
        <f t="shared" si="9"/>
        <v>111.13312499999999</v>
      </c>
      <c r="J278" s="106"/>
      <c r="K278" s="106"/>
      <c r="L278" s="106">
        <f t="shared" si="10"/>
        <v>111.13312499999999</v>
      </c>
      <c r="M278" s="106"/>
      <c r="N278" s="106"/>
      <c r="O278" s="106"/>
      <c r="P278" s="106">
        <f t="shared" si="11"/>
        <v>1.0874999999999999</v>
      </c>
      <c r="Q278" s="106">
        <f>AVERAGE(105,109.75)/100</f>
        <v>1.07375</v>
      </c>
      <c r="R278" s="106">
        <f>AVERAGE(106.25,111.25)/100</f>
        <v>1.0874999999999999</v>
      </c>
      <c r="S278" s="106">
        <v>1.0800168752636761</v>
      </c>
      <c r="T278" s="106"/>
      <c r="U278" s="106"/>
      <c r="V278" s="106"/>
      <c r="W278" s="106"/>
      <c r="X278" s="106"/>
      <c r="Y278" s="106">
        <f>AVERAGE(70.5,74.25)/1000</f>
        <v>7.2374999999999995E-2</v>
      </c>
      <c r="Z278" s="106"/>
      <c r="AA278" s="106"/>
      <c r="AB278" s="106"/>
      <c r="AC278" s="106"/>
    </row>
    <row r="279" spans="1:73" x14ac:dyDescent="0.3">
      <c r="A279" s="188">
        <v>1904</v>
      </c>
      <c r="B279" s="106">
        <v>15.051903114186851</v>
      </c>
      <c r="C279" s="106"/>
      <c r="D279" s="106"/>
      <c r="E279" s="106"/>
      <c r="F279" s="106"/>
      <c r="G279" s="106"/>
      <c r="H279" s="106"/>
      <c r="I279" s="106">
        <f t="shared" si="9"/>
        <v>110.874375</v>
      </c>
      <c r="J279" s="106"/>
      <c r="K279" s="106"/>
      <c r="L279" s="106">
        <f t="shared" si="10"/>
        <v>110.874375</v>
      </c>
      <c r="M279" s="106"/>
      <c r="N279" s="106"/>
      <c r="O279" s="106"/>
      <c r="P279" s="106">
        <f t="shared" si="11"/>
        <v>1.0874999999999999</v>
      </c>
      <c r="Q279" s="106">
        <f>AVERAGE(105.125,109.125)/100</f>
        <v>1.07125</v>
      </c>
      <c r="R279" s="106">
        <f>AVERAGE(106.75,110.75)/100</f>
        <v>1.0874999999999999</v>
      </c>
      <c r="S279" s="106"/>
      <c r="T279" s="106"/>
      <c r="U279" s="106"/>
      <c r="V279" s="106"/>
      <c r="W279" s="106"/>
      <c r="X279" s="106"/>
      <c r="Y279" s="106">
        <f>AVERAGE(70.5,74)/1000</f>
        <v>7.2249999999999995E-2</v>
      </c>
      <c r="Z279" s="106"/>
      <c r="AA279" s="106"/>
      <c r="AB279" s="106"/>
      <c r="AC279" s="106"/>
      <c r="BN279" s="62">
        <f>AVERAGE(54,64)</f>
        <v>59</v>
      </c>
    </row>
    <row r="280" spans="1:73" x14ac:dyDescent="0.3">
      <c r="A280" s="188">
        <v>1905</v>
      </c>
      <c r="B280" s="106">
        <v>14.965811965811968</v>
      </c>
      <c r="C280" s="106"/>
      <c r="D280" s="106"/>
      <c r="E280" s="106"/>
      <c r="F280" s="106"/>
      <c r="G280" s="106"/>
      <c r="H280" s="106"/>
      <c r="I280" s="106">
        <f t="shared" si="9"/>
        <v>112.3621875</v>
      </c>
      <c r="J280" s="106"/>
      <c r="K280" s="106"/>
      <c r="L280" s="106">
        <f t="shared" si="10"/>
        <v>112.3621875</v>
      </c>
      <c r="M280" s="106"/>
      <c r="N280" s="106"/>
      <c r="O280" s="106"/>
      <c r="P280" s="106">
        <f t="shared" si="11"/>
        <v>1.0943750000000001</v>
      </c>
      <c r="Q280" s="106">
        <f>AVERAGE(107.625,109.5)/100</f>
        <v>1.0856250000000001</v>
      </c>
      <c r="R280" s="106">
        <f>AVERAGE(108.125,110.75)/100</f>
        <v>1.0943750000000001</v>
      </c>
      <c r="S280" s="106"/>
      <c r="T280" s="106"/>
      <c r="U280" s="106"/>
      <c r="V280" s="106"/>
      <c r="W280" s="106"/>
      <c r="X280" s="106"/>
      <c r="Y280" s="106">
        <f>AVERAGE(72.25,74)/1000</f>
        <v>7.3124999999999996E-2</v>
      </c>
      <c r="Z280" s="106"/>
      <c r="AA280" s="106"/>
      <c r="AB280" s="106"/>
      <c r="AC280" s="106"/>
    </row>
    <row r="281" spans="1:73" x14ac:dyDescent="0.3">
      <c r="A281" s="188">
        <v>1906</v>
      </c>
      <c r="B281" s="106">
        <v>15.025773195876289</v>
      </c>
      <c r="C281" s="106"/>
      <c r="D281" s="106"/>
      <c r="E281" s="106"/>
      <c r="F281" s="106"/>
      <c r="G281" s="106"/>
      <c r="H281" s="106"/>
      <c r="I281" s="106">
        <f t="shared" si="9"/>
        <v>111.84468749999999</v>
      </c>
      <c r="J281" s="106"/>
      <c r="K281" s="106"/>
      <c r="L281" s="106">
        <f t="shared" si="10"/>
        <v>111.84468749999999</v>
      </c>
      <c r="M281" s="106"/>
      <c r="N281" s="106"/>
      <c r="O281" s="106"/>
      <c r="P281" s="106">
        <f t="shared" si="11"/>
        <v>1.0931249999999999</v>
      </c>
      <c r="Q281" s="106">
        <f>AVERAGE(106.625,109.5)/100</f>
        <v>1.0806249999999999</v>
      </c>
      <c r="R281" s="106">
        <f>AVERAGE(107.875,110.75)/100</f>
        <v>1.0931249999999999</v>
      </c>
      <c r="S281" s="106"/>
      <c r="T281" s="106"/>
      <c r="U281" s="106"/>
      <c r="V281" s="106"/>
      <c r="W281" s="106"/>
      <c r="X281" s="106"/>
      <c r="Y281" s="106">
        <f>AVERAGE(71.25,74.25)/1000</f>
        <v>7.2749999999999995E-2</v>
      </c>
      <c r="Z281" s="106"/>
      <c r="AA281" s="106"/>
      <c r="AB281" s="106"/>
      <c r="AC281" s="106"/>
    </row>
    <row r="282" spans="1:73" x14ac:dyDescent="0.3">
      <c r="A282" s="188">
        <v>1907</v>
      </c>
      <c r="B282" s="106">
        <v>15.060449050086358</v>
      </c>
      <c r="C282" s="106"/>
      <c r="D282" s="106"/>
      <c r="E282" s="106"/>
      <c r="F282" s="106"/>
      <c r="G282" s="106"/>
      <c r="H282" s="106"/>
      <c r="I282" s="106">
        <f t="shared" si="9"/>
        <v>110.745</v>
      </c>
      <c r="J282" s="106"/>
      <c r="K282" s="106"/>
      <c r="L282" s="106">
        <f t="shared" si="10"/>
        <v>110.745</v>
      </c>
      <c r="M282" s="106"/>
      <c r="N282" s="106"/>
      <c r="O282" s="106"/>
      <c r="P282" s="106">
        <f t="shared" si="11"/>
        <v>1.0900000000000001</v>
      </c>
      <c r="Q282" s="106">
        <f>AVERAGE(105.25,108.75)/100</f>
        <v>1.07</v>
      </c>
      <c r="R282" s="106">
        <f>AVERAGE(107.5,110.5)/100</f>
        <v>1.0900000000000001</v>
      </c>
      <c r="S282" s="106">
        <f>AVERAGE(106,109.5)/100</f>
        <v>1.0774999999999999</v>
      </c>
      <c r="T282" s="106"/>
      <c r="U282" s="106"/>
      <c r="V282" s="106"/>
      <c r="W282" s="106"/>
      <c r="X282" s="106"/>
      <c r="Y282" s="106">
        <f>AVERAGE(70.5,74.25)/1000</f>
        <v>7.2374999999999995E-2</v>
      </c>
      <c r="Z282" s="106"/>
      <c r="AA282" s="106"/>
      <c r="AB282" s="106"/>
      <c r="AC282" s="106"/>
    </row>
    <row r="283" spans="1:73" x14ac:dyDescent="0.3">
      <c r="A283" s="188">
        <v>1908</v>
      </c>
      <c r="B283" s="178">
        <v>15.006780364770375</v>
      </c>
      <c r="C283" s="106"/>
      <c r="D283" s="106"/>
      <c r="E283" s="106"/>
      <c r="F283" s="106"/>
      <c r="G283" s="106"/>
      <c r="H283" s="106"/>
      <c r="I283" s="106">
        <f t="shared" si="9"/>
        <v>0</v>
      </c>
      <c r="J283" s="106"/>
      <c r="K283" s="106"/>
      <c r="L283" s="106">
        <f t="shared" si="10"/>
        <v>0</v>
      </c>
      <c r="M283" s="106"/>
      <c r="N283" s="106"/>
      <c r="O283" s="106"/>
      <c r="P283" s="106">
        <f t="shared" si="11"/>
        <v>1.1025</v>
      </c>
      <c r="Q283" s="106"/>
      <c r="R283" s="106">
        <f>AVERAGE(111.5,109)/100</f>
        <v>1.1025</v>
      </c>
      <c r="S283" s="106"/>
      <c r="T283" s="106"/>
      <c r="U283" s="106"/>
      <c r="V283" s="106"/>
      <c r="W283" s="106"/>
      <c r="X283" s="106"/>
      <c r="Y283" s="106"/>
      <c r="Z283" s="106"/>
      <c r="AA283" s="106"/>
      <c r="AB283" s="106"/>
      <c r="AC283" s="106"/>
    </row>
    <row r="284" spans="1:73" x14ac:dyDescent="0.3">
      <c r="A284" s="188">
        <v>1909</v>
      </c>
      <c r="B284" s="106">
        <v>14.953111679454389</v>
      </c>
      <c r="C284" s="106"/>
      <c r="D284" s="106"/>
      <c r="E284" s="106"/>
      <c r="F284" s="106"/>
      <c r="G284" s="106"/>
      <c r="H284" s="106"/>
      <c r="I284" s="106">
        <f t="shared" si="9"/>
        <v>112.23281250000001</v>
      </c>
      <c r="J284" s="106"/>
      <c r="K284" s="106"/>
      <c r="L284" s="106">
        <f t="shared" si="10"/>
        <v>112.23281250000001</v>
      </c>
      <c r="M284" s="106"/>
      <c r="N284" s="106"/>
      <c r="O284" s="106"/>
      <c r="P284" s="106">
        <f t="shared" si="11"/>
        <v>1.0962499999999999</v>
      </c>
      <c r="Q284" s="106">
        <f>AVERAGE(106.875,110)/100</f>
        <v>1.0843750000000001</v>
      </c>
      <c r="R284" s="106">
        <f>AVERAGE(108.5,110.75)/100</f>
        <v>1.0962499999999999</v>
      </c>
      <c r="S284" s="106">
        <f>AVERAGE(107,110.25)/100</f>
        <v>1.0862499999999999</v>
      </c>
      <c r="T284" s="106"/>
      <c r="U284" s="106"/>
      <c r="V284" s="106"/>
      <c r="W284" s="106"/>
      <c r="X284" s="106"/>
      <c r="Y284" s="106">
        <f>AVERAGE(72.5,74.125)/1000</f>
        <v>7.3312500000000003E-2</v>
      </c>
      <c r="Z284" s="106"/>
      <c r="AA284" s="106"/>
      <c r="AB284" s="106"/>
      <c r="AC284" s="106"/>
    </row>
    <row r="285" spans="1:73" x14ac:dyDescent="0.3">
      <c r="A285" s="188">
        <v>1910</v>
      </c>
      <c r="B285" s="106">
        <v>14.914965986394558</v>
      </c>
      <c r="C285" s="106"/>
      <c r="D285" s="106"/>
      <c r="E285" s="106"/>
      <c r="F285" s="106"/>
      <c r="G285" s="106"/>
      <c r="H285" s="106"/>
      <c r="I285" s="106">
        <f t="shared" si="9"/>
        <v>112.23281250000001</v>
      </c>
      <c r="J285" s="106"/>
      <c r="K285" s="106"/>
      <c r="L285" s="106">
        <f t="shared" si="10"/>
        <v>112.23281250000001</v>
      </c>
      <c r="M285" s="106"/>
      <c r="N285" s="106"/>
      <c r="O285" s="106"/>
      <c r="P285" s="106">
        <f t="shared" si="11"/>
        <v>1.0962499999999999</v>
      </c>
      <c r="Q285" s="106">
        <f>AVERAGE(107.125,109.75)/100</f>
        <v>1.0843750000000001</v>
      </c>
      <c r="R285" s="106">
        <f>AVERAGE(108.5,110.75)/100</f>
        <v>1.0962499999999999</v>
      </c>
      <c r="S285" s="106">
        <f>AVERAGE(107.25,110.125)/100</f>
        <v>1.086875</v>
      </c>
      <c r="T285" s="106"/>
      <c r="U285" s="106"/>
      <c r="V285" s="106"/>
      <c r="W285" s="106"/>
      <c r="X285" s="106"/>
      <c r="Y285" s="106">
        <f>AVERAGE(72.5,74.5)/1000</f>
        <v>7.3499999999999996E-2</v>
      </c>
      <c r="Z285" s="106"/>
      <c r="AA285" s="106"/>
      <c r="AB285" s="106"/>
      <c r="AC285" s="106"/>
    </row>
    <row r="286" spans="1:73" x14ac:dyDescent="0.3">
      <c r="A286" s="188">
        <v>1911</v>
      </c>
      <c r="B286" s="106">
        <v>14.905982905982908</v>
      </c>
      <c r="C286" s="106"/>
      <c r="D286" s="106"/>
      <c r="E286" s="106"/>
      <c r="F286" s="106"/>
      <c r="G286" s="106"/>
      <c r="H286" s="106"/>
      <c r="I286" s="106">
        <f t="shared" si="9"/>
        <v>111.52124999999999</v>
      </c>
      <c r="J286" s="106"/>
      <c r="K286" s="106"/>
      <c r="L286" s="106">
        <f t="shared" si="10"/>
        <v>111.52124999999999</v>
      </c>
      <c r="M286" s="106"/>
      <c r="N286" s="106"/>
      <c r="O286" s="106"/>
      <c r="P286" s="106">
        <f t="shared" si="11"/>
        <v>1.0900000000000001</v>
      </c>
      <c r="Q286" s="106">
        <f>AVERAGE(106.25,109.25)/100</f>
        <v>1.0774999999999999</v>
      </c>
      <c r="R286" s="106">
        <f>AVERAGE(107.5,110.5)/100</f>
        <v>1.0900000000000001</v>
      </c>
      <c r="S286" s="106">
        <f>AVERAGE(106.75,109.875)/100</f>
        <v>1.0831249999999999</v>
      </c>
      <c r="T286" s="106"/>
      <c r="U286" s="106"/>
      <c r="V286" s="106"/>
      <c r="W286" s="106"/>
      <c r="X286" s="106"/>
      <c r="Y286" s="106">
        <f>AVERAGE(71.875,74.375)/1000</f>
        <v>7.3124999999999996E-2</v>
      </c>
      <c r="Z286" s="106"/>
      <c r="AA286" s="106"/>
      <c r="AB286" s="106"/>
      <c r="AC286" s="106"/>
    </row>
    <row r="287" spans="1:73" x14ac:dyDescent="0.3">
      <c r="A287" s="188">
        <v>1912</v>
      </c>
      <c r="B287" s="106">
        <v>14.884713919726728</v>
      </c>
      <c r="C287" s="106"/>
      <c r="D287" s="106"/>
      <c r="E287" s="106"/>
      <c r="F287" s="106"/>
      <c r="G287" s="106"/>
      <c r="H287" s="106"/>
      <c r="I287" s="106">
        <f t="shared" si="9"/>
        <v>111.00375</v>
      </c>
      <c r="J287" s="106"/>
      <c r="K287" s="106"/>
      <c r="L287" s="106">
        <f t="shared" si="10"/>
        <v>111.00375</v>
      </c>
      <c r="M287" s="106"/>
      <c r="N287" s="106"/>
      <c r="O287" s="106"/>
      <c r="P287" s="106">
        <f t="shared" si="11"/>
        <v>1.089375</v>
      </c>
      <c r="Q287" s="106">
        <f>AVERAGE(105.75,108.75)/100</f>
        <v>1.0725</v>
      </c>
      <c r="R287" s="106">
        <f>AVERAGE(107.375,110.5)/100</f>
        <v>1.089375</v>
      </c>
      <c r="S287" s="106">
        <f>AVERAGE(106.75,109.675)/100</f>
        <v>1.082125</v>
      </c>
      <c r="T287" s="106"/>
      <c r="U287" s="106"/>
      <c r="V287" s="106"/>
      <c r="W287" s="106"/>
      <c r="X287" s="106"/>
      <c r="Y287" s="106">
        <f>AVERAGE(71.875,74.5)/1000</f>
        <v>7.3187500000000003E-2</v>
      </c>
      <c r="Z287" s="106"/>
      <c r="AA287" s="106"/>
      <c r="AB287" s="106"/>
      <c r="AC287" s="106"/>
      <c r="AK287" s="24">
        <f>AL269</f>
        <v>19.1875</v>
      </c>
      <c r="BU287" s="62">
        <f>26/4.33333</f>
        <v>6.0000046153881659</v>
      </c>
    </row>
    <row r="288" spans="1:73" x14ac:dyDescent="0.3">
      <c r="A288" s="188">
        <v>1913</v>
      </c>
      <c r="B288" s="172"/>
      <c r="C288" s="172"/>
      <c r="D288" s="172"/>
      <c r="E288" s="172"/>
      <c r="F288" s="172"/>
      <c r="G288" s="172"/>
      <c r="H288" s="172"/>
      <c r="I288" s="106"/>
      <c r="J288" s="106"/>
      <c r="K288" s="106"/>
      <c r="L288" s="106"/>
      <c r="M288" s="106"/>
      <c r="N288" s="106"/>
      <c r="O288" s="106"/>
      <c r="P288" s="106"/>
      <c r="Q288" s="106"/>
      <c r="R288" s="106"/>
      <c r="S288" s="106"/>
      <c r="T288" s="106"/>
      <c r="U288" s="106"/>
      <c r="V288" s="106"/>
      <c r="W288" s="106"/>
      <c r="X288" s="106"/>
      <c r="Y288" s="106"/>
      <c r="Z288" s="106"/>
      <c r="AA288" s="106"/>
      <c r="AB288" s="106"/>
      <c r="AC288" s="106"/>
    </row>
    <row r="289" spans="1:29" x14ac:dyDescent="0.3">
      <c r="A289" s="189">
        <v>1914</v>
      </c>
      <c r="B289" s="179"/>
      <c r="C289" s="179"/>
      <c r="D289" s="179"/>
      <c r="E289" s="179"/>
      <c r="F289" s="179"/>
      <c r="G289" s="179"/>
      <c r="H289" s="179"/>
      <c r="I289" s="106"/>
      <c r="J289" s="106"/>
      <c r="K289" s="106"/>
      <c r="L289" s="106"/>
      <c r="M289" s="106"/>
      <c r="N289" s="106"/>
      <c r="O289" s="106"/>
      <c r="P289" s="106"/>
      <c r="Q289" s="106"/>
      <c r="R289" s="106"/>
      <c r="S289" s="106"/>
      <c r="T289" s="106"/>
      <c r="U289" s="106"/>
      <c r="V289" s="106"/>
      <c r="W289" s="106"/>
      <c r="X289" s="106"/>
      <c r="Y289" s="106"/>
      <c r="Z289" s="106"/>
      <c r="AA289" s="106"/>
      <c r="AB289" s="106"/>
      <c r="AC289" s="106"/>
    </row>
    <row r="290" spans="1:29" x14ac:dyDescent="0.3">
      <c r="A290" s="189"/>
      <c r="B290" s="179"/>
      <c r="C290" s="179"/>
      <c r="D290" s="179"/>
      <c r="E290" s="179"/>
      <c r="F290" s="179"/>
      <c r="G290" s="179"/>
      <c r="H290" s="179"/>
      <c r="I290" s="106"/>
      <c r="J290" s="106"/>
      <c r="K290" s="106"/>
      <c r="L290" s="106"/>
      <c r="M290" s="106"/>
      <c r="N290" s="106"/>
      <c r="O290" s="106"/>
      <c r="P290" s="106"/>
      <c r="Q290" s="106"/>
      <c r="R290" s="106"/>
      <c r="S290" s="106"/>
      <c r="T290" s="106"/>
      <c r="U290" s="106"/>
      <c r="V290" s="106"/>
      <c r="W290" s="106"/>
      <c r="X290" s="106"/>
      <c r="Y290" s="106"/>
      <c r="Z290" s="106"/>
      <c r="AA290" s="106"/>
      <c r="AB290" s="106"/>
      <c r="AC290" s="106"/>
    </row>
    <row r="291" spans="1:29" x14ac:dyDescent="0.3">
      <c r="A291" s="189"/>
      <c r="B291" s="179"/>
      <c r="C291" s="179"/>
      <c r="D291" s="179"/>
      <c r="E291" s="179"/>
      <c r="F291" s="179"/>
      <c r="G291" s="179"/>
      <c r="H291" s="179"/>
      <c r="I291" s="106"/>
      <c r="J291" s="106"/>
      <c r="K291" s="106"/>
      <c r="L291" s="106"/>
      <c r="M291" s="106"/>
      <c r="N291" s="106"/>
      <c r="O291" s="106"/>
      <c r="P291" s="106"/>
      <c r="Q291" s="106"/>
      <c r="R291" s="106"/>
      <c r="S291" s="106"/>
      <c r="T291" s="106"/>
      <c r="U291" s="106"/>
      <c r="V291" s="106"/>
      <c r="W291" s="106"/>
      <c r="X291" s="106"/>
      <c r="Y291" s="106"/>
      <c r="Z291" s="106"/>
      <c r="AA291" s="106"/>
      <c r="AB291" s="106"/>
      <c r="AC291" s="106"/>
    </row>
    <row r="292" spans="1:29" x14ac:dyDescent="0.3">
      <c r="A292" s="106"/>
      <c r="B292" s="179"/>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row>
    <row r="293" spans="1:29" x14ac:dyDescent="0.3">
      <c r="A293" s="212" t="s">
        <v>320</v>
      </c>
      <c r="B293" s="212"/>
      <c r="C293" s="212"/>
      <c r="D293" s="212"/>
      <c r="E293" s="212"/>
      <c r="F293" s="212"/>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row>
    <row r="294" spans="1:29" x14ac:dyDescent="0.3">
      <c r="A294" s="179"/>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row>
    <row r="295" spans="1:29" x14ac:dyDescent="0.3">
      <c r="A295" s="188">
        <v>1912</v>
      </c>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row>
    <row r="296" spans="1:29" x14ac:dyDescent="0.3">
      <c r="A296" s="179" t="s">
        <v>321</v>
      </c>
      <c r="B296" s="106"/>
      <c r="C296" s="106"/>
      <c r="D296" s="106"/>
      <c r="E296" s="106"/>
      <c r="F296" s="106"/>
      <c r="G296" s="106"/>
      <c r="H296" s="106"/>
      <c r="I296" s="106"/>
      <c r="J296" s="106"/>
      <c r="K296" s="106"/>
      <c r="L296" s="106"/>
      <c r="M296" s="106"/>
      <c r="N296" s="106"/>
      <c r="O296" s="106"/>
      <c r="P296" s="106"/>
      <c r="Q296" s="106"/>
      <c r="R296" s="106">
        <f>109/100</f>
        <v>1.0900000000000001</v>
      </c>
      <c r="S296" s="106"/>
      <c r="T296" s="106"/>
      <c r="U296" s="106"/>
      <c r="V296" s="106"/>
      <c r="W296" s="106"/>
      <c r="X296" s="106"/>
      <c r="Y296" s="106">
        <f>72.75/1000</f>
        <v>7.2749999999999995E-2</v>
      </c>
      <c r="Z296" s="106"/>
      <c r="AA296" s="106"/>
      <c r="AB296" s="106"/>
      <c r="AC296" s="106"/>
    </row>
    <row r="297" spans="1:29" x14ac:dyDescent="0.3">
      <c r="A297" s="179" t="s">
        <v>322</v>
      </c>
      <c r="B297" s="106"/>
      <c r="C297" s="106"/>
      <c r="D297" s="106"/>
      <c r="E297" s="106"/>
      <c r="F297" s="106"/>
      <c r="G297" s="106"/>
      <c r="H297" s="106"/>
      <c r="I297" s="106"/>
      <c r="J297" s="106"/>
      <c r="K297" s="106"/>
      <c r="L297" s="106"/>
      <c r="M297" s="106"/>
      <c r="N297" s="106"/>
      <c r="O297" s="106"/>
      <c r="P297" s="106"/>
      <c r="Q297" s="106"/>
      <c r="R297" s="106">
        <f>109.375/100</f>
        <v>1.09375</v>
      </c>
      <c r="S297" s="106"/>
      <c r="T297" s="106"/>
      <c r="U297" s="106"/>
      <c r="V297" s="106"/>
      <c r="W297" s="106"/>
      <c r="X297" s="106"/>
      <c r="Y297" s="106">
        <f>73.625/1000</f>
        <v>7.3624999999999996E-2</v>
      </c>
      <c r="Z297" s="106"/>
      <c r="AA297" s="106"/>
      <c r="AB297" s="106"/>
      <c r="AC297" s="106"/>
    </row>
    <row r="298" spans="1:29" x14ac:dyDescent="0.3">
      <c r="A298" s="179" t="s">
        <v>323</v>
      </c>
      <c r="B298" s="106"/>
      <c r="C298" s="106"/>
      <c r="D298" s="106"/>
      <c r="E298" s="106"/>
      <c r="F298" s="106"/>
      <c r="G298" s="106"/>
      <c r="H298" s="106"/>
      <c r="I298" s="106"/>
      <c r="J298" s="106"/>
      <c r="K298" s="106"/>
      <c r="L298" s="106"/>
      <c r="M298" s="106"/>
      <c r="N298" s="106"/>
      <c r="O298" s="106"/>
      <c r="P298" s="106"/>
      <c r="Q298" s="106"/>
      <c r="R298" s="106">
        <f>109.625/100</f>
        <v>1.0962499999999999</v>
      </c>
      <c r="S298" s="106"/>
      <c r="T298" s="106"/>
      <c r="U298" s="106"/>
      <c r="V298" s="106"/>
      <c r="W298" s="106"/>
      <c r="X298" s="106"/>
      <c r="Y298" s="106">
        <f>73.25/1000</f>
        <v>7.3249999999999996E-2</v>
      </c>
      <c r="Z298" s="106"/>
      <c r="AA298" s="106"/>
      <c r="AB298" s="106"/>
      <c r="AC298" s="106"/>
    </row>
    <row r="299" spans="1:29" x14ac:dyDescent="0.3">
      <c r="A299" s="179" t="s">
        <v>324</v>
      </c>
      <c r="B299" s="106"/>
      <c r="C299" s="106"/>
      <c r="D299" s="106"/>
      <c r="E299" s="106"/>
      <c r="F299" s="106"/>
      <c r="G299" s="106"/>
      <c r="H299" s="106"/>
      <c r="I299" s="106"/>
      <c r="J299" s="106"/>
      <c r="K299" s="106"/>
      <c r="L299" s="106"/>
      <c r="M299" s="106"/>
      <c r="N299" s="106"/>
      <c r="O299" s="106"/>
      <c r="P299" s="106"/>
      <c r="Q299" s="106"/>
      <c r="R299" s="106">
        <f>109.5/100</f>
        <v>1.095</v>
      </c>
      <c r="S299" s="106"/>
      <c r="T299" s="106"/>
      <c r="U299" s="106"/>
      <c r="V299" s="106"/>
      <c r="W299" s="106"/>
      <c r="X299" s="106"/>
      <c r="Y299" s="106">
        <f>73/1000</f>
        <v>7.2999999999999995E-2</v>
      </c>
      <c r="Z299" s="106"/>
      <c r="AA299" s="106"/>
      <c r="AB299" s="106"/>
      <c r="AC299" s="106"/>
    </row>
    <row r="300" spans="1:29" x14ac:dyDescent="0.3">
      <c r="A300" s="179" t="s">
        <v>325</v>
      </c>
      <c r="B300" s="106"/>
      <c r="C300" s="106"/>
      <c r="D300" s="106"/>
      <c r="E300" s="106"/>
      <c r="F300" s="106"/>
      <c r="G300" s="106"/>
      <c r="H300" s="106"/>
      <c r="I300" s="106"/>
      <c r="J300" s="106"/>
      <c r="K300" s="106"/>
      <c r="L300" s="106"/>
      <c r="M300" s="106"/>
      <c r="N300" s="106"/>
      <c r="O300" s="106"/>
      <c r="P300" s="106"/>
      <c r="Q300" s="106"/>
      <c r="R300" s="106">
        <f>108/100</f>
        <v>1.08</v>
      </c>
      <c r="S300" s="106"/>
      <c r="T300" s="106"/>
      <c r="U300" s="106"/>
      <c r="V300" s="106"/>
      <c r="W300" s="106"/>
      <c r="X300" s="106"/>
      <c r="Y300" s="106">
        <f>72.75/1000</f>
        <v>7.2749999999999995E-2</v>
      </c>
      <c r="Z300" s="106"/>
      <c r="AA300" s="106"/>
      <c r="AB300" s="106"/>
      <c r="AC300" s="106"/>
    </row>
    <row r="301" spans="1:29" x14ac:dyDescent="0.3">
      <c r="A301" s="179" t="s">
        <v>326</v>
      </c>
      <c r="B301" s="106"/>
      <c r="C301" s="106"/>
      <c r="D301" s="106"/>
      <c r="E301" s="106"/>
      <c r="F301" s="106"/>
      <c r="G301" s="106"/>
      <c r="H301" s="106"/>
      <c r="I301" s="106"/>
      <c r="J301" s="106"/>
      <c r="K301" s="106"/>
      <c r="L301" s="106"/>
      <c r="M301" s="106"/>
      <c r="N301" s="106"/>
      <c r="O301" s="106"/>
      <c r="P301" s="106"/>
      <c r="Q301" s="106"/>
      <c r="R301" s="106">
        <f>109.75/100</f>
        <v>1.0974999999999999</v>
      </c>
      <c r="S301" s="106"/>
      <c r="T301" s="106"/>
      <c r="U301" s="106"/>
      <c r="V301" s="106"/>
      <c r="W301" s="106"/>
      <c r="X301" s="106"/>
      <c r="Y301" s="106">
        <f>73.25/1000</f>
        <v>7.3249999999999996E-2</v>
      </c>
      <c r="Z301" s="106"/>
      <c r="AA301" s="106"/>
      <c r="AB301" s="106"/>
      <c r="AC301" s="106"/>
    </row>
    <row r="302" spans="1:29" x14ac:dyDescent="0.3">
      <c r="A302" s="179" t="s">
        <v>327</v>
      </c>
      <c r="B302" s="106"/>
      <c r="C302" s="106"/>
      <c r="D302" s="106"/>
      <c r="E302" s="106"/>
      <c r="F302" s="106"/>
      <c r="G302" s="106"/>
      <c r="H302" s="106"/>
      <c r="I302" s="106"/>
      <c r="J302" s="106"/>
      <c r="K302" s="106"/>
      <c r="L302" s="106"/>
      <c r="M302" s="106"/>
      <c r="N302" s="106"/>
      <c r="O302" s="106"/>
      <c r="P302" s="106"/>
      <c r="Q302" s="106"/>
      <c r="R302" s="106">
        <f>110.25/100</f>
        <v>1.1025</v>
      </c>
      <c r="S302" s="106"/>
      <c r="T302" s="106"/>
      <c r="U302" s="106"/>
      <c r="V302" s="106"/>
      <c r="W302" s="106"/>
      <c r="X302" s="106"/>
      <c r="Y302" s="106">
        <f>74/1000</f>
        <v>7.3999999999999996E-2</v>
      </c>
      <c r="Z302" s="106"/>
      <c r="AA302" s="106"/>
      <c r="AB302" s="106"/>
      <c r="AC302" s="106"/>
    </row>
    <row r="303" spans="1:29" x14ac:dyDescent="0.3">
      <c r="A303" s="179"/>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row>
    <row r="304" spans="1:29" x14ac:dyDescent="0.3">
      <c r="A304" s="179"/>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row>
    <row r="305" spans="1:12" x14ac:dyDescent="0.3">
      <c r="A305" s="2"/>
      <c r="B305" s="62"/>
      <c r="C305" s="62"/>
      <c r="D305" s="62"/>
      <c r="E305" s="62"/>
      <c r="F305" s="62"/>
      <c r="G305" s="62"/>
      <c r="H305" s="62"/>
      <c r="I305" s="62"/>
      <c r="J305" s="62"/>
      <c r="K305" s="62"/>
      <c r="L305" s="62"/>
    </row>
    <row r="306" spans="1:12" x14ac:dyDescent="0.3">
      <c r="A306" s="215" t="s">
        <v>328</v>
      </c>
      <c r="B306" s="215"/>
      <c r="C306" s="215"/>
      <c r="D306" s="215"/>
      <c r="E306" s="215"/>
      <c r="F306" s="215"/>
      <c r="G306" s="62"/>
      <c r="H306" s="62"/>
      <c r="I306" s="62"/>
      <c r="J306" s="62"/>
      <c r="K306" s="62"/>
      <c r="L306" s="62"/>
    </row>
    <row r="307" spans="1:12" x14ac:dyDescent="0.3">
      <c r="A307" s="102"/>
      <c r="B307" s="102"/>
      <c r="C307" s="102"/>
      <c r="D307" s="102"/>
      <c r="E307" s="102"/>
      <c r="F307" s="102"/>
      <c r="G307" s="62"/>
      <c r="H307" s="62"/>
      <c r="I307" s="62"/>
      <c r="J307" s="62"/>
      <c r="K307" s="62"/>
      <c r="L307" s="62"/>
    </row>
    <row r="308" spans="1:12" x14ac:dyDescent="0.3">
      <c r="A308" s="217" t="s">
        <v>329</v>
      </c>
      <c r="B308" s="217"/>
      <c r="C308" s="217"/>
      <c r="D308" s="62"/>
      <c r="E308" s="62"/>
      <c r="F308" s="62"/>
      <c r="G308" s="62"/>
      <c r="H308" s="62"/>
      <c r="I308" s="62"/>
      <c r="J308" s="62"/>
      <c r="K308" s="62"/>
      <c r="L308" s="62"/>
    </row>
    <row r="309" spans="1:12" x14ac:dyDescent="0.3">
      <c r="A309" s="29" t="s">
        <v>330</v>
      </c>
      <c r="B309" s="62" t="s">
        <v>331</v>
      </c>
      <c r="C309" s="62"/>
      <c r="D309" s="62"/>
      <c r="E309" s="62"/>
      <c r="F309" s="62"/>
      <c r="G309" s="62"/>
      <c r="H309" s="62"/>
      <c r="I309" s="62"/>
      <c r="J309" s="62"/>
      <c r="K309" s="62"/>
      <c r="L309" s="62"/>
    </row>
    <row r="310" spans="1:12" x14ac:dyDescent="0.3">
      <c r="A310" s="29" t="s">
        <v>332</v>
      </c>
      <c r="B310" s="62" t="s">
        <v>333</v>
      </c>
      <c r="C310" s="62"/>
      <c r="D310" s="62"/>
      <c r="E310" s="62"/>
      <c r="F310" s="62"/>
      <c r="G310" s="62"/>
      <c r="H310" s="62"/>
      <c r="I310" s="62"/>
      <c r="J310" s="62"/>
      <c r="K310" s="62"/>
      <c r="L310" s="62"/>
    </row>
    <row r="311" spans="1:12" x14ac:dyDescent="0.3">
      <c r="A311" s="29" t="s">
        <v>334</v>
      </c>
      <c r="B311" s="62" t="s">
        <v>335</v>
      </c>
      <c r="C311" s="62"/>
      <c r="D311" s="62"/>
      <c r="E311" s="62"/>
      <c r="F311" s="62"/>
      <c r="G311" s="62"/>
      <c r="H311" s="62"/>
      <c r="I311" s="62"/>
      <c r="J311" s="62"/>
      <c r="K311" s="62"/>
      <c r="L311" s="62"/>
    </row>
    <row r="312" spans="1:12" x14ac:dyDescent="0.3">
      <c r="A312" s="29" t="s">
        <v>185</v>
      </c>
      <c r="B312" s="62" t="s">
        <v>336</v>
      </c>
      <c r="C312" s="62"/>
      <c r="D312" s="62"/>
      <c r="E312" s="62"/>
      <c r="F312" s="62"/>
      <c r="G312" s="62"/>
      <c r="H312" s="62"/>
      <c r="I312" s="62"/>
      <c r="J312" s="62"/>
      <c r="K312" s="62"/>
      <c r="L312" s="62"/>
    </row>
    <row r="313" spans="1:12" x14ac:dyDescent="0.3">
      <c r="A313" s="29"/>
      <c r="B313" s="30" t="s">
        <v>337</v>
      </c>
      <c r="C313" s="62" t="s">
        <v>338</v>
      </c>
      <c r="D313" s="62"/>
      <c r="E313" s="62"/>
      <c r="F313" s="62"/>
      <c r="G313" s="62"/>
      <c r="H313" s="62"/>
      <c r="I313" s="62"/>
      <c r="J313" s="62"/>
      <c r="K313" s="62"/>
      <c r="L313" s="62"/>
    </row>
    <row r="314" spans="1:12" x14ac:dyDescent="0.3">
      <c r="A314" s="29"/>
      <c r="B314" s="30" t="s">
        <v>339</v>
      </c>
      <c r="C314" s="62" t="s">
        <v>340</v>
      </c>
      <c r="D314" s="62"/>
      <c r="E314" s="62"/>
      <c r="F314" s="62"/>
      <c r="G314" s="62"/>
      <c r="H314" s="62"/>
      <c r="I314" s="62"/>
      <c r="J314" s="62"/>
      <c r="K314" s="62"/>
      <c r="L314" s="62"/>
    </row>
    <row r="315" spans="1:12" x14ac:dyDescent="0.3">
      <c r="A315" s="29"/>
      <c r="B315" s="30" t="s">
        <v>341</v>
      </c>
      <c r="C315" s="62" t="s">
        <v>342</v>
      </c>
      <c r="D315" s="62"/>
      <c r="E315" s="62"/>
      <c r="F315" s="62"/>
      <c r="G315" s="62"/>
      <c r="H315" s="62"/>
      <c r="I315" s="62"/>
      <c r="J315" s="62"/>
      <c r="K315" s="62"/>
      <c r="L315" s="62"/>
    </row>
    <row r="316" spans="1:12" x14ac:dyDescent="0.3">
      <c r="A316" s="29" t="s">
        <v>89</v>
      </c>
      <c r="B316" s="62" t="s">
        <v>343</v>
      </c>
      <c r="C316" s="62"/>
      <c r="D316" s="62"/>
      <c r="E316" s="62"/>
      <c r="F316" s="62"/>
      <c r="G316" s="62"/>
      <c r="H316" s="62"/>
      <c r="I316" s="62"/>
      <c r="J316" s="62"/>
      <c r="K316" s="62"/>
      <c r="L316" s="62"/>
    </row>
    <row r="317" spans="1:12" x14ac:dyDescent="0.3">
      <c r="A317" s="29" t="s">
        <v>344</v>
      </c>
      <c r="B317" s="62" t="s">
        <v>345</v>
      </c>
      <c r="C317" s="62"/>
      <c r="D317" s="62"/>
      <c r="E317" s="62"/>
      <c r="F317" s="62"/>
      <c r="G317" s="62"/>
      <c r="H317" s="62"/>
      <c r="I317" s="62"/>
      <c r="J317" s="62"/>
      <c r="K317" s="62"/>
      <c r="L317" s="62"/>
    </row>
    <row r="318" spans="1:12" x14ac:dyDescent="0.3">
      <c r="A318" s="29" t="s">
        <v>346</v>
      </c>
      <c r="B318" s="62" t="s">
        <v>347</v>
      </c>
      <c r="C318" s="62"/>
      <c r="D318" s="62"/>
      <c r="E318" s="62"/>
      <c r="F318" s="62"/>
      <c r="G318" s="62"/>
      <c r="H318" s="62"/>
      <c r="I318" s="62"/>
      <c r="J318" s="62"/>
      <c r="K318" s="62"/>
      <c r="L318" s="62"/>
    </row>
    <row r="319" spans="1:12" x14ac:dyDescent="0.3">
      <c r="A319" s="62"/>
      <c r="B319" s="62" t="s">
        <v>348</v>
      </c>
      <c r="C319" s="62"/>
      <c r="D319" s="62"/>
      <c r="E319" s="62"/>
      <c r="F319" s="62"/>
      <c r="G319" s="62"/>
      <c r="H319" s="62"/>
      <c r="I319" s="62"/>
      <c r="J319" s="62"/>
      <c r="K319" s="62"/>
      <c r="L319" s="62"/>
    </row>
    <row r="320" spans="1:12" x14ac:dyDescent="0.3">
      <c r="A320" s="62" t="s">
        <v>349</v>
      </c>
      <c r="B320" s="2"/>
      <c r="C320" s="62"/>
      <c r="D320" s="62"/>
      <c r="E320" s="62"/>
      <c r="F320" s="62"/>
      <c r="G320" s="62"/>
      <c r="H320" s="62"/>
      <c r="I320" s="62"/>
      <c r="J320" s="62"/>
      <c r="K320" s="62"/>
      <c r="L320" s="62"/>
    </row>
    <row r="321" spans="1:12" x14ac:dyDescent="0.3">
      <c r="A321" s="62"/>
      <c r="B321" s="2"/>
      <c r="C321" s="62"/>
      <c r="D321" s="62"/>
      <c r="E321" s="62"/>
      <c r="F321" s="62"/>
      <c r="G321" s="62"/>
      <c r="H321" s="62"/>
      <c r="I321" s="62"/>
      <c r="J321" s="62"/>
      <c r="K321" s="62"/>
      <c r="L321" s="62"/>
    </row>
    <row r="322" spans="1:12" x14ac:dyDescent="0.3">
      <c r="A322" s="62"/>
      <c r="B322" s="2"/>
      <c r="C322" s="62"/>
      <c r="D322" s="62"/>
      <c r="E322" s="62"/>
      <c r="F322" s="62"/>
      <c r="G322" s="62"/>
      <c r="H322" s="62"/>
      <c r="I322" s="62"/>
      <c r="J322" s="62"/>
      <c r="K322" s="62"/>
      <c r="L322" s="62"/>
    </row>
    <row r="323" spans="1:12" x14ac:dyDescent="0.3">
      <c r="A323" s="62"/>
      <c r="B323" s="2"/>
      <c r="C323" s="62"/>
      <c r="D323" s="62"/>
      <c r="E323" s="62"/>
      <c r="F323" s="62"/>
      <c r="G323" s="62"/>
      <c r="H323" s="62"/>
      <c r="I323" s="62"/>
      <c r="J323" s="62"/>
      <c r="K323" s="62"/>
      <c r="L323" s="62"/>
    </row>
    <row r="324" spans="1:12" x14ac:dyDescent="0.3">
      <c r="A324" s="19" t="s">
        <v>350</v>
      </c>
      <c r="B324" s="2"/>
      <c r="C324" s="62"/>
      <c r="D324" s="62"/>
      <c r="E324" s="62"/>
      <c r="F324" s="62"/>
      <c r="G324" s="62"/>
      <c r="H324" s="62"/>
      <c r="I324" s="62"/>
      <c r="J324" s="62"/>
      <c r="K324" s="62"/>
      <c r="L324" s="62"/>
    </row>
    <row r="325" spans="1:12" s="26" customFormat="1" ht="30.6" customHeight="1" x14ac:dyDescent="0.3">
      <c r="B325" s="218" t="s">
        <v>351</v>
      </c>
      <c r="C325" s="218"/>
      <c r="D325" s="218"/>
      <c r="E325" s="218"/>
      <c r="F325" s="218"/>
    </row>
    <row r="326" spans="1:12" s="23" customFormat="1" ht="28.8" customHeight="1" x14ac:dyDescent="0.3">
      <c r="B326" s="219" t="s">
        <v>352</v>
      </c>
      <c r="C326" s="219"/>
      <c r="D326" s="219" t="s">
        <v>353</v>
      </c>
      <c r="E326" s="219"/>
      <c r="F326" s="103" t="s">
        <v>354</v>
      </c>
      <c r="G326" s="31"/>
    </row>
    <row r="327" spans="1:12" x14ac:dyDescent="0.3">
      <c r="A327" s="62"/>
      <c r="B327" s="22" t="s">
        <v>355</v>
      </c>
      <c r="C327" s="22" t="s">
        <v>356</v>
      </c>
      <c r="D327" s="22" t="s">
        <v>355</v>
      </c>
      <c r="E327" s="22" t="s">
        <v>356</v>
      </c>
      <c r="F327" s="22" t="s">
        <v>43</v>
      </c>
      <c r="H327" s="62"/>
      <c r="I327" s="62"/>
      <c r="J327" s="62"/>
      <c r="K327" s="62"/>
      <c r="L327" s="62"/>
    </row>
    <row r="328" spans="1:12" x14ac:dyDescent="0.3">
      <c r="A328" s="32" t="s">
        <v>357</v>
      </c>
      <c r="B328" s="106"/>
      <c r="C328" s="106"/>
      <c r="D328" s="106"/>
      <c r="E328" s="106"/>
      <c r="F328" s="106"/>
      <c r="G328" s="62"/>
      <c r="H328" s="62"/>
      <c r="I328" s="62"/>
      <c r="J328" s="62"/>
      <c r="K328" s="62"/>
      <c r="L328" s="62"/>
    </row>
    <row r="329" spans="1:12" x14ac:dyDescent="0.3">
      <c r="A329" s="25" t="s">
        <v>358</v>
      </c>
      <c r="B329" s="106">
        <v>109</v>
      </c>
      <c r="C329" s="106">
        <v>19</v>
      </c>
      <c r="D329" s="106">
        <v>112</v>
      </c>
      <c r="E329" s="106">
        <v>20</v>
      </c>
      <c r="F329" s="106">
        <v>1</v>
      </c>
      <c r="G329" s="62"/>
      <c r="H329" s="62"/>
      <c r="I329" s="62"/>
      <c r="J329" s="62"/>
      <c r="K329" s="62"/>
      <c r="L329" s="62"/>
    </row>
    <row r="330" spans="1:12" x14ac:dyDescent="0.3">
      <c r="A330" s="25" t="s">
        <v>359</v>
      </c>
      <c r="B330" s="106">
        <v>100</v>
      </c>
      <c r="C330" s="106"/>
      <c r="D330" s="106">
        <v>103</v>
      </c>
      <c r="E330" s="106"/>
      <c r="F330" s="106">
        <v>0.91249999999999998</v>
      </c>
      <c r="G330" s="62"/>
      <c r="H330" s="62"/>
      <c r="I330" s="62"/>
      <c r="J330" s="62"/>
      <c r="K330" s="62"/>
      <c r="L330" s="62"/>
    </row>
    <row r="331" spans="1:12" x14ac:dyDescent="0.3">
      <c r="A331" s="25" t="s">
        <v>360</v>
      </c>
      <c r="B331" s="106">
        <v>89</v>
      </c>
      <c r="C331" s="106">
        <v>10</v>
      </c>
      <c r="D331" s="106">
        <v>90</v>
      </c>
      <c r="E331" s="106">
        <v>20</v>
      </c>
      <c r="F331" s="106">
        <v>0.8125</v>
      </c>
      <c r="G331" s="62"/>
      <c r="H331" s="62"/>
      <c r="I331" s="62"/>
      <c r="J331" s="62"/>
      <c r="K331" s="62"/>
      <c r="L331" s="62"/>
    </row>
    <row r="332" spans="1:12" x14ac:dyDescent="0.3">
      <c r="A332" s="25" t="s">
        <v>361</v>
      </c>
      <c r="B332" s="106">
        <v>86</v>
      </c>
      <c r="C332" s="106">
        <v>27</v>
      </c>
      <c r="D332" s="106">
        <v>88</v>
      </c>
      <c r="E332" s="106"/>
      <c r="F332" s="106">
        <v>0.79166666666666663</v>
      </c>
      <c r="G332" s="62"/>
      <c r="H332" s="62"/>
      <c r="I332" s="62"/>
      <c r="J332" s="62"/>
      <c r="K332" s="62"/>
      <c r="L332" s="62"/>
    </row>
    <row r="333" spans="1:12" x14ac:dyDescent="0.3">
      <c r="A333" s="25" t="s">
        <v>362</v>
      </c>
      <c r="B333" s="106">
        <v>48</v>
      </c>
      <c r="C333" s="106">
        <v>20</v>
      </c>
      <c r="D333" s="106">
        <v>51</v>
      </c>
      <c r="E333" s="106"/>
      <c r="F333" s="106">
        <v>0.44166666666666671</v>
      </c>
      <c r="G333" s="62"/>
      <c r="H333" s="62"/>
      <c r="I333" s="62"/>
      <c r="J333" s="62"/>
      <c r="K333" s="62"/>
      <c r="L333" s="62"/>
    </row>
    <row r="334" spans="1:12" x14ac:dyDescent="0.3">
      <c r="A334" s="25" t="s">
        <v>363</v>
      </c>
      <c r="B334" s="106">
        <v>50</v>
      </c>
      <c r="C334" s="106">
        <v>27</v>
      </c>
      <c r="D334" s="106">
        <v>53</v>
      </c>
      <c r="E334" s="106"/>
      <c r="F334" s="106">
        <v>0.46250000000000002</v>
      </c>
      <c r="G334" s="62"/>
      <c r="H334" s="62"/>
      <c r="I334" s="62"/>
      <c r="J334" s="62"/>
      <c r="K334" s="62"/>
      <c r="L334" s="62"/>
    </row>
    <row r="335" spans="1:12" x14ac:dyDescent="0.3">
      <c r="A335" s="25"/>
      <c r="B335" s="106"/>
      <c r="C335" s="106"/>
      <c r="D335" s="106"/>
      <c r="E335" s="106"/>
      <c r="F335" s="106"/>
      <c r="G335" s="62"/>
      <c r="H335" s="62"/>
      <c r="I335" s="62"/>
      <c r="J335" s="62"/>
      <c r="K335" s="62"/>
      <c r="L335" s="62"/>
    </row>
    <row r="336" spans="1:12" x14ac:dyDescent="0.3">
      <c r="A336" s="32" t="s">
        <v>364</v>
      </c>
      <c r="B336" s="106"/>
      <c r="C336" s="106"/>
      <c r="D336" s="106"/>
      <c r="E336" s="106"/>
      <c r="F336" s="106"/>
      <c r="G336" s="62"/>
      <c r="H336" s="62"/>
      <c r="I336" s="62"/>
      <c r="J336" s="62"/>
      <c r="K336" s="62"/>
      <c r="L336" s="62"/>
    </row>
    <row r="337" spans="1:12" x14ac:dyDescent="0.3">
      <c r="A337" s="25" t="s">
        <v>365</v>
      </c>
      <c r="B337" s="106">
        <v>23</v>
      </c>
      <c r="C337" s="106">
        <v>17</v>
      </c>
      <c r="D337" s="106">
        <v>23</v>
      </c>
      <c r="E337" s="106">
        <v>10</v>
      </c>
      <c r="F337" s="106">
        <v>0.21458333333333335</v>
      </c>
      <c r="G337" s="62"/>
      <c r="H337" s="62"/>
      <c r="I337" s="62"/>
      <c r="J337" s="62"/>
      <c r="K337" s="62"/>
      <c r="L337" s="62"/>
    </row>
    <row r="338" spans="1:12" x14ac:dyDescent="0.3">
      <c r="A338" s="25" t="s">
        <v>366</v>
      </c>
      <c r="B338" s="106">
        <v>22</v>
      </c>
      <c r="C338" s="106">
        <v>23</v>
      </c>
      <c r="D338" s="106">
        <v>22</v>
      </c>
      <c r="E338" s="106">
        <v>30</v>
      </c>
      <c r="F338" s="106">
        <v>0.20625000000000002</v>
      </c>
      <c r="G338" s="62"/>
      <c r="H338" s="62"/>
      <c r="I338" s="62"/>
      <c r="J338" s="62"/>
      <c r="K338" s="62"/>
      <c r="L338" s="62"/>
    </row>
    <row r="339" spans="1:12" x14ac:dyDescent="0.3">
      <c r="A339" s="25" t="s">
        <v>367</v>
      </c>
      <c r="B339" s="106">
        <v>21</v>
      </c>
      <c r="C339" s="106">
        <v>28</v>
      </c>
      <c r="D339" s="106">
        <v>21</v>
      </c>
      <c r="E339" s="106">
        <v>30</v>
      </c>
      <c r="F339" s="106">
        <v>0.19583333333333333</v>
      </c>
      <c r="G339" s="62"/>
      <c r="H339" s="62"/>
      <c r="I339" s="62"/>
      <c r="J339" s="62"/>
      <c r="K339" s="62"/>
      <c r="L339" s="62"/>
    </row>
    <row r="340" spans="1:12" x14ac:dyDescent="0.3">
      <c r="A340" s="25" t="s">
        <v>368</v>
      </c>
      <c r="B340" s="106">
        <v>20</v>
      </c>
      <c r="C340" s="106"/>
      <c r="D340" s="106">
        <v>20</v>
      </c>
      <c r="E340" s="106">
        <v>20</v>
      </c>
      <c r="F340" s="106">
        <v>0.18333333333333332</v>
      </c>
      <c r="G340" s="62"/>
      <c r="H340" s="62"/>
      <c r="I340" s="62"/>
      <c r="J340" s="62"/>
      <c r="K340" s="62"/>
      <c r="L340" s="62"/>
    </row>
    <row r="341" spans="1:12" x14ac:dyDescent="0.3">
      <c r="A341" s="25" t="s">
        <v>369</v>
      </c>
      <c r="B341" s="106">
        <v>17</v>
      </c>
      <c r="C341" s="106">
        <v>17</v>
      </c>
      <c r="D341" s="106">
        <v>17</v>
      </c>
      <c r="E341" s="106">
        <v>20</v>
      </c>
      <c r="F341" s="106">
        <v>0.15833333333333333</v>
      </c>
      <c r="G341" s="62"/>
      <c r="H341" s="62"/>
      <c r="I341" s="62"/>
      <c r="J341" s="62"/>
      <c r="K341" s="62"/>
      <c r="L341" s="62"/>
    </row>
    <row r="342" spans="1:12" x14ac:dyDescent="0.3">
      <c r="A342" s="25" t="s">
        <v>89</v>
      </c>
      <c r="B342" s="106">
        <v>10</v>
      </c>
      <c r="C342" s="106">
        <v>25</v>
      </c>
      <c r="D342" s="106">
        <v>10</v>
      </c>
      <c r="E342" s="106">
        <v>20</v>
      </c>
      <c r="F342" s="106">
        <v>9.1666666666666674E-2</v>
      </c>
      <c r="G342" s="62"/>
      <c r="H342" s="62"/>
      <c r="I342" s="62"/>
      <c r="J342" s="62"/>
      <c r="K342" s="62"/>
      <c r="L342" s="62"/>
    </row>
    <row r="343" spans="1:12" x14ac:dyDescent="0.3">
      <c r="A343" s="25" t="s">
        <v>370</v>
      </c>
      <c r="B343" s="106">
        <v>6</v>
      </c>
      <c r="C343" s="106"/>
      <c r="D343" s="106">
        <v>6</v>
      </c>
      <c r="E343" s="106"/>
      <c r="F343" s="106">
        <v>5.4166666666666669E-2</v>
      </c>
      <c r="G343" s="62"/>
      <c r="H343" s="62"/>
      <c r="I343" s="62"/>
      <c r="J343" s="62"/>
      <c r="K343" s="62"/>
      <c r="L343" s="62"/>
    </row>
    <row r="344" spans="1:12" x14ac:dyDescent="0.3">
      <c r="A344" s="25" t="s">
        <v>371</v>
      </c>
      <c r="B344" s="106">
        <v>4</v>
      </c>
      <c r="C344" s="106">
        <v>17.5</v>
      </c>
      <c r="D344" s="106">
        <v>4</v>
      </c>
      <c r="E344" s="106">
        <v>15</v>
      </c>
      <c r="F344" s="106">
        <v>3.9583333333333331E-2</v>
      </c>
      <c r="G344" s="62"/>
      <c r="H344" s="62"/>
      <c r="I344" s="62"/>
      <c r="J344" s="62"/>
      <c r="K344" s="62"/>
      <c r="L344" s="62"/>
    </row>
    <row r="345" spans="1:12" x14ac:dyDescent="0.3">
      <c r="A345" s="25" t="s">
        <v>372</v>
      </c>
      <c r="B345" s="106">
        <v>3</v>
      </c>
      <c r="C345" s="106">
        <v>24</v>
      </c>
      <c r="D345" s="106">
        <v>3</v>
      </c>
      <c r="E345" s="106">
        <v>25</v>
      </c>
      <c r="F345" s="106">
        <v>3.3333333333333333E-2</v>
      </c>
      <c r="G345" s="62"/>
      <c r="H345" s="62"/>
      <c r="I345" s="62"/>
      <c r="J345" s="62"/>
      <c r="K345" s="62"/>
      <c r="L345" s="62"/>
    </row>
    <row r="346" spans="1:12" x14ac:dyDescent="0.3">
      <c r="A346" s="25" t="s">
        <v>373</v>
      </c>
      <c r="B346" s="106">
        <v>2</v>
      </c>
      <c r="C346" s="106">
        <v>22</v>
      </c>
      <c r="D346" s="106">
        <v>2</v>
      </c>
      <c r="E346" s="106">
        <v>35</v>
      </c>
      <c r="F346" s="106">
        <v>2.2916666666666665E-2</v>
      </c>
      <c r="G346" s="62"/>
      <c r="H346" s="62"/>
      <c r="I346" s="62"/>
      <c r="J346" s="62"/>
      <c r="K346" s="62"/>
      <c r="L346" s="62"/>
    </row>
    <row r="347" spans="1:12" x14ac:dyDescent="0.3">
      <c r="A347" s="25"/>
      <c r="B347" s="106"/>
      <c r="C347" s="106"/>
      <c r="D347" s="106"/>
      <c r="E347" s="106"/>
      <c r="F347" s="106"/>
      <c r="G347" s="62"/>
      <c r="H347" s="62"/>
      <c r="I347" s="62"/>
      <c r="J347" s="62"/>
      <c r="K347" s="62"/>
      <c r="L347" s="62"/>
    </row>
    <row r="348" spans="1:12" x14ac:dyDescent="0.3">
      <c r="A348" s="32" t="s">
        <v>374</v>
      </c>
      <c r="B348" s="106"/>
      <c r="C348" s="106"/>
      <c r="D348" s="106"/>
      <c r="E348" s="106"/>
      <c r="F348" s="106"/>
      <c r="G348" s="62"/>
      <c r="H348" s="62"/>
      <c r="I348" s="62"/>
      <c r="J348" s="62"/>
      <c r="K348" s="62"/>
      <c r="L348" s="62"/>
    </row>
    <row r="349" spans="1:12" x14ac:dyDescent="0.3">
      <c r="A349" s="25" t="s">
        <v>375</v>
      </c>
      <c r="B349" s="106">
        <v>9</v>
      </c>
      <c r="C349" s="106">
        <v>30</v>
      </c>
      <c r="D349" s="106">
        <v>10</v>
      </c>
      <c r="E349" s="106">
        <v>20</v>
      </c>
      <c r="F349" s="106">
        <v>8.7499999999999994E-2</v>
      </c>
      <c r="G349" s="62"/>
      <c r="H349" s="62"/>
      <c r="I349" s="62"/>
      <c r="J349" s="62"/>
      <c r="K349" s="62"/>
      <c r="L349" s="62"/>
    </row>
    <row r="350" spans="1:12" x14ac:dyDescent="0.3">
      <c r="A350" s="25" t="s">
        <v>376</v>
      </c>
      <c r="B350" s="106">
        <v>5</v>
      </c>
      <c r="C350" s="106"/>
      <c r="D350" s="106">
        <v>5</v>
      </c>
      <c r="E350" s="106"/>
      <c r="F350" s="106">
        <v>4.583333333333333E-2</v>
      </c>
      <c r="G350" s="62"/>
      <c r="H350" s="62"/>
      <c r="I350" s="62"/>
      <c r="J350" s="62"/>
      <c r="K350" s="62"/>
      <c r="L350" s="62"/>
    </row>
    <row r="351" spans="1:12" x14ac:dyDescent="0.3">
      <c r="A351" s="25" t="s">
        <v>377</v>
      </c>
      <c r="B351" s="106">
        <v>2</v>
      </c>
      <c r="C351" s="106">
        <v>10</v>
      </c>
      <c r="D351" s="106">
        <v>2</v>
      </c>
      <c r="E351" s="106">
        <v>10</v>
      </c>
      <c r="F351" s="106">
        <v>2.0833333333333332E-2</v>
      </c>
      <c r="G351" s="62"/>
      <c r="H351" s="62"/>
      <c r="I351" s="62"/>
      <c r="J351" s="62"/>
      <c r="K351" s="62"/>
      <c r="L351" s="62"/>
    </row>
    <row r="352" spans="1:12" x14ac:dyDescent="0.3">
      <c r="A352" s="25" t="s">
        <v>378</v>
      </c>
      <c r="B352" s="106"/>
      <c r="C352" s="106">
        <v>20</v>
      </c>
      <c r="D352" s="106"/>
      <c r="E352" s="106">
        <v>20</v>
      </c>
      <c r="F352" s="106">
        <v>6.2500000000000003E-3</v>
      </c>
      <c r="G352" s="62"/>
      <c r="H352" s="62"/>
      <c r="I352" s="62"/>
      <c r="J352" s="62"/>
      <c r="K352" s="62"/>
      <c r="L352" s="62"/>
    </row>
    <row r="353" spans="1:12" x14ac:dyDescent="0.3">
      <c r="A353" s="25"/>
      <c r="B353" s="106"/>
      <c r="C353" s="106"/>
      <c r="D353" s="106"/>
      <c r="E353" s="106"/>
      <c r="F353" s="106"/>
      <c r="G353" s="62"/>
      <c r="H353" s="62"/>
      <c r="I353" s="62"/>
      <c r="J353" s="62"/>
      <c r="K353" s="62"/>
      <c r="L353" s="62"/>
    </row>
    <row r="354" spans="1:12" x14ac:dyDescent="0.3">
      <c r="A354" s="32" t="s">
        <v>112</v>
      </c>
      <c r="B354" s="106"/>
      <c r="C354" s="106"/>
      <c r="D354" s="106"/>
      <c r="E354" s="106"/>
      <c r="F354" s="106"/>
      <c r="G354" s="62"/>
      <c r="H354" s="62"/>
      <c r="I354" s="62"/>
      <c r="J354" s="62"/>
      <c r="K354" s="62"/>
      <c r="L354" s="62"/>
    </row>
    <row r="355" spans="1:12" x14ac:dyDescent="0.3">
      <c r="A355" s="25" t="s">
        <v>379</v>
      </c>
      <c r="B355" s="106"/>
      <c r="C355" s="106">
        <v>10</v>
      </c>
      <c r="D355" s="106"/>
      <c r="E355" s="106"/>
      <c r="F355" s="106">
        <v>2.0833333333333333E-3</v>
      </c>
      <c r="G355" s="62"/>
      <c r="H355" s="62"/>
      <c r="I355" s="62"/>
      <c r="J355" s="62"/>
      <c r="K355" s="62"/>
      <c r="L355" s="62"/>
    </row>
    <row r="356" spans="1:12" x14ac:dyDescent="0.3">
      <c r="A356" s="25" t="s">
        <v>380</v>
      </c>
      <c r="B356" s="106"/>
      <c r="C356" s="106">
        <v>5</v>
      </c>
      <c r="D356" s="106"/>
      <c r="E356" s="106"/>
      <c r="F356" s="106">
        <v>1.0416666666666667E-3</v>
      </c>
      <c r="G356" s="62"/>
      <c r="H356" s="62"/>
      <c r="I356" s="62"/>
      <c r="J356" s="62"/>
      <c r="K356" s="62"/>
      <c r="L356" s="62"/>
    </row>
    <row r="357" spans="1:12" x14ac:dyDescent="0.3">
      <c r="A357" s="62"/>
      <c r="B357" s="2"/>
      <c r="C357" s="62"/>
      <c r="D357" s="62"/>
      <c r="E357" s="62"/>
      <c r="F357" s="62"/>
      <c r="G357" s="62"/>
      <c r="H357" s="62"/>
      <c r="I357" s="62"/>
      <c r="J357" s="62"/>
      <c r="K357" s="62"/>
      <c r="L357" s="62"/>
    </row>
    <row r="358" spans="1:12" x14ac:dyDescent="0.3">
      <c r="A358" s="62"/>
      <c r="B358" s="2"/>
      <c r="C358" s="62"/>
      <c r="D358" s="62"/>
      <c r="E358" s="62"/>
      <c r="F358" s="62"/>
      <c r="G358" s="62"/>
      <c r="H358" s="62"/>
      <c r="I358" s="62"/>
      <c r="J358" s="62"/>
      <c r="K358" s="62"/>
      <c r="L358" s="62"/>
    </row>
    <row r="359" spans="1:12" x14ac:dyDescent="0.3">
      <c r="A359" s="62"/>
      <c r="B359" s="2"/>
      <c r="C359" s="62"/>
      <c r="D359" s="62"/>
      <c r="E359" s="62"/>
      <c r="F359" s="62"/>
      <c r="G359" s="62"/>
      <c r="H359" s="62"/>
      <c r="I359" s="62"/>
      <c r="J359" s="62"/>
      <c r="K359" s="62"/>
      <c r="L359" s="62"/>
    </row>
    <row r="360" spans="1:12" x14ac:dyDescent="0.3">
      <c r="A360" s="215" t="s">
        <v>381</v>
      </c>
      <c r="B360" s="215"/>
      <c r="C360" s="215"/>
      <c r="D360" s="62"/>
      <c r="E360" s="62"/>
      <c r="F360" s="62"/>
      <c r="G360" s="62"/>
      <c r="H360" s="62"/>
      <c r="I360" s="62"/>
      <c r="J360" s="62"/>
      <c r="K360" s="62"/>
      <c r="L360" s="62"/>
    </row>
    <row r="361" spans="1:12" x14ac:dyDescent="0.3">
      <c r="A361" s="102"/>
      <c r="B361" s="102"/>
      <c r="C361" s="102"/>
      <c r="D361" s="62"/>
      <c r="E361" s="62"/>
      <c r="F361" s="62"/>
      <c r="G361" s="62"/>
      <c r="H361" s="62"/>
      <c r="I361" s="62"/>
      <c r="J361" s="62"/>
      <c r="K361" s="62"/>
      <c r="L361" s="62"/>
    </row>
    <row r="362" spans="1:12" x14ac:dyDescent="0.3">
      <c r="A362" s="62" t="s">
        <v>382</v>
      </c>
      <c r="B362" s="2"/>
      <c r="C362" s="62"/>
      <c r="D362" s="62"/>
      <c r="E362" s="62"/>
      <c r="F362" s="62"/>
      <c r="G362" s="62"/>
      <c r="H362" s="62"/>
      <c r="I362" s="62"/>
      <c r="J362" s="62"/>
      <c r="K362" s="62"/>
      <c r="L362" s="62"/>
    </row>
    <row r="363" spans="1:12" x14ac:dyDescent="0.3">
      <c r="A363" s="62"/>
      <c r="B363" s="2"/>
      <c r="C363" s="62"/>
      <c r="D363" s="62"/>
      <c r="E363" s="62"/>
      <c r="F363" s="62"/>
      <c r="G363" s="62"/>
      <c r="H363" s="62"/>
      <c r="I363" s="62"/>
      <c r="J363" s="62"/>
      <c r="K363" s="62"/>
      <c r="L363" s="62"/>
    </row>
    <row r="364" spans="1:12" x14ac:dyDescent="0.3">
      <c r="A364" s="62"/>
      <c r="B364" s="219" t="s">
        <v>383</v>
      </c>
      <c r="C364" s="219" t="s">
        <v>384</v>
      </c>
      <c r="D364" s="62"/>
      <c r="E364" s="62"/>
      <c r="F364" s="62"/>
      <c r="G364" s="62"/>
      <c r="H364" s="62"/>
      <c r="I364" s="62"/>
      <c r="J364" s="62"/>
      <c r="K364" s="62"/>
      <c r="L364" s="62"/>
    </row>
    <row r="365" spans="1:12" ht="73.2" customHeight="1" x14ac:dyDescent="0.3">
      <c r="A365" s="62"/>
      <c r="B365" s="219"/>
      <c r="C365" s="219"/>
      <c r="D365" s="62"/>
      <c r="E365" s="62"/>
      <c r="F365" s="62"/>
      <c r="G365" s="62"/>
      <c r="H365" s="62"/>
      <c r="I365" s="62"/>
      <c r="J365" s="62"/>
      <c r="K365" s="62"/>
      <c r="L365" s="62"/>
    </row>
    <row r="366" spans="1:12" x14ac:dyDescent="0.3">
      <c r="A366" s="32" t="s">
        <v>357</v>
      </c>
      <c r="B366" s="62"/>
      <c r="C366" s="62"/>
      <c r="D366" s="62"/>
      <c r="E366" s="62"/>
      <c r="F366" s="62"/>
      <c r="G366" s="62"/>
      <c r="H366" s="62"/>
      <c r="I366" s="62"/>
      <c r="J366" s="62"/>
      <c r="K366" s="62"/>
      <c r="L366" s="62"/>
    </row>
    <row r="367" spans="1:12" x14ac:dyDescent="0.3">
      <c r="A367" s="25" t="s">
        <v>385</v>
      </c>
      <c r="B367" s="106">
        <v>109.25</v>
      </c>
      <c r="C367" s="106">
        <v>122.75</v>
      </c>
      <c r="D367" s="62"/>
      <c r="E367" s="62"/>
      <c r="F367" s="62"/>
      <c r="G367" s="62"/>
      <c r="H367" s="62"/>
      <c r="I367" s="62"/>
      <c r="J367" s="62"/>
      <c r="K367" s="62"/>
      <c r="L367" s="62"/>
    </row>
    <row r="368" spans="1:12" x14ac:dyDescent="0.3">
      <c r="A368" s="25" t="s">
        <v>386</v>
      </c>
      <c r="B368" s="106">
        <v>100</v>
      </c>
      <c r="C368" s="106">
        <v>112.5</v>
      </c>
      <c r="D368" s="62"/>
      <c r="E368" s="62"/>
      <c r="F368" s="62"/>
      <c r="G368" s="62"/>
      <c r="H368" s="62"/>
      <c r="I368" s="62"/>
      <c r="J368" s="62"/>
      <c r="K368" s="62"/>
      <c r="L368" s="62"/>
    </row>
    <row r="369" spans="1:12" x14ac:dyDescent="0.3">
      <c r="A369" s="25" t="s">
        <v>387</v>
      </c>
      <c r="B369" s="106">
        <v>89.25</v>
      </c>
      <c r="C369" s="106">
        <v>100</v>
      </c>
      <c r="D369" s="62"/>
      <c r="E369" s="62"/>
      <c r="F369" s="62"/>
      <c r="G369" s="62"/>
      <c r="H369" s="62"/>
      <c r="I369" s="62"/>
      <c r="J369" s="62"/>
      <c r="K369" s="62"/>
      <c r="L369" s="62"/>
    </row>
    <row r="370" spans="1:12" x14ac:dyDescent="0.3">
      <c r="A370" s="25" t="s">
        <v>388</v>
      </c>
      <c r="B370" s="106">
        <f>86+27/40</f>
        <v>86.674999999999997</v>
      </c>
      <c r="C370" s="106">
        <v>97.5</v>
      </c>
      <c r="D370" s="62"/>
      <c r="E370" s="62"/>
      <c r="F370" s="62"/>
      <c r="G370" s="62"/>
      <c r="H370" s="62"/>
      <c r="I370" s="62"/>
      <c r="J370" s="62"/>
      <c r="K370" s="62"/>
      <c r="L370" s="62"/>
    </row>
    <row r="371" spans="1:12" x14ac:dyDescent="0.3">
      <c r="A371" s="25" t="s">
        <v>362</v>
      </c>
      <c r="B371" s="106">
        <v>48.5</v>
      </c>
      <c r="C371" s="106">
        <f>53+15/40</f>
        <v>53.375</v>
      </c>
      <c r="D371" s="62"/>
      <c r="E371" s="62"/>
      <c r="F371" s="62"/>
      <c r="G371" s="62"/>
      <c r="H371" s="62"/>
      <c r="I371" s="62"/>
      <c r="J371" s="62"/>
      <c r="K371" s="62"/>
      <c r="L371" s="62"/>
    </row>
    <row r="372" spans="1:12" x14ac:dyDescent="0.3">
      <c r="A372" s="25" t="s">
        <v>389</v>
      </c>
      <c r="B372" s="106">
        <v>20</v>
      </c>
      <c r="C372" s="106">
        <v>24</v>
      </c>
      <c r="D372" s="62"/>
      <c r="E372" s="62"/>
      <c r="F372" s="62"/>
      <c r="G372" s="62"/>
      <c r="H372" s="62"/>
      <c r="I372" s="62"/>
      <c r="J372" s="62"/>
      <c r="K372" s="62"/>
      <c r="L372" s="62"/>
    </row>
    <row r="373" spans="1:12" x14ac:dyDescent="0.3">
      <c r="A373" s="25" t="s">
        <v>363</v>
      </c>
      <c r="B373" s="106">
        <f>50+27/40</f>
        <v>50.674999999999997</v>
      </c>
      <c r="C373" s="106">
        <v>56.25</v>
      </c>
      <c r="D373" s="62"/>
      <c r="E373" s="62"/>
      <c r="F373" s="62"/>
      <c r="G373" s="62"/>
      <c r="H373" s="62"/>
      <c r="I373" s="62"/>
      <c r="J373" s="62"/>
      <c r="K373" s="62"/>
      <c r="L373" s="62"/>
    </row>
    <row r="374" spans="1:12" x14ac:dyDescent="0.3">
      <c r="A374" s="25"/>
      <c r="B374" s="106"/>
      <c r="C374" s="106"/>
      <c r="D374" s="62"/>
      <c r="E374" s="62"/>
      <c r="F374" s="62"/>
      <c r="G374" s="62"/>
      <c r="H374" s="62"/>
      <c r="I374" s="62"/>
      <c r="J374" s="62"/>
      <c r="K374" s="62"/>
      <c r="L374" s="62"/>
    </row>
    <row r="375" spans="1:12" x14ac:dyDescent="0.3">
      <c r="A375" s="32" t="s">
        <v>364</v>
      </c>
      <c r="B375" s="106"/>
      <c r="C375" s="106"/>
      <c r="D375" s="62"/>
      <c r="E375" s="62"/>
      <c r="F375" s="62"/>
      <c r="G375" s="62"/>
      <c r="H375" s="62"/>
      <c r="I375" s="62"/>
      <c r="J375" s="62"/>
      <c r="K375" s="62"/>
      <c r="L375" s="62"/>
    </row>
    <row r="376" spans="1:12" x14ac:dyDescent="0.3">
      <c r="A376" s="25" t="s">
        <v>365</v>
      </c>
      <c r="B376" s="106">
        <f>23+17/40</f>
        <v>23.425000000000001</v>
      </c>
      <c r="C376" s="106">
        <v>25.5</v>
      </c>
      <c r="D376" s="62"/>
      <c r="E376" s="62"/>
      <c r="F376" s="62"/>
      <c r="G376" s="62"/>
      <c r="H376" s="62"/>
      <c r="I376" s="62"/>
      <c r="J376" s="62"/>
      <c r="K376" s="62"/>
      <c r="L376" s="62"/>
    </row>
    <row r="377" spans="1:12" x14ac:dyDescent="0.3">
      <c r="A377" s="25" t="s">
        <v>366</v>
      </c>
      <c r="B377" s="106">
        <f>22+23/40</f>
        <v>22.574999999999999</v>
      </c>
      <c r="C377" s="106">
        <v>25</v>
      </c>
      <c r="D377" s="62"/>
      <c r="E377" s="62"/>
      <c r="F377" s="62"/>
      <c r="G377" s="62"/>
      <c r="H377" s="62"/>
      <c r="I377" s="62"/>
      <c r="J377" s="62"/>
      <c r="K377" s="62"/>
      <c r="L377" s="62"/>
    </row>
    <row r="378" spans="1:12" x14ac:dyDescent="0.3">
      <c r="A378" s="25" t="s">
        <v>367</v>
      </c>
      <c r="B378" s="106">
        <f>21+28/40</f>
        <v>21.7</v>
      </c>
      <c r="C378" s="106">
        <v>24</v>
      </c>
      <c r="D378" s="62"/>
      <c r="E378" s="62"/>
      <c r="F378" s="62"/>
      <c r="G378" s="62"/>
      <c r="H378" s="62"/>
      <c r="I378" s="62"/>
      <c r="J378" s="62"/>
      <c r="K378" s="62"/>
      <c r="L378" s="62"/>
    </row>
    <row r="379" spans="1:12" x14ac:dyDescent="0.3">
      <c r="A379" s="25" t="s">
        <v>368</v>
      </c>
      <c r="B379" s="106">
        <v>20</v>
      </c>
      <c r="C379" s="106">
        <v>22</v>
      </c>
      <c r="D379" s="62"/>
      <c r="E379" s="62"/>
      <c r="F379" s="62"/>
      <c r="G379" s="62"/>
      <c r="H379" s="62"/>
      <c r="I379" s="62"/>
      <c r="J379" s="62"/>
      <c r="K379" s="62"/>
      <c r="L379" s="62"/>
    </row>
    <row r="380" spans="1:12" x14ac:dyDescent="0.3">
      <c r="A380" s="25" t="s">
        <v>369</v>
      </c>
      <c r="B380" s="106">
        <f>17+17/40</f>
        <v>17.425000000000001</v>
      </c>
      <c r="C380" s="106">
        <v>18.75</v>
      </c>
      <c r="D380" s="62"/>
      <c r="E380" s="62"/>
      <c r="F380" s="62"/>
      <c r="G380" s="62"/>
      <c r="H380" s="62"/>
      <c r="I380" s="62"/>
      <c r="J380" s="62"/>
      <c r="K380" s="62"/>
      <c r="L380" s="62"/>
    </row>
    <row r="381" spans="1:12" x14ac:dyDescent="0.3">
      <c r="A381" s="25" t="s">
        <v>89</v>
      </c>
      <c r="B381" s="106">
        <f>10+25/40</f>
        <v>10.625</v>
      </c>
      <c r="C381" s="106">
        <v>12</v>
      </c>
      <c r="D381" s="62"/>
      <c r="E381" s="62"/>
      <c r="F381" s="62"/>
      <c r="G381" s="62"/>
      <c r="H381" s="62"/>
      <c r="I381" s="62"/>
      <c r="J381" s="62"/>
      <c r="K381" s="62"/>
      <c r="L381" s="62"/>
    </row>
    <row r="382" spans="1:12" x14ac:dyDescent="0.3">
      <c r="A382" s="25" t="s">
        <v>370</v>
      </c>
      <c r="B382" s="106">
        <v>6</v>
      </c>
      <c r="C382" s="106">
        <v>6.5</v>
      </c>
      <c r="D382" s="62"/>
      <c r="E382" s="62"/>
      <c r="F382" s="62"/>
      <c r="G382" s="62"/>
      <c r="H382" s="62"/>
      <c r="I382" s="62"/>
      <c r="J382" s="62"/>
      <c r="K382" s="62"/>
      <c r="L382" s="62"/>
    </row>
    <row r="383" spans="1:12" x14ac:dyDescent="0.3">
      <c r="A383" s="25" t="s">
        <v>390</v>
      </c>
      <c r="B383" s="106">
        <f>4+17.5/40</f>
        <v>4.4375</v>
      </c>
      <c r="C383" s="106">
        <f>5+5/40</f>
        <v>5.125</v>
      </c>
      <c r="D383" s="62"/>
      <c r="E383" s="62"/>
      <c r="F383" s="62"/>
      <c r="G383" s="62"/>
      <c r="H383" s="62"/>
      <c r="I383" s="62"/>
      <c r="J383" s="62"/>
      <c r="K383" s="62"/>
      <c r="L383" s="62"/>
    </row>
    <row r="384" spans="1:12" x14ac:dyDescent="0.3">
      <c r="A384" s="25" t="s">
        <v>391</v>
      </c>
      <c r="B384" s="106">
        <v>2.25</v>
      </c>
      <c r="C384" s="106">
        <f>2+22/40</f>
        <v>2.5499999999999998</v>
      </c>
      <c r="D384" s="62"/>
      <c r="E384" s="62"/>
      <c r="F384" s="62"/>
      <c r="G384" s="62"/>
      <c r="H384" s="62"/>
      <c r="I384" s="62"/>
      <c r="J384" s="62"/>
      <c r="K384" s="62"/>
      <c r="L384" s="62"/>
    </row>
    <row r="385" spans="1:28" x14ac:dyDescent="0.3">
      <c r="A385" s="25" t="s">
        <v>392</v>
      </c>
      <c r="B385" s="106">
        <f>3+24/40</f>
        <v>3.6</v>
      </c>
      <c r="C385" s="106">
        <v>4</v>
      </c>
      <c r="D385" s="62"/>
      <c r="E385" s="62"/>
      <c r="F385" s="62"/>
      <c r="G385" s="62"/>
      <c r="H385" s="62"/>
      <c r="I385" s="62"/>
      <c r="J385" s="62"/>
      <c r="K385" s="62"/>
      <c r="L385" s="62"/>
    </row>
    <row r="386" spans="1:28" x14ac:dyDescent="0.3">
      <c r="A386" s="25" t="s">
        <v>373</v>
      </c>
      <c r="B386" s="106">
        <f>2+22/40</f>
        <v>2.5499999999999998</v>
      </c>
      <c r="C386" s="106">
        <f>2+35/40</f>
        <v>2.875</v>
      </c>
      <c r="D386" s="62"/>
      <c r="E386" s="62"/>
      <c r="F386" s="62"/>
      <c r="G386" s="62"/>
      <c r="H386" s="62"/>
      <c r="I386" s="62"/>
      <c r="J386" s="62"/>
      <c r="K386" s="62"/>
      <c r="L386" s="62"/>
    </row>
    <row r="387" spans="1:28" x14ac:dyDescent="0.3">
      <c r="A387" s="62"/>
      <c r="B387" s="106"/>
      <c r="C387" s="106"/>
      <c r="H387" s="62"/>
      <c r="I387" s="62"/>
      <c r="J387" s="62"/>
      <c r="K387" s="62"/>
      <c r="L387" s="62"/>
    </row>
    <row r="388" spans="1:28" x14ac:dyDescent="0.3">
      <c r="A388" s="62"/>
      <c r="B388" s="106"/>
      <c r="C388" s="106"/>
      <c r="H388" s="62"/>
      <c r="I388" s="62"/>
      <c r="J388" s="62"/>
      <c r="K388" s="62"/>
      <c r="L388" s="62"/>
    </row>
    <row r="389" spans="1:28" x14ac:dyDescent="0.3">
      <c r="A389" s="62"/>
      <c r="B389" s="106"/>
      <c r="C389" s="106"/>
      <c r="H389" s="62"/>
      <c r="I389" s="62"/>
      <c r="J389" s="62"/>
      <c r="K389" s="62"/>
      <c r="L389" s="62"/>
    </row>
    <row r="390" spans="1:28" x14ac:dyDescent="0.3">
      <c r="A390" s="32" t="s">
        <v>374</v>
      </c>
      <c r="B390" s="106"/>
      <c r="C390" s="106"/>
      <c r="D390" s="19" t="s">
        <v>393</v>
      </c>
      <c r="E390" s="62"/>
      <c r="F390" s="62"/>
      <c r="G390" s="62"/>
      <c r="I390" s="62"/>
      <c r="J390" s="62"/>
      <c r="K390" s="62"/>
      <c r="L390" s="62"/>
    </row>
    <row r="391" spans="1:28" x14ac:dyDescent="0.3">
      <c r="A391" s="25" t="s">
        <v>375</v>
      </c>
      <c r="B391" s="106">
        <v>9.75</v>
      </c>
      <c r="C391" s="106">
        <v>11.25</v>
      </c>
      <c r="D391" s="106">
        <v>8.75</v>
      </c>
      <c r="E391" s="62"/>
      <c r="F391" s="62"/>
      <c r="G391" s="62"/>
      <c r="I391" s="62"/>
      <c r="J391" s="62"/>
      <c r="K391" s="62"/>
      <c r="L391" s="62"/>
    </row>
    <row r="392" spans="1:28" x14ac:dyDescent="0.3">
      <c r="A392" s="25" t="s">
        <v>376</v>
      </c>
      <c r="B392" s="106">
        <v>5</v>
      </c>
      <c r="C392" s="106">
        <f>5+15/40</f>
        <v>5.375</v>
      </c>
      <c r="D392" s="106">
        <v>2.5</v>
      </c>
      <c r="E392" s="62"/>
      <c r="F392" s="62"/>
      <c r="G392" s="62"/>
      <c r="I392" s="62"/>
      <c r="J392" s="62"/>
      <c r="K392" s="62"/>
      <c r="L392" s="62"/>
    </row>
    <row r="393" spans="1:28" x14ac:dyDescent="0.3">
      <c r="A393" s="25" t="s">
        <v>394</v>
      </c>
      <c r="B393" s="106">
        <v>2.25</v>
      </c>
      <c r="C393" s="106">
        <f>2+16/40</f>
        <v>2.4</v>
      </c>
      <c r="D393" s="106">
        <v>1.75</v>
      </c>
      <c r="E393" s="62"/>
      <c r="F393" s="62"/>
      <c r="G393" s="62"/>
      <c r="I393" s="62"/>
      <c r="J393" s="62"/>
      <c r="K393" s="62"/>
      <c r="L393" s="62"/>
    </row>
    <row r="394" spans="1:28" x14ac:dyDescent="0.3">
      <c r="A394" s="25"/>
      <c r="B394" s="62"/>
      <c r="C394" s="62"/>
      <c r="D394" s="62"/>
      <c r="E394" s="62"/>
      <c r="F394" s="62"/>
      <c r="G394" s="62"/>
      <c r="H394" s="62"/>
      <c r="I394" s="62"/>
      <c r="J394" s="62"/>
      <c r="K394" s="62"/>
      <c r="L394" s="62"/>
    </row>
    <row r="395" spans="1:28" x14ac:dyDescent="0.3">
      <c r="A395" s="25"/>
      <c r="B395" s="62"/>
      <c r="C395" s="62"/>
      <c r="D395" s="62"/>
      <c r="E395" s="62"/>
      <c r="F395" s="62"/>
      <c r="G395" s="62"/>
      <c r="H395" s="62"/>
      <c r="I395" s="62"/>
      <c r="J395" s="62"/>
      <c r="K395" s="62"/>
      <c r="L395" s="62"/>
    </row>
    <row r="396" spans="1:28" x14ac:dyDescent="0.3">
      <c r="A396" s="25"/>
      <c r="B396" s="62"/>
      <c r="C396" s="62"/>
      <c r="D396" s="62"/>
      <c r="E396" s="62"/>
      <c r="F396" s="62"/>
      <c r="G396" s="62"/>
      <c r="H396" s="62"/>
      <c r="I396" s="62"/>
      <c r="J396" s="62"/>
      <c r="K396" s="62"/>
      <c r="L396" s="62"/>
    </row>
    <row r="397" spans="1:28" s="19" customFormat="1" x14ac:dyDescent="0.3">
      <c r="A397" s="215" t="s">
        <v>395</v>
      </c>
      <c r="B397" s="215"/>
      <c r="C397" s="215"/>
    </row>
    <row r="398" spans="1:28" s="19" customFormat="1" x14ac:dyDescent="0.3">
      <c r="A398" s="99"/>
      <c r="B398" s="99"/>
      <c r="C398" s="99"/>
    </row>
    <row r="399" spans="1:28" s="21" customFormat="1" ht="14.4" customHeight="1" x14ac:dyDescent="0.3">
      <c r="A399" s="216" t="s">
        <v>396</v>
      </c>
      <c r="B399" s="216"/>
      <c r="C399" s="216"/>
      <c r="D399" s="216"/>
      <c r="E399" s="216"/>
      <c r="F399" s="216"/>
      <c r="G399" s="216"/>
      <c r="H399" s="216"/>
      <c r="I399" s="216"/>
      <c r="J399" s="216"/>
      <c r="K399" s="216"/>
      <c r="L399" s="216"/>
      <c r="M399" s="216"/>
      <c r="N399" s="216"/>
      <c r="O399" s="216"/>
      <c r="P399" s="216"/>
      <c r="Q399" s="216"/>
      <c r="R399" s="216"/>
      <c r="S399" s="216"/>
      <c r="T399" s="216"/>
      <c r="U399" s="216"/>
      <c r="V399" s="216"/>
      <c r="W399" s="216"/>
      <c r="X399" s="216"/>
      <c r="Y399" s="216"/>
      <c r="Z399" s="216"/>
      <c r="AA399" s="216"/>
      <c r="AB399" s="216"/>
    </row>
    <row r="400" spans="1:28" x14ac:dyDescent="0.3">
      <c r="A400" s="216"/>
      <c r="B400" s="216"/>
      <c r="C400" s="216"/>
      <c r="D400" s="216"/>
      <c r="E400" s="216"/>
      <c r="F400" s="216"/>
      <c r="G400" s="216"/>
      <c r="H400" s="216"/>
      <c r="I400" s="216"/>
      <c r="J400" s="216"/>
      <c r="K400" s="216"/>
      <c r="L400" s="216"/>
      <c r="M400" s="216"/>
      <c r="N400" s="216"/>
      <c r="O400" s="216"/>
      <c r="P400" s="216"/>
      <c r="Q400" s="216"/>
      <c r="R400" s="216"/>
      <c r="S400" s="216"/>
      <c r="T400" s="216"/>
      <c r="U400" s="216"/>
      <c r="V400" s="216"/>
      <c r="W400" s="216"/>
      <c r="X400" s="216"/>
      <c r="Y400" s="216"/>
      <c r="Z400" s="216"/>
      <c r="AA400" s="216"/>
      <c r="AB400" s="216"/>
    </row>
    <row r="401" spans="1:28" x14ac:dyDescent="0.3">
      <c r="A401" s="216"/>
      <c r="B401" s="216"/>
      <c r="C401" s="216"/>
      <c r="D401" s="216"/>
      <c r="E401" s="216"/>
      <c r="F401" s="216"/>
      <c r="G401" s="216"/>
      <c r="H401" s="216"/>
      <c r="I401" s="216"/>
      <c r="J401" s="216"/>
      <c r="K401" s="216"/>
      <c r="L401" s="216"/>
      <c r="M401" s="216"/>
      <c r="N401" s="216"/>
      <c r="O401" s="216"/>
      <c r="P401" s="216"/>
      <c r="Q401" s="216"/>
      <c r="R401" s="216"/>
      <c r="S401" s="216"/>
      <c r="T401" s="216"/>
      <c r="U401" s="216"/>
      <c r="V401" s="216"/>
      <c r="W401" s="216"/>
      <c r="X401" s="216"/>
      <c r="Y401" s="216"/>
      <c r="Z401" s="216"/>
      <c r="AA401" s="216"/>
      <c r="AB401" s="216"/>
    </row>
    <row r="402" spans="1:28" x14ac:dyDescent="0.3">
      <c r="A402" s="216"/>
      <c r="B402" s="216"/>
      <c r="C402" s="216"/>
      <c r="D402" s="216"/>
      <c r="E402" s="216"/>
      <c r="F402" s="216"/>
      <c r="G402" s="216"/>
      <c r="H402" s="216"/>
      <c r="I402" s="216"/>
      <c r="J402" s="216"/>
      <c r="K402" s="216"/>
      <c r="L402" s="216"/>
      <c r="M402" s="216"/>
      <c r="N402" s="216"/>
      <c r="O402" s="216"/>
      <c r="P402" s="216"/>
      <c r="Q402" s="216"/>
      <c r="R402" s="216"/>
      <c r="S402" s="216"/>
      <c r="T402" s="216"/>
      <c r="U402" s="216"/>
      <c r="V402" s="216"/>
      <c r="W402" s="216"/>
      <c r="X402" s="216"/>
      <c r="Y402" s="216"/>
      <c r="Z402" s="216"/>
      <c r="AA402" s="216"/>
      <c r="AB402" s="216"/>
    </row>
    <row r="403" spans="1:28" x14ac:dyDescent="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sheetData>
  <mergeCells count="40">
    <mergeCell ref="A397:C397"/>
    <mergeCell ref="A399:AB402"/>
    <mergeCell ref="C232:H232"/>
    <mergeCell ref="B233:H233"/>
    <mergeCell ref="A308:C308"/>
    <mergeCell ref="B325:F325"/>
    <mergeCell ref="B326:C326"/>
    <mergeCell ref="D326:E326"/>
    <mergeCell ref="A360:C360"/>
    <mergeCell ref="B364:B365"/>
    <mergeCell ref="C364:C365"/>
    <mergeCell ref="A306:F306"/>
    <mergeCell ref="AY233:BE233"/>
    <mergeCell ref="BF233:BL233"/>
    <mergeCell ref="BM233:BS233"/>
    <mergeCell ref="BT233:BZ233"/>
    <mergeCell ref="A293:F293"/>
    <mergeCell ref="I233:O233"/>
    <mergeCell ref="P233:V233"/>
    <mergeCell ref="W233:AC233"/>
    <mergeCell ref="AD233:AJ233"/>
    <mergeCell ref="AK233:AQ233"/>
    <mergeCell ref="AR233:AX233"/>
    <mergeCell ref="BU232:BZ232"/>
    <mergeCell ref="O185:R185"/>
    <mergeCell ref="P186:Q186"/>
    <mergeCell ref="J232:O232"/>
    <mergeCell ref="Q232:V232"/>
    <mergeCell ref="X232:AC232"/>
    <mergeCell ref="AE232:AJ232"/>
    <mergeCell ref="AL232:AQ232"/>
    <mergeCell ref="AS232:AX232"/>
    <mergeCell ref="AZ232:BE232"/>
    <mergeCell ref="BG232:BL232"/>
    <mergeCell ref="BN232:BS232"/>
    <mergeCell ref="B156:Z156"/>
    <mergeCell ref="B157:H157"/>
    <mergeCell ref="I157:N157"/>
    <mergeCell ref="O157:T157"/>
    <mergeCell ref="U157:Z15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Commodities</vt:lpstr>
      <vt:lpstr>Currencies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2018-11-11T20:26:11Z</dcterms:modified>
</cp:coreProperties>
</file>