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3040" windowHeight="9396" tabRatio="800"/>
  </bookViews>
  <sheets>
    <sheet name="Intro" sheetId="31" r:id="rId1"/>
    <sheet name="Shiraz - Prices (Imports)" sheetId="24" r:id="rId2"/>
    <sheet name="Shiraz - Prices (Exports)" sheetId="25" r:id="rId3"/>
    <sheet name="Imports - Data (Raw &amp; Adjusted)" sheetId="28" r:id="rId4"/>
    <sheet name="Exports - Data (Raw &amp; Adjusted)" sheetId="29" r:id="rId5"/>
    <sheet name="Imports - Data (Raw)" sheetId="1" r:id="rId6"/>
    <sheet name="Exports - Data (Raw)" sheetId="20" r:id="rId7"/>
    <sheet name="Color Legend" sheetId="32" r:id="rId8"/>
  </sheets>
  <calcPr calcId="152511"/>
</workbook>
</file>

<file path=xl/calcChain.xml><?xml version="1.0" encoding="utf-8"?>
<calcChain xmlns="http://schemas.openxmlformats.org/spreadsheetml/2006/main">
  <c r="Z25" i="28" l="1"/>
  <c r="AA25" i="29" l="1"/>
  <c r="BF25" i="28" l="1"/>
  <c r="BH23" i="28"/>
  <c r="BF23" i="28"/>
  <c r="BB23" i="28"/>
  <c r="BF15" i="28"/>
  <c r="X15" i="28"/>
  <c r="AE4" i="29" l="1"/>
  <c r="AA4" i="29"/>
  <c r="X4" i="29"/>
  <c r="AO36" i="29"/>
  <c r="AO35" i="29"/>
  <c r="AO34" i="29"/>
  <c r="AO33" i="29"/>
  <c r="AO32" i="29"/>
  <c r="AO31" i="29"/>
  <c r="AO30" i="29"/>
  <c r="AO29" i="29"/>
  <c r="AO28" i="29"/>
  <c r="AO27" i="29"/>
  <c r="AO26" i="29"/>
  <c r="AO25" i="29"/>
  <c r="AO24" i="29"/>
  <c r="AO23" i="29"/>
  <c r="AO22" i="29"/>
  <c r="AO21" i="29"/>
  <c r="AO20" i="29"/>
  <c r="AO19" i="29"/>
  <c r="AO18" i="29"/>
  <c r="AO17" i="29"/>
  <c r="AO16" i="29"/>
  <c r="AO15" i="29"/>
  <c r="AO14" i="29"/>
  <c r="AO13" i="29"/>
  <c r="AO12" i="29"/>
  <c r="AO11" i="29"/>
  <c r="AO10" i="29"/>
  <c r="AO9" i="29"/>
  <c r="AO8" i="29"/>
  <c r="AO7" i="29"/>
  <c r="AO6" i="29"/>
  <c r="AO5" i="29"/>
  <c r="AO4" i="29"/>
  <c r="AK36" i="29"/>
  <c r="AK35" i="29"/>
  <c r="AK34" i="29"/>
  <c r="AK33" i="29"/>
  <c r="AK32" i="29"/>
  <c r="AK31" i="29"/>
  <c r="AK30" i="29"/>
  <c r="AK29" i="29"/>
  <c r="AK28" i="29"/>
  <c r="AK27" i="29"/>
  <c r="AK26" i="29"/>
  <c r="AK25" i="29"/>
  <c r="AK24" i="29"/>
  <c r="AK23" i="29"/>
  <c r="AK22" i="29"/>
  <c r="AK21" i="29"/>
  <c r="AK20" i="29"/>
  <c r="AK19" i="29"/>
  <c r="AK18" i="29"/>
  <c r="AK17" i="29"/>
  <c r="AK16" i="29"/>
  <c r="AK15" i="29"/>
  <c r="AK14" i="29"/>
  <c r="AK13" i="29"/>
  <c r="AK12" i="29"/>
  <c r="AK11" i="29"/>
  <c r="AK10" i="29"/>
  <c r="AK9" i="29"/>
  <c r="AK8" i="29"/>
  <c r="AK7" i="29"/>
  <c r="AK6" i="29"/>
  <c r="AK5" i="29"/>
  <c r="AK4" i="29"/>
  <c r="AG5" i="29"/>
  <c r="AG6" i="29"/>
  <c r="AG7" i="29"/>
  <c r="AG8" i="29"/>
  <c r="AG9" i="29"/>
  <c r="AG10" i="29"/>
  <c r="AG11" i="29"/>
  <c r="AG12" i="29"/>
  <c r="AG13" i="29"/>
  <c r="AG14" i="29"/>
  <c r="AG15" i="29"/>
  <c r="AG16" i="29"/>
  <c r="AG17" i="29"/>
  <c r="AG18" i="29"/>
  <c r="AG19" i="29"/>
  <c r="AG20" i="29"/>
  <c r="AG21" i="29"/>
  <c r="AG22" i="29"/>
  <c r="AG23" i="29"/>
  <c r="AG24" i="29"/>
  <c r="AG25" i="29"/>
  <c r="AG26" i="29"/>
  <c r="AG27" i="29"/>
  <c r="AG28" i="29"/>
  <c r="AG29" i="29"/>
  <c r="AG30" i="29"/>
  <c r="AG31" i="29"/>
  <c r="AG32" i="29"/>
  <c r="AG33" i="29"/>
  <c r="AG34" i="29"/>
  <c r="AG35" i="29"/>
  <c r="AG36" i="29"/>
  <c r="AG4" i="29"/>
  <c r="AC4" i="29"/>
  <c r="AI35" i="29"/>
  <c r="AE35" i="29"/>
  <c r="T35" i="29"/>
  <c r="AM35" i="29"/>
  <c r="AQ35" i="29"/>
  <c r="AE32" i="29"/>
  <c r="AQ32" i="29"/>
  <c r="AE31" i="29"/>
  <c r="AI31" i="29"/>
  <c r="AM31" i="29"/>
  <c r="AQ31" i="29"/>
  <c r="AE25" i="29"/>
  <c r="AI25" i="29"/>
  <c r="AM25" i="29"/>
  <c r="AQ25" i="29"/>
  <c r="AI19" i="29"/>
  <c r="AM19" i="29"/>
  <c r="AQ19" i="29"/>
  <c r="AE19" i="29"/>
  <c r="AE18" i="29"/>
  <c r="AM10" i="29"/>
  <c r="AI10" i="29"/>
  <c r="AE10" i="29"/>
  <c r="X10" i="29"/>
  <c r="BI5" i="29"/>
  <c r="BI6" i="29"/>
  <c r="BI7" i="29"/>
  <c r="BI8" i="29"/>
  <c r="BI9" i="29"/>
  <c r="BI10" i="29"/>
  <c r="BI11" i="29"/>
  <c r="BI12" i="29"/>
  <c r="BI13" i="29"/>
  <c r="BI14" i="29"/>
  <c r="BI15" i="29"/>
  <c r="BI16" i="29"/>
  <c r="BI17" i="29"/>
  <c r="BI18" i="29"/>
  <c r="BI19" i="29"/>
  <c r="BI20" i="29"/>
  <c r="BI21" i="29"/>
  <c r="BI22" i="29"/>
  <c r="BI23" i="29"/>
  <c r="BI24" i="29"/>
  <c r="BI25" i="29"/>
  <c r="BI26" i="29"/>
  <c r="BI27" i="29"/>
  <c r="BI28" i="29"/>
  <c r="BI29" i="29"/>
  <c r="BI30" i="29"/>
  <c r="BI31" i="29"/>
  <c r="BI32" i="29"/>
  <c r="BI33" i="29"/>
  <c r="BI34" i="29"/>
  <c r="BI35" i="29"/>
  <c r="BI36" i="29"/>
  <c r="BI37" i="29"/>
  <c r="BI4" i="29"/>
  <c r="BE4" i="29"/>
  <c r="BG28" i="29"/>
  <c r="BG10" i="29"/>
  <c r="BC10" i="29"/>
  <c r="AN47" i="28"/>
  <c r="AN46" i="28"/>
  <c r="AN45" i="28"/>
  <c r="AN44" i="28"/>
  <c r="AN43" i="28"/>
  <c r="AN42" i="28"/>
  <c r="AN41" i="28"/>
  <c r="AN40" i="28"/>
  <c r="AN39" i="28"/>
  <c r="AN38" i="28"/>
  <c r="AN37" i="28"/>
  <c r="AN36" i="28"/>
  <c r="AN35" i="28"/>
  <c r="AN34" i="28"/>
  <c r="AN33" i="28"/>
  <c r="AN32" i="28"/>
  <c r="AN31" i="28"/>
  <c r="AN30" i="28"/>
  <c r="AN29" i="28"/>
  <c r="AN28" i="28"/>
  <c r="AN27" i="28"/>
  <c r="AN26" i="28"/>
  <c r="AN25" i="28"/>
  <c r="AN24" i="28"/>
  <c r="AN23" i="28"/>
  <c r="AN22" i="28"/>
  <c r="AN21" i="28"/>
  <c r="AN20" i="28"/>
  <c r="AN19" i="28"/>
  <c r="AN18" i="28"/>
  <c r="AN17" i="28"/>
  <c r="AN16" i="28"/>
  <c r="AN15" i="28"/>
  <c r="AN14" i="28"/>
  <c r="AN13" i="28"/>
  <c r="AN12" i="28"/>
  <c r="AN11" i="28"/>
  <c r="AN10" i="28"/>
  <c r="AN9" i="28"/>
  <c r="AN8" i="28"/>
  <c r="AN7" i="28"/>
  <c r="AN6" i="28"/>
  <c r="AN5" i="28"/>
  <c r="AN4" i="28"/>
  <c r="AK47" i="28"/>
  <c r="AK46" i="28"/>
  <c r="AK45" i="28"/>
  <c r="AK44" i="28"/>
  <c r="AK43" i="28"/>
  <c r="AK42" i="28"/>
  <c r="AK41" i="28"/>
  <c r="AK40" i="28"/>
  <c r="AK39" i="28"/>
  <c r="AK38" i="28"/>
  <c r="AK37" i="28"/>
  <c r="AK36" i="28"/>
  <c r="AK35" i="28"/>
  <c r="AK34" i="28"/>
  <c r="AK33" i="28"/>
  <c r="AK32" i="28"/>
  <c r="AK31" i="28"/>
  <c r="AK30" i="28"/>
  <c r="AK29" i="28"/>
  <c r="AK28" i="28"/>
  <c r="AK27" i="28"/>
  <c r="AK26" i="28"/>
  <c r="AK25" i="28"/>
  <c r="AK24" i="28"/>
  <c r="AK23" i="28"/>
  <c r="AK22" i="28"/>
  <c r="AK21" i="28"/>
  <c r="AK20" i="28"/>
  <c r="AK19" i="28"/>
  <c r="AK18" i="28"/>
  <c r="AK17" i="28"/>
  <c r="AK16" i="28"/>
  <c r="AK15" i="28"/>
  <c r="AK14" i="28"/>
  <c r="AK13" i="28"/>
  <c r="AK12" i="28"/>
  <c r="AK11" i="28"/>
  <c r="AK10" i="28"/>
  <c r="AK9" i="28"/>
  <c r="AK8" i="28"/>
  <c r="AK7" i="28"/>
  <c r="AK6" i="28"/>
  <c r="AK5" i="28"/>
  <c r="AK4" i="28"/>
  <c r="AG47" i="28"/>
  <c r="AG46" i="28"/>
  <c r="AG45" i="28"/>
  <c r="AG44" i="28"/>
  <c r="AG43" i="28"/>
  <c r="AG42" i="28"/>
  <c r="AG41" i="28"/>
  <c r="AG40" i="28"/>
  <c r="AG39" i="28"/>
  <c r="AG38" i="28"/>
  <c r="AG37" i="28"/>
  <c r="AG36" i="28"/>
  <c r="AG35" i="28"/>
  <c r="AG34" i="28"/>
  <c r="AG33" i="28"/>
  <c r="AG32" i="28"/>
  <c r="AG31" i="28"/>
  <c r="AG30" i="28"/>
  <c r="AG29" i="28"/>
  <c r="AG28" i="28"/>
  <c r="AG27" i="28"/>
  <c r="AG26" i="28"/>
  <c r="AG25" i="28"/>
  <c r="AG24" i="28"/>
  <c r="AG23" i="28"/>
  <c r="AG22" i="28"/>
  <c r="AG21" i="28"/>
  <c r="AG20" i="28"/>
  <c r="AG19" i="28"/>
  <c r="AG18" i="28"/>
  <c r="AG17" i="28"/>
  <c r="AG16" i="28"/>
  <c r="AG15" i="28"/>
  <c r="AG14" i="28"/>
  <c r="AG13" i="28"/>
  <c r="AG12" i="28"/>
  <c r="AG11" i="28"/>
  <c r="AG10" i="28"/>
  <c r="AG9" i="28"/>
  <c r="AG8" i="28"/>
  <c r="AG7" i="28"/>
  <c r="AG6" i="28"/>
  <c r="AG5" i="28"/>
  <c r="AG4" i="28"/>
  <c r="BH4" i="28"/>
  <c r="BH5" i="28"/>
  <c r="BH6" i="28"/>
  <c r="BH7" i="28"/>
  <c r="BH8" i="28"/>
  <c r="BH9" i="28"/>
  <c r="BH10" i="28"/>
  <c r="BH11" i="28"/>
  <c r="BH12" i="28"/>
  <c r="BH13" i="28"/>
  <c r="BH14" i="28"/>
  <c r="BH15" i="28"/>
  <c r="BH17" i="28"/>
  <c r="BH18" i="28"/>
  <c r="BH19" i="28"/>
  <c r="BH20" i="28"/>
  <c r="BH21" i="28"/>
  <c r="BH22" i="28"/>
  <c r="BH24" i="28"/>
  <c r="BH25" i="28"/>
  <c r="BH26" i="28"/>
  <c r="BH27" i="28"/>
  <c r="BH28" i="28"/>
  <c r="BH29" i="28"/>
  <c r="BH30" i="28"/>
  <c r="BH31" i="28"/>
  <c r="BH32" i="28"/>
  <c r="BH33" i="28"/>
  <c r="BH34" i="28"/>
  <c r="BH35" i="28"/>
  <c r="BH36" i="28"/>
  <c r="BH37" i="28"/>
  <c r="BH38" i="28"/>
  <c r="BH39" i="28"/>
  <c r="BH40" i="28"/>
  <c r="BH41" i="28"/>
  <c r="BH42" i="28"/>
  <c r="BH43" i="28"/>
  <c r="BH44" i="28"/>
  <c r="BH45" i="28"/>
  <c r="BH46" i="28"/>
  <c r="BH47" i="28"/>
  <c r="BH16" i="28"/>
  <c r="BF47" i="28"/>
  <c r="BB47" i="28"/>
  <c r="BF46" i="28"/>
  <c r="BB46" i="28"/>
  <c r="BF44" i="28"/>
  <c r="BB44" i="28"/>
  <c r="BF39" i="28"/>
  <c r="BB39" i="28"/>
  <c r="BF38" i="28"/>
  <c r="BF37" i="28"/>
  <c r="BB37" i="28"/>
  <c r="BB15" i="28"/>
  <c r="BF19" i="28"/>
  <c r="BB19" i="28"/>
  <c r="BB25" i="28"/>
  <c r="AL47" i="28" l="1"/>
  <c r="AP47" i="28"/>
  <c r="AE46" i="28"/>
  <c r="AI46" i="28"/>
  <c r="AL46" i="28"/>
  <c r="AP46" i="28"/>
  <c r="AE44" i="28"/>
  <c r="AI44" i="28"/>
  <c r="AL44" i="28"/>
  <c r="AP44" i="28"/>
  <c r="AL39" i="28"/>
  <c r="AI39" i="28"/>
  <c r="AE39" i="28"/>
  <c r="AP39" i="28"/>
  <c r="AP38" i="28"/>
  <c r="AL38" i="28"/>
  <c r="AE38" i="28"/>
  <c r="AP37" i="28"/>
  <c r="AE37" i="28"/>
  <c r="AL32" i="28"/>
  <c r="AI32" i="28"/>
  <c r="AE25" i="28"/>
  <c r="AI25" i="28"/>
  <c r="AL25" i="28"/>
  <c r="AP25" i="28"/>
  <c r="AE23" i="28"/>
  <c r="AI23" i="28"/>
  <c r="AP23" i="28"/>
  <c r="AL23" i="28"/>
  <c r="AE19" i="28"/>
  <c r="AI19" i="28"/>
  <c r="AL19" i="28"/>
  <c r="AP19" i="28"/>
  <c r="AL15" i="28"/>
  <c r="AI15" i="28"/>
  <c r="AE15" i="28"/>
  <c r="AP15" i="28"/>
  <c r="AI4" i="28"/>
  <c r="AE4" i="28"/>
  <c r="AL4" i="28"/>
  <c r="AP4" i="28"/>
  <c r="AA32" i="28" l="1"/>
  <c r="BD5" i="28"/>
  <c r="BD6" i="28"/>
  <c r="BD7" i="28"/>
  <c r="BD8" i="28"/>
  <c r="BD9" i="28"/>
  <c r="BD10" i="28"/>
  <c r="BD11" i="28"/>
  <c r="BD12" i="28"/>
  <c r="BD13" i="28"/>
  <c r="BD14" i="28"/>
  <c r="BD16" i="28"/>
  <c r="BD17" i="28"/>
  <c r="BD18" i="28"/>
  <c r="BD20" i="28"/>
  <c r="BD21" i="28"/>
  <c r="BD22" i="28"/>
  <c r="BD24" i="28"/>
  <c r="BD26" i="28"/>
  <c r="BD27" i="28"/>
  <c r="BD28" i="28"/>
  <c r="BD29" i="28"/>
  <c r="BD30" i="28"/>
  <c r="BD31" i="28"/>
  <c r="BD32" i="28"/>
  <c r="BD33" i="28"/>
  <c r="BD34" i="28"/>
  <c r="BD35" i="28"/>
  <c r="BD36" i="28"/>
  <c r="BD40" i="28"/>
  <c r="BD41" i="28"/>
  <c r="BD42" i="28"/>
  <c r="BD43" i="28"/>
  <c r="BD45" i="28"/>
  <c r="AZ5" i="28"/>
  <c r="AZ6" i="28"/>
  <c r="AZ7" i="28"/>
  <c r="AZ8" i="28"/>
  <c r="AZ9" i="28"/>
  <c r="AZ10" i="28"/>
  <c r="AZ11" i="28"/>
  <c r="AZ12" i="28"/>
  <c r="AZ13" i="28"/>
  <c r="AZ14" i="28"/>
  <c r="AZ16" i="28"/>
  <c r="AZ17" i="28"/>
  <c r="AZ18" i="28"/>
  <c r="AZ20" i="28"/>
  <c r="AZ21" i="28"/>
  <c r="AZ22" i="28"/>
  <c r="AZ24" i="28"/>
  <c r="AZ26" i="28"/>
  <c r="AZ27" i="28"/>
  <c r="AZ28" i="28"/>
  <c r="AZ29" i="28"/>
  <c r="AZ30" i="28"/>
  <c r="AZ31" i="28"/>
  <c r="AZ32" i="28"/>
  <c r="AZ33" i="28"/>
  <c r="AZ34" i="28"/>
  <c r="AZ35" i="28"/>
  <c r="AZ36" i="28"/>
  <c r="AZ40" i="28"/>
  <c r="AZ41" i="28"/>
  <c r="AZ42" i="28"/>
  <c r="AZ43" i="28"/>
  <c r="AZ45" i="28"/>
  <c r="AV5" i="28"/>
  <c r="AV6" i="28"/>
  <c r="AV7" i="28"/>
  <c r="AV8" i="28"/>
  <c r="AV9" i="28"/>
  <c r="AV10" i="28"/>
  <c r="AV11" i="28"/>
  <c r="AV12" i="28"/>
  <c r="AV13" i="28"/>
  <c r="AV14" i="28"/>
  <c r="AV16" i="28"/>
  <c r="AV17" i="28"/>
  <c r="AV18" i="28"/>
  <c r="AV20" i="28"/>
  <c r="AV21" i="28"/>
  <c r="AV22" i="28"/>
  <c r="AV24" i="28"/>
  <c r="AV26" i="28"/>
  <c r="AV27" i="28"/>
  <c r="AV28" i="28"/>
  <c r="AV29" i="28"/>
  <c r="AV30" i="28"/>
  <c r="AV31" i="28"/>
  <c r="AV32" i="28"/>
  <c r="AV33" i="28"/>
  <c r="AV34" i="28"/>
  <c r="AV35" i="28"/>
  <c r="AV36" i="28"/>
  <c r="AV40" i="28"/>
  <c r="AV41" i="28"/>
  <c r="AV42" i="28"/>
  <c r="AV43" i="28"/>
  <c r="AV45" i="28"/>
  <c r="AR5" i="28"/>
  <c r="AR6" i="28"/>
  <c r="AR7" i="28"/>
  <c r="AR8" i="28"/>
  <c r="AR9" i="28"/>
  <c r="AR10" i="28"/>
  <c r="AR11" i="28"/>
  <c r="AR12" i="28"/>
  <c r="AR13" i="28"/>
  <c r="AR14" i="28"/>
  <c r="AR16" i="28"/>
  <c r="AR17" i="28"/>
  <c r="AR18" i="28"/>
  <c r="AR20" i="28"/>
  <c r="AR21" i="28"/>
  <c r="AR22" i="28"/>
  <c r="AR24" i="28"/>
  <c r="AR26" i="28"/>
  <c r="AR27" i="28"/>
  <c r="AR28" i="28"/>
  <c r="AR29" i="28"/>
  <c r="AR30" i="28"/>
  <c r="AR31" i="28"/>
  <c r="AR32" i="28"/>
  <c r="AR33" i="28"/>
  <c r="AR34" i="28"/>
  <c r="AR35" i="28"/>
  <c r="AR36" i="28"/>
  <c r="AR40" i="28"/>
  <c r="AR41" i="28"/>
  <c r="AR42" i="28"/>
  <c r="AR43" i="28"/>
  <c r="AR45" i="28"/>
  <c r="BD4" i="28"/>
  <c r="AZ4" i="28"/>
  <c r="AC6" i="29"/>
  <c r="AC7" i="29"/>
  <c r="AC8" i="29"/>
  <c r="AC10" i="29"/>
  <c r="AC12" i="29"/>
  <c r="AC13" i="29"/>
  <c r="AC14" i="29"/>
  <c r="AC15" i="29"/>
  <c r="AC16" i="29"/>
  <c r="AC17" i="29"/>
  <c r="AC18" i="29"/>
  <c r="AC20" i="29"/>
  <c r="AC21" i="29"/>
  <c r="AC22" i="29"/>
  <c r="AC23" i="29"/>
  <c r="AC24" i="29"/>
  <c r="AC26" i="29"/>
  <c r="AC27" i="29"/>
  <c r="AC28" i="29"/>
  <c r="AC29" i="29"/>
  <c r="AC30" i="29"/>
  <c r="AC31" i="29"/>
  <c r="AC33" i="29"/>
  <c r="AC36" i="29"/>
  <c r="Z6" i="29"/>
  <c r="Z7" i="29"/>
  <c r="Z8" i="29"/>
  <c r="Z9" i="29"/>
  <c r="Z12" i="29"/>
  <c r="Z13" i="29"/>
  <c r="Z14" i="29"/>
  <c r="Z15" i="29"/>
  <c r="Z16" i="29"/>
  <c r="Z17" i="29"/>
  <c r="Z18" i="29"/>
  <c r="Z20" i="29"/>
  <c r="Z21" i="29"/>
  <c r="Z22" i="29"/>
  <c r="Z23" i="29"/>
  <c r="Z24" i="29"/>
  <c r="Z26" i="29"/>
  <c r="Z27" i="29"/>
  <c r="Z28" i="29"/>
  <c r="Z30" i="29"/>
  <c r="Z31" i="29"/>
  <c r="Z33" i="29"/>
  <c r="Z34" i="29"/>
  <c r="Z35" i="29"/>
  <c r="Z36" i="29"/>
  <c r="AC5" i="28"/>
  <c r="AC6" i="28"/>
  <c r="AC7" i="28"/>
  <c r="AC8" i="28"/>
  <c r="AC9" i="28"/>
  <c r="AC10" i="28"/>
  <c r="AC11" i="28"/>
  <c r="AC12" i="28"/>
  <c r="AC13" i="28"/>
  <c r="AC14" i="28"/>
  <c r="AC16" i="28"/>
  <c r="AC17" i="28"/>
  <c r="AC18" i="28"/>
  <c r="AC20" i="28"/>
  <c r="AC21" i="28"/>
  <c r="AC22" i="28"/>
  <c r="AC24" i="28"/>
  <c r="AC26" i="28"/>
  <c r="AC27" i="28"/>
  <c r="AC28" i="28"/>
  <c r="AC29" i="28"/>
  <c r="AC30" i="28"/>
  <c r="AC31" i="28"/>
  <c r="AC33" i="28"/>
  <c r="AC34" i="28"/>
  <c r="AC35" i="28"/>
  <c r="AC36" i="28"/>
  <c r="AC39" i="28"/>
  <c r="AC45" i="28"/>
  <c r="AC46" i="28"/>
  <c r="AC47" i="28"/>
  <c r="Z5" i="28"/>
  <c r="Z6" i="28"/>
  <c r="Z7" i="28"/>
  <c r="Z8" i="28"/>
  <c r="Z9" i="28"/>
  <c r="Z10" i="28"/>
  <c r="Z11" i="28"/>
  <c r="Z12" i="28"/>
  <c r="Z13" i="28"/>
  <c r="Z14" i="28"/>
  <c r="Z16" i="28"/>
  <c r="Z17" i="28"/>
  <c r="Z18" i="28"/>
  <c r="Z20" i="28"/>
  <c r="Z21" i="28"/>
  <c r="Z22" i="28"/>
  <c r="Z24" i="28"/>
  <c r="Z26" i="28"/>
  <c r="Z27" i="28"/>
  <c r="Z28" i="28"/>
  <c r="Z29" i="28"/>
  <c r="Z30" i="28"/>
  <c r="Z31" i="28"/>
  <c r="Z32" i="28"/>
  <c r="Z33" i="28"/>
  <c r="Z34" i="28"/>
  <c r="Z35" i="28"/>
  <c r="Z36" i="28"/>
  <c r="Z39" i="28"/>
  <c r="Z41" i="28"/>
  <c r="Z42" i="28"/>
  <c r="Z45" i="28"/>
  <c r="V5" i="28"/>
  <c r="V6" i="28"/>
  <c r="V7" i="28"/>
  <c r="V8" i="28"/>
  <c r="V9" i="28"/>
  <c r="V10" i="28"/>
  <c r="V11" i="28"/>
  <c r="V12" i="28"/>
  <c r="V13" i="28"/>
  <c r="V14" i="28"/>
  <c r="V16" i="28"/>
  <c r="V17" i="28"/>
  <c r="V18" i="28"/>
  <c r="V20" i="28"/>
  <c r="V21" i="28"/>
  <c r="V22" i="28"/>
  <c r="V24" i="28"/>
  <c r="V26" i="28"/>
  <c r="V27" i="28"/>
  <c r="V28" i="28"/>
  <c r="V29" i="28"/>
  <c r="V30" i="28"/>
  <c r="V31" i="28"/>
  <c r="V32" i="28"/>
  <c r="V33" i="28"/>
  <c r="V34" i="28"/>
  <c r="V35" i="28"/>
  <c r="V36" i="28"/>
  <c r="V40" i="28"/>
  <c r="V41" i="28"/>
  <c r="V42" i="28"/>
  <c r="V43" i="28"/>
  <c r="V45" i="28"/>
  <c r="V46" i="28"/>
  <c r="V47" i="28"/>
  <c r="V4" i="28"/>
  <c r="R5" i="28"/>
  <c r="R6" i="28"/>
  <c r="R7" i="28"/>
  <c r="R8" i="28"/>
  <c r="R9" i="28"/>
  <c r="R10" i="28"/>
  <c r="R11" i="28"/>
  <c r="R12" i="28"/>
  <c r="R13" i="28"/>
  <c r="R14" i="28"/>
  <c r="R15" i="28"/>
  <c r="R16" i="28"/>
  <c r="R17" i="28"/>
  <c r="R18" i="28"/>
  <c r="R20" i="28"/>
  <c r="R21" i="28"/>
  <c r="R22" i="28"/>
  <c r="R23" i="28"/>
  <c r="R24" i="28"/>
  <c r="R26" i="28"/>
  <c r="R27" i="28"/>
  <c r="R28" i="28"/>
  <c r="R29" i="28"/>
  <c r="R30" i="28"/>
  <c r="R31" i="28"/>
  <c r="R32" i="28"/>
  <c r="R33" i="28"/>
  <c r="R34" i="28"/>
  <c r="R35" i="28"/>
  <c r="R36" i="28"/>
  <c r="R37" i="28"/>
  <c r="R38" i="28"/>
  <c r="R39" i="28"/>
  <c r="R40" i="28"/>
  <c r="R41" i="28"/>
  <c r="R42" i="28"/>
  <c r="R43" i="28"/>
  <c r="R45" i="28"/>
  <c r="R46" i="28"/>
  <c r="R4" i="28"/>
  <c r="N5" i="28"/>
  <c r="N6" i="28"/>
  <c r="N7" i="28"/>
  <c r="N8" i="28"/>
  <c r="N9" i="28"/>
  <c r="N10" i="28"/>
  <c r="N11" i="28"/>
  <c r="N12" i="28"/>
  <c r="N13" i="28"/>
  <c r="N14" i="28"/>
  <c r="N15" i="28"/>
  <c r="N16" i="28"/>
  <c r="N17" i="28"/>
  <c r="N18" i="28"/>
  <c r="N20" i="28"/>
  <c r="N21" i="28"/>
  <c r="N22" i="28"/>
  <c r="N23" i="28"/>
  <c r="N24" i="28"/>
  <c r="N26" i="28"/>
  <c r="N27" i="28"/>
  <c r="N28" i="28"/>
  <c r="N29" i="28"/>
  <c r="N30" i="28"/>
  <c r="N31" i="28"/>
  <c r="N32" i="28"/>
  <c r="N33" i="28"/>
  <c r="N34" i="28"/>
  <c r="N35" i="28"/>
  <c r="N36" i="28"/>
  <c r="N37" i="28"/>
  <c r="N38" i="28"/>
  <c r="N39" i="28"/>
  <c r="N40" i="28"/>
  <c r="N41" i="28"/>
  <c r="N42" i="28"/>
  <c r="N43" i="28"/>
  <c r="N44" i="28"/>
  <c r="N45" i="28"/>
  <c r="N46" i="28"/>
  <c r="N4" i="28"/>
  <c r="J5" i="28"/>
  <c r="J6" i="28"/>
  <c r="J7" i="28"/>
  <c r="J8" i="28"/>
  <c r="J9" i="28"/>
  <c r="J10" i="28"/>
  <c r="J11" i="28"/>
  <c r="J12" i="28"/>
  <c r="J13" i="28"/>
  <c r="J14" i="28"/>
  <c r="J15" i="28"/>
  <c r="J16" i="28"/>
  <c r="J17" i="28"/>
  <c r="J18" i="28"/>
  <c r="J20" i="28"/>
  <c r="J21" i="28"/>
  <c r="J22" i="28"/>
  <c r="J23" i="28"/>
  <c r="J24" i="28"/>
  <c r="J26" i="28"/>
  <c r="J27" i="28"/>
  <c r="J28" i="28"/>
  <c r="J29" i="28"/>
  <c r="J30" i="28"/>
  <c r="J31" i="28"/>
  <c r="J32" i="28"/>
  <c r="J33" i="28"/>
  <c r="J34" i="28"/>
  <c r="J35" i="28"/>
  <c r="J36" i="28"/>
  <c r="J37" i="28"/>
  <c r="J38" i="28"/>
  <c r="J39" i="28"/>
  <c r="J40" i="28"/>
  <c r="J41" i="28"/>
  <c r="J42" i="28"/>
  <c r="J43" i="28"/>
  <c r="J44" i="28"/>
  <c r="J45" i="28"/>
  <c r="J46" i="28"/>
  <c r="J47" i="28"/>
  <c r="J4" i="28"/>
  <c r="F5" i="28"/>
  <c r="F6" i="28"/>
  <c r="F7" i="28"/>
  <c r="F8" i="28"/>
  <c r="F9" i="28"/>
  <c r="F10" i="28"/>
  <c r="F11" i="28"/>
  <c r="F12" i="28"/>
  <c r="F13" i="28"/>
  <c r="F14" i="28"/>
  <c r="F15" i="28"/>
  <c r="F16" i="28"/>
  <c r="F17" i="28"/>
  <c r="F18" i="28"/>
  <c r="F20" i="28"/>
  <c r="F21" i="28"/>
  <c r="F22" i="28"/>
  <c r="F23" i="28"/>
  <c r="F24" i="28"/>
  <c r="F26" i="28"/>
  <c r="F27" i="28"/>
  <c r="F28" i="28"/>
  <c r="F29" i="28"/>
  <c r="F30" i="28"/>
  <c r="F31" i="28"/>
  <c r="F32" i="28"/>
  <c r="F33" i="28"/>
  <c r="F34" i="28"/>
  <c r="F35" i="28"/>
  <c r="F36" i="28"/>
  <c r="F37" i="28"/>
  <c r="F38" i="28"/>
  <c r="F39" i="28"/>
  <c r="F40" i="28"/>
  <c r="F41" i="28"/>
  <c r="F42" i="28"/>
  <c r="F43" i="28"/>
  <c r="F44" i="28"/>
  <c r="F45" i="28"/>
  <c r="F46" i="28"/>
  <c r="F47" i="28"/>
  <c r="F4" i="28"/>
  <c r="F4" i="29"/>
  <c r="BE5" i="29"/>
  <c r="BE6" i="29"/>
  <c r="BE7" i="29"/>
  <c r="BE8" i="29"/>
  <c r="BE9" i="29"/>
  <c r="BE11" i="29"/>
  <c r="BE12" i="29"/>
  <c r="BE13" i="29"/>
  <c r="BE14" i="29"/>
  <c r="BE15" i="29"/>
  <c r="BE16" i="29"/>
  <c r="BE17" i="29"/>
  <c r="BE18" i="29"/>
  <c r="BE20" i="29"/>
  <c r="BE21" i="29"/>
  <c r="BE23" i="29"/>
  <c r="BE24" i="29"/>
  <c r="BE26" i="29"/>
  <c r="BE27" i="29"/>
  <c r="BE28" i="29"/>
  <c r="BE29" i="29"/>
  <c r="BE30" i="29"/>
  <c r="BE33" i="29"/>
  <c r="BE34" i="29"/>
  <c r="BE36" i="29"/>
  <c r="BA5" i="29"/>
  <c r="BA6" i="29"/>
  <c r="BA7" i="29"/>
  <c r="BA8" i="29"/>
  <c r="BA9" i="29"/>
  <c r="BA11" i="29"/>
  <c r="BA12" i="29"/>
  <c r="BA13" i="29"/>
  <c r="BA14" i="29"/>
  <c r="BA15" i="29"/>
  <c r="BA16" i="29"/>
  <c r="BA17" i="29"/>
  <c r="BA18" i="29"/>
  <c r="BA20" i="29"/>
  <c r="BA21" i="29"/>
  <c r="BA22" i="29"/>
  <c r="BA23" i="29"/>
  <c r="BA24" i="29"/>
  <c r="BA26" i="29"/>
  <c r="BA27" i="29"/>
  <c r="BA28" i="29"/>
  <c r="BA29" i="29"/>
  <c r="BA30" i="29"/>
  <c r="BA33" i="29"/>
  <c r="BA34" i="29"/>
  <c r="BA36" i="29"/>
  <c r="BA4" i="29"/>
  <c r="AW5" i="29"/>
  <c r="AW6" i="29"/>
  <c r="AW7" i="29"/>
  <c r="AW8" i="29"/>
  <c r="AW9" i="29"/>
  <c r="AW11" i="29"/>
  <c r="AW12" i="29"/>
  <c r="AW13" i="29"/>
  <c r="AW14" i="29"/>
  <c r="AW15" i="29"/>
  <c r="AW16" i="29"/>
  <c r="AW17" i="29"/>
  <c r="AW18" i="29"/>
  <c r="AW20" i="29"/>
  <c r="AW21" i="29"/>
  <c r="AW22" i="29"/>
  <c r="AW23" i="29"/>
  <c r="AW24" i="29"/>
  <c r="AW26" i="29"/>
  <c r="AW27" i="29"/>
  <c r="AW28" i="29"/>
  <c r="AW29" i="29"/>
  <c r="AW30" i="29"/>
  <c r="AW33" i="29"/>
  <c r="AW34" i="29"/>
  <c r="AW36" i="29"/>
  <c r="AW4" i="29"/>
  <c r="AS5" i="29"/>
  <c r="AS6" i="29"/>
  <c r="AS7" i="29"/>
  <c r="AS8" i="29"/>
  <c r="AS9" i="29"/>
  <c r="AS10" i="29"/>
  <c r="AS11" i="29"/>
  <c r="AS12" i="29"/>
  <c r="AS13" i="29"/>
  <c r="AS14" i="29"/>
  <c r="AS15" i="29"/>
  <c r="AS16" i="29"/>
  <c r="AS17" i="29"/>
  <c r="AS18" i="29"/>
  <c r="AS20" i="29"/>
  <c r="AS21" i="29"/>
  <c r="AS22" i="29"/>
  <c r="AS23" i="29"/>
  <c r="AS24" i="29"/>
  <c r="AS26" i="29"/>
  <c r="AS27" i="29"/>
  <c r="AS28" i="29"/>
  <c r="AS29" i="29"/>
  <c r="AS30" i="29"/>
  <c r="AS33" i="29"/>
  <c r="AS34" i="29"/>
  <c r="AS36" i="29"/>
  <c r="AS4" i="29"/>
  <c r="V5" i="29"/>
  <c r="V6" i="29"/>
  <c r="V7" i="29"/>
  <c r="V8" i="29"/>
  <c r="V9" i="29"/>
  <c r="V10" i="29"/>
  <c r="V11" i="29"/>
  <c r="V12" i="29"/>
  <c r="V13" i="29"/>
  <c r="V14" i="29"/>
  <c r="V15" i="29"/>
  <c r="V16" i="29"/>
  <c r="V17" i="29"/>
  <c r="V20" i="29"/>
  <c r="V21" i="29"/>
  <c r="V22" i="29"/>
  <c r="V23" i="29"/>
  <c r="V24" i="29"/>
  <c r="V26" i="29"/>
  <c r="V27" i="29"/>
  <c r="V28" i="29"/>
  <c r="V29" i="29"/>
  <c r="V30" i="29"/>
  <c r="V31" i="29"/>
  <c r="V33" i="29"/>
  <c r="V36" i="29"/>
  <c r="V4" i="29"/>
  <c r="R5" i="29"/>
  <c r="R6" i="29"/>
  <c r="R7" i="29"/>
  <c r="R8" i="29"/>
  <c r="R9" i="29"/>
  <c r="R10" i="29"/>
  <c r="R11" i="29"/>
  <c r="R12" i="29"/>
  <c r="R13" i="29"/>
  <c r="R14" i="29"/>
  <c r="R15" i="29"/>
  <c r="R16" i="29"/>
  <c r="R17" i="29"/>
  <c r="R18" i="29"/>
  <c r="R20" i="29"/>
  <c r="R21" i="29"/>
  <c r="R22" i="29"/>
  <c r="R23" i="29"/>
  <c r="R24" i="29"/>
  <c r="R26" i="29"/>
  <c r="R27" i="29"/>
  <c r="R28" i="29"/>
  <c r="R29" i="29"/>
  <c r="R30" i="29"/>
  <c r="R31" i="29"/>
  <c r="R32" i="29"/>
  <c r="R33" i="29"/>
  <c r="R34" i="29"/>
  <c r="R36" i="29"/>
  <c r="R4" i="29"/>
  <c r="N5" i="29"/>
  <c r="N6" i="29"/>
  <c r="N7" i="29"/>
  <c r="N8" i="29"/>
  <c r="N9" i="29"/>
  <c r="N10" i="29"/>
  <c r="N11" i="29"/>
  <c r="N12" i="29"/>
  <c r="N13" i="29"/>
  <c r="N14" i="29"/>
  <c r="N15" i="29"/>
  <c r="N16" i="29"/>
  <c r="N17" i="29"/>
  <c r="N18" i="29"/>
  <c r="N20" i="29"/>
  <c r="N21" i="29"/>
  <c r="N22" i="29"/>
  <c r="N23" i="29"/>
  <c r="N24" i="29"/>
  <c r="N26" i="29"/>
  <c r="N27" i="29"/>
  <c r="N28" i="29"/>
  <c r="N29" i="29"/>
  <c r="N30" i="29"/>
  <c r="N31" i="29"/>
  <c r="N32" i="29"/>
  <c r="N33" i="29"/>
  <c r="N34" i="29"/>
  <c r="N36" i="29"/>
  <c r="N4" i="29"/>
  <c r="J5" i="29"/>
  <c r="J6" i="29"/>
  <c r="J7" i="29"/>
  <c r="J8" i="29"/>
  <c r="J9" i="29"/>
  <c r="J10" i="29"/>
  <c r="J11" i="29"/>
  <c r="J12" i="29"/>
  <c r="J13" i="29"/>
  <c r="J14" i="29"/>
  <c r="J15" i="29"/>
  <c r="J16" i="29"/>
  <c r="J17" i="29"/>
  <c r="J18" i="29"/>
  <c r="J20" i="29"/>
  <c r="J21" i="29"/>
  <c r="J22" i="29"/>
  <c r="J23" i="29"/>
  <c r="J24" i="29"/>
  <c r="J26" i="29"/>
  <c r="J27" i="29"/>
  <c r="J28" i="29"/>
  <c r="J29" i="29"/>
  <c r="J30" i="29"/>
  <c r="J31" i="29"/>
  <c r="J32" i="29"/>
  <c r="J33" i="29"/>
  <c r="J34" i="29"/>
  <c r="J36" i="29"/>
  <c r="J4" i="29"/>
  <c r="F5" i="29"/>
  <c r="F6" i="29"/>
  <c r="F7" i="29"/>
  <c r="F8" i="29"/>
  <c r="F9" i="29"/>
  <c r="F10" i="29"/>
  <c r="F11" i="29"/>
  <c r="F12" i="29"/>
  <c r="F13" i="29"/>
  <c r="F14" i="29"/>
  <c r="F15" i="29"/>
  <c r="F16" i="29"/>
  <c r="F17" i="29"/>
  <c r="F18" i="29"/>
  <c r="F20" i="29"/>
  <c r="F21" i="29"/>
  <c r="F22" i="29"/>
  <c r="F23" i="29"/>
  <c r="F24" i="29"/>
  <c r="F26" i="29"/>
  <c r="F27" i="29"/>
  <c r="F28" i="29"/>
  <c r="F29" i="29"/>
  <c r="F30" i="29"/>
  <c r="F31" i="29"/>
  <c r="F32" i="29"/>
  <c r="F33" i="29"/>
  <c r="F34" i="29"/>
  <c r="F36" i="29"/>
  <c r="F95" i="28" l="1"/>
  <c r="AR46" i="28" s="1"/>
  <c r="F94" i="28"/>
  <c r="BD44" i="28"/>
  <c r="AX44" i="28"/>
  <c r="AZ44" i="28" s="1"/>
  <c r="AT44" i="28"/>
  <c r="AV44" i="28" s="1"/>
  <c r="AR44" i="28"/>
  <c r="AA44" i="28"/>
  <c r="AC44" i="28" s="1"/>
  <c r="X44" i="28"/>
  <c r="Z44" i="28" s="1"/>
  <c r="T44" i="28"/>
  <c r="V44" i="28" s="1"/>
  <c r="F81" i="28"/>
  <c r="P44" i="28" s="1"/>
  <c r="R44" i="28" s="1"/>
  <c r="AA43" i="28"/>
  <c r="AC43" i="28" s="1"/>
  <c r="X43" i="28"/>
  <c r="Z43" i="28" s="1"/>
  <c r="AA42" i="28"/>
  <c r="AC42" i="28" s="1"/>
  <c r="AA41" i="28"/>
  <c r="AC41" i="28" s="1"/>
  <c r="X40" i="28"/>
  <c r="Z40" i="28" s="1"/>
  <c r="AA40" i="28"/>
  <c r="AC40" i="28" s="1"/>
  <c r="BD39" i="28"/>
  <c r="AX39" i="28"/>
  <c r="AZ39" i="28" s="1"/>
  <c r="AT39" i="28"/>
  <c r="AV39" i="28" s="1"/>
  <c r="AR39" i="28"/>
  <c r="T39" i="28"/>
  <c r="V39" i="28" s="1"/>
  <c r="F73" i="28"/>
  <c r="T38" i="28" s="1"/>
  <c r="V38" i="28" s="1"/>
  <c r="F92" i="28"/>
  <c r="F91" i="28"/>
  <c r="AC32" i="28" s="1"/>
  <c r="BD25" i="28"/>
  <c r="AX25" i="28"/>
  <c r="AZ25" i="28" s="1"/>
  <c r="AT25" i="28"/>
  <c r="AV25" i="28" s="1"/>
  <c r="AR25" i="28"/>
  <c r="AA25" i="28"/>
  <c r="AC25" i="28" s="1"/>
  <c r="X25" i="28"/>
  <c r="T25" i="28"/>
  <c r="V25" i="28" s="1"/>
  <c r="P25" i="28"/>
  <c r="R25" i="28" s="1"/>
  <c r="L25" i="28"/>
  <c r="N25" i="28" s="1"/>
  <c r="H25" i="28"/>
  <c r="J25" i="28" s="1"/>
  <c r="D25" i="28"/>
  <c r="F25" i="28" s="1"/>
  <c r="F100" i="28"/>
  <c r="AT23" i="28" s="1"/>
  <c r="AV23" i="28" s="1"/>
  <c r="F99" i="28"/>
  <c r="AT19" i="28" s="1"/>
  <c r="AV19" i="28" s="1"/>
  <c r="F98" i="28"/>
  <c r="AR15" i="28" s="1"/>
  <c r="F97" i="28"/>
  <c r="L47" i="28" s="1"/>
  <c r="N47" i="28" s="1"/>
  <c r="F60" i="28"/>
  <c r="AR4" i="28" s="1"/>
  <c r="F96" i="28"/>
  <c r="AT47" i="28" s="1"/>
  <c r="AV47" i="28" s="1"/>
  <c r="F89" i="28"/>
  <c r="F87" i="28"/>
  <c r="F88" i="28" s="1"/>
  <c r="D86" i="28"/>
  <c r="F86" i="28" s="1"/>
  <c r="D85" i="28"/>
  <c r="F85" i="28" s="1"/>
  <c r="F84" i="28" s="1"/>
  <c r="F82" i="28"/>
  <c r="D67" i="28"/>
  <c r="D58" i="28"/>
  <c r="D57" i="28"/>
  <c r="F94" i="1"/>
  <c r="F93" i="1"/>
  <c r="F92" i="1"/>
  <c r="F91" i="1"/>
  <c r="F89" i="1"/>
  <c r="F87" i="1"/>
  <c r="F88" i="1" s="1"/>
  <c r="D86" i="1"/>
  <c r="F86" i="1" s="1"/>
  <c r="D85" i="1"/>
  <c r="F85" i="1" s="1"/>
  <c r="F84" i="1" s="1"/>
  <c r="F82" i="1"/>
  <c r="D69" i="1"/>
  <c r="D61" i="1"/>
  <c r="D60" i="1"/>
  <c r="F80" i="29"/>
  <c r="L35" i="29" s="1"/>
  <c r="N35" i="29" s="1"/>
  <c r="F79" i="29"/>
  <c r="F78" i="29"/>
  <c r="F77" i="29"/>
  <c r="AU31" i="29" s="1"/>
  <c r="AW31" i="29" s="1"/>
  <c r="F75" i="29"/>
  <c r="F73" i="29"/>
  <c r="F74" i="29" s="1"/>
  <c r="D72" i="29"/>
  <c r="F72" i="29" s="1"/>
  <c r="AU19" i="29" s="1"/>
  <c r="AW19" i="29" s="1"/>
  <c r="D71" i="29"/>
  <c r="F71" i="29" s="1"/>
  <c r="F70" i="29" s="1"/>
  <c r="F68" i="29"/>
  <c r="T18" i="29" s="1"/>
  <c r="V18" i="29" s="1"/>
  <c r="BG25" i="29" l="1"/>
  <c r="BC25" i="29"/>
  <c r="BE25" i="29" s="1"/>
  <c r="BC19" i="29"/>
  <c r="BG19" i="29"/>
  <c r="BG35" i="29"/>
  <c r="BC35" i="29"/>
  <c r="BE35" i="29" s="1"/>
  <c r="AA35" i="29"/>
  <c r="AC35" i="29" s="1"/>
  <c r="AY31" i="29"/>
  <c r="BA31" i="29" s="1"/>
  <c r="BG31" i="29"/>
  <c r="BC31" i="29"/>
  <c r="BE31" i="29" s="1"/>
  <c r="BG32" i="29"/>
  <c r="BC32" i="29"/>
  <c r="BE32" i="29" s="1"/>
  <c r="AS31" i="29"/>
  <c r="D35" i="29"/>
  <c r="F35" i="29" s="1"/>
  <c r="X29" i="29"/>
  <c r="Z29" i="29" s="1"/>
  <c r="V35" i="29"/>
  <c r="AT46" i="28"/>
  <c r="AV46" i="28" s="1"/>
  <c r="P47" i="28"/>
  <c r="R47" i="28" s="1"/>
  <c r="X47" i="28"/>
  <c r="Z47" i="28" s="1"/>
  <c r="AX47" i="28"/>
  <c r="AZ47" i="28" s="1"/>
  <c r="AS32" i="29"/>
  <c r="AS35" i="29"/>
  <c r="T32" i="29"/>
  <c r="V32" i="29" s="1"/>
  <c r="AU32" i="29"/>
  <c r="AW32" i="29" s="1"/>
  <c r="AU35" i="29"/>
  <c r="AW35" i="29" s="1"/>
  <c r="H35" i="29"/>
  <c r="J35" i="29" s="1"/>
  <c r="AA34" i="29"/>
  <c r="AC34" i="29" s="1"/>
  <c r="X32" i="29"/>
  <c r="AY32" i="29"/>
  <c r="BA32" i="29" s="1"/>
  <c r="T34" i="29"/>
  <c r="V34" i="29" s="1"/>
  <c r="AY35" i="29"/>
  <c r="BA35" i="29" s="1"/>
  <c r="AA32" i="29"/>
  <c r="AC32" i="29" s="1"/>
  <c r="P35" i="29"/>
  <c r="R35" i="29" s="1"/>
  <c r="AA37" i="28"/>
  <c r="AC37" i="28" s="1"/>
  <c r="AX46" i="28"/>
  <c r="AZ46" i="28" s="1"/>
  <c r="BD47" i="28"/>
  <c r="BD37" i="28"/>
  <c r="X46" i="28"/>
  <c r="Z46" i="28" s="1"/>
  <c r="BD46" i="28"/>
  <c r="AR47" i="28"/>
  <c r="AR38" i="28"/>
  <c r="AR37" i="28"/>
  <c r="X38" i="28"/>
  <c r="Z38" i="28" s="1"/>
  <c r="AX38" i="28"/>
  <c r="AZ38" i="28" s="1"/>
  <c r="X19" i="28"/>
  <c r="Z19" i="28" s="1"/>
  <c r="T37" i="28"/>
  <c r="V37" i="28" s="1"/>
  <c r="AT37" i="28"/>
  <c r="AV37" i="28" s="1"/>
  <c r="AA38" i="28"/>
  <c r="AC38" i="28" s="1"/>
  <c r="BB38" i="28"/>
  <c r="BD38" i="28" s="1"/>
  <c r="X37" i="28"/>
  <c r="Z37" i="28" s="1"/>
  <c r="AX37" i="28"/>
  <c r="AZ37" i="28" s="1"/>
  <c r="AT38" i="28"/>
  <c r="AV38" i="28" s="1"/>
  <c r="AA15" i="28"/>
  <c r="AC15" i="28" s="1"/>
  <c r="BD23" i="28"/>
  <c r="Z15" i="28"/>
  <c r="AA19" i="28"/>
  <c r="AC19" i="28" s="1"/>
  <c r="X23" i="28"/>
  <c r="Z23" i="28" s="1"/>
  <c r="AT15" i="28"/>
  <c r="AV15" i="28" s="1"/>
  <c r="H19" i="28"/>
  <c r="J19" i="28" s="1"/>
  <c r="AX19" i="28"/>
  <c r="AZ19" i="28" s="1"/>
  <c r="AA23" i="28"/>
  <c r="AC23" i="28" s="1"/>
  <c r="AX15" i="28"/>
  <c r="AZ15" i="28" s="1"/>
  <c r="L19" i="28"/>
  <c r="N19" i="28" s="1"/>
  <c r="BD19" i="28"/>
  <c r="AX23" i="28"/>
  <c r="AZ23" i="28" s="1"/>
  <c r="X4" i="28"/>
  <c r="Z4" i="28" s="1"/>
  <c r="AA4" i="28"/>
  <c r="AC4" i="28" s="1"/>
  <c r="BD15" i="28"/>
  <c r="T15" i="28"/>
  <c r="V15" i="28" s="1"/>
  <c r="P19" i="28"/>
  <c r="R19" i="28" s="1"/>
  <c r="AR19" i="28"/>
  <c r="AR23" i="28"/>
  <c r="AT4" i="28"/>
  <c r="AV4" i="28" s="1"/>
  <c r="D19" i="28"/>
  <c r="F19" i="28" s="1"/>
  <c r="T19" i="28"/>
  <c r="V19" i="28" s="1"/>
  <c r="T23" i="28"/>
  <c r="V23" i="28" s="1"/>
  <c r="P25" i="29"/>
  <c r="R25" i="29" s="1"/>
  <c r="AU25" i="29"/>
  <c r="AW25" i="29" s="1"/>
  <c r="D25" i="29"/>
  <c r="F25" i="29" s="1"/>
  <c r="T25" i="29"/>
  <c r="V25" i="29" s="1"/>
  <c r="AS25" i="29"/>
  <c r="H25" i="29"/>
  <c r="J25" i="29" s="1"/>
  <c r="X25" i="29"/>
  <c r="Z25" i="29" s="1"/>
  <c r="AY25" i="29"/>
  <c r="BA25" i="29" s="1"/>
  <c r="L25" i="29"/>
  <c r="N25" i="29" s="1"/>
  <c r="AC25" i="29"/>
  <c r="D19" i="29"/>
  <c r="F19" i="29" s="1"/>
  <c r="BE19" i="29"/>
  <c r="AY19" i="29"/>
  <c r="BA19" i="29" s="1"/>
  <c r="H19" i="29"/>
  <c r="J19" i="29" s="1"/>
  <c r="X19" i="29"/>
  <c r="Z19" i="29" s="1"/>
  <c r="L19" i="29"/>
  <c r="N19" i="29" s="1"/>
  <c r="AA19" i="29"/>
  <c r="AC19" i="29" s="1"/>
  <c r="P19" i="29"/>
  <c r="R19" i="29" s="1"/>
  <c r="AS19" i="29"/>
  <c r="T19" i="29"/>
  <c r="V19" i="29" s="1"/>
  <c r="D55" i="29"/>
  <c r="AA11" i="29" s="1"/>
  <c r="AC11" i="29" s="1"/>
  <c r="BE10" i="29"/>
  <c r="AY10" i="29"/>
  <c r="BA10" i="29" s="1"/>
  <c r="AU10" i="29"/>
  <c r="AW10" i="29" s="1"/>
  <c r="Z10" i="29"/>
  <c r="AA9" i="29"/>
  <c r="AC9" i="29" s="1"/>
  <c r="Z5" i="20"/>
  <c r="Z4" i="20"/>
  <c r="W5" i="20"/>
  <c r="W4" i="20"/>
  <c r="D47" i="29"/>
  <c r="D46" i="29"/>
  <c r="Y32" i="29"/>
  <c r="BD22" i="29"/>
  <c r="BE22" i="29" s="1"/>
  <c r="AA5" i="29"/>
  <c r="AC5" i="29" s="1"/>
  <c r="X5" i="29"/>
  <c r="Z5" i="29" s="1"/>
  <c r="Z4" i="29"/>
  <c r="X32" i="20"/>
  <c r="BC26" i="20"/>
  <c r="Z32" i="29" l="1"/>
  <c r="X11" i="29"/>
  <c r="Z11" i="29" s="1"/>
  <c r="D47" i="20"/>
  <c r="D46" i="20"/>
</calcChain>
</file>

<file path=xl/comments1.xml><?xml version="1.0" encoding="utf-8"?>
<comments xmlns="http://schemas.openxmlformats.org/spreadsheetml/2006/main">
  <authors>
    <author>Author</author>
  </authors>
  <commentList>
    <comment ref="A17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Quoted as dyeing and colouring materials.</t>
        </r>
      </text>
    </comment>
    <comment ref="BG23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Used as Rupees.</t>
        </r>
      </text>
    </comment>
    <comment ref="Y25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Used Rupees value from the other report and converted it.</t>
        </r>
      </text>
    </comment>
    <comment ref="BF25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Added a missing zero in quantity.</t>
        </r>
      </text>
    </comment>
  </commentList>
</comments>
</file>

<file path=xl/comments2.xml><?xml version="1.0" encoding="utf-8"?>
<comments xmlns="http://schemas.openxmlformats.org/spreadsheetml/2006/main">
  <authors>
    <author>Author</author>
  </authors>
  <commentList>
    <comment ref="AB4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Corrected by removing last two digits using historic and future values.</t>
        </r>
      </text>
    </comment>
    <comment ref="AN6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Primarily Horses and Mules.</t>
        </r>
      </text>
    </comment>
    <comment ref="A13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Quoted as dyeing and colouring materials.</t>
        </r>
      </text>
    </comment>
    <comment ref="X32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Corrected using another report mentioning quantities and values in Ruppees.</t>
        </r>
      </text>
    </comment>
    <comment ref="AA32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Corrected using historic values.</t>
        </r>
      </text>
    </comment>
    <comment ref="AE35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Primarily carpets.</t>
        </r>
      </text>
    </comment>
    <comment ref="AI35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Primarily carpets.</t>
        </r>
      </text>
    </comment>
    <comment ref="AM35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Primarily carpets.</t>
        </r>
      </text>
    </comment>
  </commentList>
</comments>
</file>

<file path=xl/comments3.xml><?xml version="1.0" encoding="utf-8"?>
<comments xmlns="http://schemas.openxmlformats.org/spreadsheetml/2006/main">
  <authors>
    <author>Author</author>
  </authors>
  <commentList>
    <comment ref="BF23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Suspected to be Rupees.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A4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Corrected by removing last one digit using historic and future values.</t>
        </r>
      </text>
    </comment>
    <comment ref="AM6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Primarily Horses and Mules.</t>
        </r>
      </text>
    </comment>
    <comment ref="W32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Corrected using another report mentioning quantities and values in Ruppees.</t>
        </r>
      </text>
    </comment>
    <comment ref="Z32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Corrected using historic values.</t>
        </r>
      </text>
    </comment>
    <comment ref="AD35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Primarily carpets.</t>
        </r>
      </text>
    </comment>
    <comment ref="AH35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Primarily carpets.</t>
        </r>
      </text>
    </comment>
    <comment ref="AL35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Primarily carpets.</t>
        </r>
      </text>
    </comment>
  </commentList>
</comments>
</file>

<file path=xl/sharedStrings.xml><?xml version="1.0" encoding="utf-8"?>
<sst xmlns="http://schemas.openxmlformats.org/spreadsheetml/2006/main" count="3578" uniqueCount="262">
  <si>
    <t>Articles</t>
  </si>
  <si>
    <t>Units</t>
  </si>
  <si>
    <t>Quantity</t>
  </si>
  <si>
    <t>Number</t>
  </si>
  <si>
    <t>Total (from regions)</t>
  </si>
  <si>
    <t>Coffee</t>
  </si>
  <si>
    <t>Wheat</t>
  </si>
  <si>
    <t>Barley</t>
  </si>
  <si>
    <t>Value (Sterling)</t>
  </si>
  <si>
    <t>Price (Sterling)</t>
  </si>
  <si>
    <t>Matches</t>
  </si>
  <si>
    <t>Units of conversion</t>
  </si>
  <si>
    <t>lbs.</t>
  </si>
  <si>
    <t>Cases</t>
  </si>
  <si>
    <t>Rice</t>
  </si>
  <si>
    <t>box</t>
  </si>
  <si>
    <t>tin</t>
  </si>
  <si>
    <t>Candles</t>
  </si>
  <si>
    <t>Tea</t>
  </si>
  <si>
    <t>Kerosene oil</t>
  </si>
  <si>
    <t>Indigo</t>
  </si>
  <si>
    <t>Silk, raw</t>
  </si>
  <si>
    <t>Tobacco</t>
  </si>
  <si>
    <t>Animals</t>
  </si>
  <si>
    <t>cwt</t>
  </si>
  <si>
    <t>lbs</t>
  </si>
  <si>
    <t>£/Cwt</t>
  </si>
  <si>
    <t>Sugar</t>
  </si>
  <si>
    <t>£/Number</t>
  </si>
  <si>
    <t>box, bale, halfload</t>
  </si>
  <si>
    <t>load</t>
  </si>
  <si>
    <t>Prices and Wages in London &amp; Southern England, 1259-1914</t>
  </si>
  <si>
    <t>A1) Original Prices</t>
  </si>
  <si>
    <t>Source</t>
  </si>
  <si>
    <t>Currency/units</t>
  </si>
  <si>
    <t>Comment</t>
  </si>
  <si>
    <t>Place of Origin</t>
  </si>
  <si>
    <t>Good</t>
  </si>
  <si>
    <t>Year</t>
  </si>
  <si>
    <t/>
  </si>
  <si>
    <t>1900-01</t>
  </si>
  <si>
    <r>
      <rPr>
        <i/>
        <sz val="12"/>
        <color theme="1"/>
        <rFont val="Calibri"/>
        <family val="2"/>
        <scheme val="minor"/>
      </rPr>
      <t>into Shiraz</t>
    </r>
    <r>
      <rPr>
        <sz val="12"/>
        <color theme="1"/>
        <rFont val="Calibri"/>
        <family val="2"/>
        <scheme val="minor"/>
      </rPr>
      <t>, 1892-93</t>
    </r>
  </si>
  <si>
    <r>
      <rPr>
        <i/>
        <sz val="12"/>
        <color theme="1"/>
        <rFont val="Calibri"/>
        <family val="2"/>
        <scheme val="minor"/>
      </rPr>
      <t xml:space="preserve">from </t>
    </r>
    <r>
      <rPr>
        <sz val="12"/>
        <color theme="1"/>
        <rFont val="Calibri"/>
        <family val="2"/>
        <scheme val="minor"/>
      </rPr>
      <t>Shiraz, 1892-93</t>
    </r>
  </si>
  <si>
    <t>lb</t>
  </si>
  <si>
    <t>Forex</t>
  </si>
  <si>
    <t>bag</t>
  </si>
  <si>
    <t>Date</t>
  </si>
  <si>
    <t>Opium</t>
  </si>
  <si>
    <t>case</t>
  </si>
  <si>
    <t>Salt</t>
  </si>
  <si>
    <t>bahr</t>
  </si>
  <si>
    <t>Cotton</t>
  </si>
  <si>
    <t>bale</t>
  </si>
  <si>
    <t>Cloth</t>
  </si>
  <si>
    <t>Ghee</t>
  </si>
  <si>
    <t>Box/Dubba/Tin</t>
  </si>
  <si>
    <t>gallon</t>
  </si>
  <si>
    <t>Oil of all kinds</t>
  </si>
  <si>
    <t>Box/Dubba</t>
  </si>
  <si>
    <t>Bag</t>
  </si>
  <si>
    <t>Gunpowder</t>
  </si>
  <si>
    <t>Maund</t>
  </si>
  <si>
    <t>Grain, Flour</t>
  </si>
  <si>
    <t>Oil seeds</t>
  </si>
  <si>
    <t>Wine</t>
  </si>
  <si>
    <t>Case/Cask</t>
  </si>
  <si>
    <t>Gallon</t>
  </si>
  <si>
    <t>Twist and yarn</t>
  </si>
  <si>
    <t>Bale</t>
  </si>
  <si>
    <t>cw</t>
  </si>
  <si>
    <t>Boxes</t>
  </si>
  <si>
    <t>Bales</t>
  </si>
  <si>
    <t>Bundles</t>
  </si>
  <si>
    <t>Skins</t>
  </si>
  <si>
    <t>Bags</t>
  </si>
  <si>
    <t>Jars</t>
  </si>
  <si>
    <t>Almonds, shelled</t>
  </si>
  <si>
    <t>Almonds, dried</t>
  </si>
  <si>
    <t>Currants</t>
  </si>
  <si>
    <t>Curios</t>
  </si>
  <si>
    <t>Cotton, raw</t>
  </si>
  <si>
    <t>Carpets</t>
  </si>
  <si>
    <t>Fruits, dried</t>
  </si>
  <si>
    <t>Rose leaves, dried</t>
  </si>
  <si>
    <t>Fancy goods</t>
  </si>
  <si>
    <t>Poppy seeds</t>
  </si>
  <si>
    <t>Rosewater, large bottles</t>
  </si>
  <si>
    <t>Rosewater, small bottles</t>
  </si>
  <si>
    <t>Seeds</t>
  </si>
  <si>
    <t>Silk, Yezd</t>
  </si>
  <si>
    <t>Wax</t>
  </si>
  <si>
    <t>Packages</t>
  </si>
  <si>
    <r>
      <rPr>
        <i/>
        <sz val="12"/>
        <color theme="1"/>
        <rFont val="Calibri"/>
        <family val="2"/>
        <scheme val="minor"/>
      </rPr>
      <t xml:space="preserve">from </t>
    </r>
    <r>
      <rPr>
        <sz val="12"/>
        <color theme="1"/>
        <rFont val="Calibri"/>
        <family val="2"/>
        <scheme val="minor"/>
      </rPr>
      <t>Shiraz, 1893-94</t>
    </r>
  </si>
  <si>
    <t>Cotton, goods</t>
  </si>
  <si>
    <t>Hardware and cutlery</t>
  </si>
  <si>
    <t>Perfumery</t>
  </si>
  <si>
    <t>Wool, goods</t>
  </si>
  <si>
    <t>Wool</t>
  </si>
  <si>
    <t xml:space="preserve">Packages </t>
  </si>
  <si>
    <t>Boards and wood</t>
  </si>
  <si>
    <t>Arms and ammunition</t>
  </si>
  <si>
    <t>Bottles</t>
  </si>
  <si>
    <t>Camphor</t>
  </si>
  <si>
    <t>Sheets</t>
  </si>
  <si>
    <t>Pieces</t>
  </si>
  <si>
    <t xml:space="preserve">Chintzes </t>
  </si>
  <si>
    <t xml:space="preserve">Drugs </t>
  </si>
  <si>
    <t>Sal-ammoniac</t>
  </si>
  <si>
    <t>Carriages</t>
  </si>
  <si>
    <t>Embroidery</t>
  </si>
  <si>
    <t>Glass</t>
  </si>
  <si>
    <t>Leather</t>
  </si>
  <si>
    <t>Wines and spirits</t>
  </si>
  <si>
    <t>Quinine</t>
  </si>
  <si>
    <t>Sugar, loaf (French)</t>
  </si>
  <si>
    <t>Spices</t>
  </si>
  <si>
    <t>Steel</t>
  </si>
  <si>
    <t>Tea, black</t>
  </si>
  <si>
    <t>Tea, white</t>
  </si>
  <si>
    <t>Tin</t>
  </si>
  <si>
    <t>Leaves</t>
  </si>
  <si>
    <t xml:space="preserve">Thread and twist </t>
  </si>
  <si>
    <r>
      <rPr>
        <i/>
        <sz val="12"/>
        <color theme="1"/>
        <rFont val="Calibri"/>
        <family val="2"/>
        <scheme val="minor"/>
      </rPr>
      <t>into Shiraz</t>
    </r>
    <r>
      <rPr>
        <sz val="12"/>
        <color theme="1"/>
        <rFont val="Calibri"/>
        <family val="2"/>
        <scheme val="minor"/>
      </rPr>
      <t>, 1893-94</t>
    </r>
  </si>
  <si>
    <t>Brass</t>
  </si>
  <si>
    <t>Cotton, piece-goods</t>
  </si>
  <si>
    <t>Pepper</t>
  </si>
  <si>
    <t>Silks and satins</t>
  </si>
  <si>
    <t>Stationary</t>
  </si>
  <si>
    <t>Stuffs</t>
  </si>
  <si>
    <t>Silver</t>
  </si>
  <si>
    <t>Tea, green</t>
  </si>
  <si>
    <t>Tea, Dutch</t>
  </si>
  <si>
    <r>
      <rPr>
        <i/>
        <sz val="12"/>
        <color theme="1"/>
        <rFont val="Calibri"/>
        <family val="2"/>
        <scheme val="minor"/>
      </rPr>
      <t>into Shiraz</t>
    </r>
    <r>
      <rPr>
        <sz val="12"/>
        <color theme="1"/>
        <rFont val="Calibri"/>
        <family val="2"/>
        <scheme val="minor"/>
      </rPr>
      <t>, 1888-89</t>
    </r>
  </si>
  <si>
    <r>
      <rPr>
        <i/>
        <sz val="12"/>
        <color theme="1"/>
        <rFont val="Calibri"/>
        <family val="2"/>
        <scheme val="minor"/>
      </rPr>
      <t>into Shiraz</t>
    </r>
    <r>
      <rPr>
        <sz val="12"/>
        <color theme="1"/>
        <rFont val="Calibri"/>
        <family val="2"/>
        <scheme val="minor"/>
      </rPr>
      <t>, 1887-88</t>
    </r>
  </si>
  <si>
    <t>Sugar, soft</t>
  </si>
  <si>
    <t>Cwts</t>
  </si>
  <si>
    <t>Cwts.</t>
  </si>
  <si>
    <t>Bars</t>
  </si>
  <si>
    <t>Iron</t>
  </si>
  <si>
    <r>
      <rPr>
        <i/>
        <sz val="12"/>
        <color theme="1"/>
        <rFont val="Calibri"/>
        <family val="2"/>
        <scheme val="minor"/>
      </rPr>
      <t xml:space="preserve">from </t>
    </r>
    <r>
      <rPr>
        <sz val="12"/>
        <color theme="1"/>
        <rFont val="Calibri"/>
        <family val="2"/>
        <scheme val="minor"/>
      </rPr>
      <t>Shiraz, 1888-89</t>
    </r>
  </si>
  <si>
    <r>
      <rPr>
        <i/>
        <sz val="12"/>
        <color theme="1"/>
        <rFont val="Calibri"/>
        <family val="2"/>
        <scheme val="minor"/>
      </rPr>
      <t xml:space="preserve">from </t>
    </r>
    <r>
      <rPr>
        <sz val="12"/>
        <color theme="1"/>
        <rFont val="Calibri"/>
        <family val="2"/>
        <scheme val="minor"/>
      </rPr>
      <t>Shiraz, 1887-88</t>
    </r>
  </si>
  <si>
    <t>Fruits and vegatables</t>
  </si>
  <si>
    <t>Gum</t>
  </si>
  <si>
    <t>Chests</t>
  </si>
  <si>
    <t>Drugs and medicines</t>
  </si>
  <si>
    <r>
      <rPr>
        <i/>
        <sz val="12"/>
        <color theme="1"/>
        <rFont val="Calibri"/>
        <family val="2"/>
        <scheme val="minor"/>
      </rPr>
      <t>into Shiraz</t>
    </r>
    <r>
      <rPr>
        <sz val="12"/>
        <color theme="1"/>
        <rFont val="Calibri"/>
        <family val="2"/>
        <scheme val="minor"/>
      </rPr>
      <t>, 1889-90</t>
    </r>
  </si>
  <si>
    <r>
      <rPr>
        <i/>
        <sz val="12"/>
        <color theme="1"/>
        <rFont val="Calibri"/>
        <family val="2"/>
        <scheme val="minor"/>
      </rPr>
      <t xml:space="preserve">from </t>
    </r>
    <r>
      <rPr>
        <sz val="12"/>
        <color theme="1"/>
        <rFont val="Calibri"/>
        <family val="2"/>
        <scheme val="minor"/>
      </rPr>
      <t>Shiraz, 1889-90</t>
    </r>
  </si>
  <si>
    <r>
      <rPr>
        <i/>
        <sz val="12"/>
        <color theme="1"/>
        <rFont val="Calibri"/>
        <family val="2"/>
        <scheme val="minor"/>
      </rPr>
      <t>into Shiraz</t>
    </r>
    <r>
      <rPr>
        <sz val="12"/>
        <color theme="1"/>
        <rFont val="Calibri"/>
        <family val="2"/>
        <scheme val="minor"/>
      </rPr>
      <t>, 1890-91</t>
    </r>
  </si>
  <si>
    <r>
      <rPr>
        <i/>
        <sz val="12"/>
        <color theme="1"/>
        <rFont val="Calibri"/>
        <family val="2"/>
        <scheme val="minor"/>
      </rPr>
      <t xml:space="preserve">from </t>
    </r>
    <r>
      <rPr>
        <sz val="12"/>
        <color theme="1"/>
        <rFont val="Calibri"/>
        <family val="2"/>
        <scheme val="minor"/>
      </rPr>
      <t>Shiraz, 1890-91</t>
    </r>
  </si>
  <si>
    <t>5000+6000Carboys</t>
  </si>
  <si>
    <r>
      <rPr>
        <i/>
        <sz val="12"/>
        <color theme="1"/>
        <rFont val="Calibri"/>
        <family val="2"/>
        <scheme val="minor"/>
      </rPr>
      <t>into Shiraz</t>
    </r>
    <r>
      <rPr>
        <sz val="12"/>
        <color theme="1"/>
        <rFont val="Calibri"/>
        <family val="2"/>
        <scheme val="minor"/>
      </rPr>
      <t>, 1891-92</t>
    </r>
  </si>
  <si>
    <r>
      <rPr>
        <i/>
        <sz val="12"/>
        <color theme="1"/>
        <rFont val="Calibri"/>
        <family val="2"/>
        <scheme val="minor"/>
      </rPr>
      <t xml:space="preserve">from </t>
    </r>
    <r>
      <rPr>
        <sz val="12"/>
        <color theme="1"/>
        <rFont val="Calibri"/>
        <family val="2"/>
        <scheme val="minor"/>
      </rPr>
      <t>Shiraz, 1891-92</t>
    </r>
  </si>
  <si>
    <r>
      <rPr>
        <i/>
        <sz val="12"/>
        <color theme="1"/>
        <rFont val="Calibri"/>
        <family val="2"/>
        <scheme val="minor"/>
      </rPr>
      <t>into Shiraz</t>
    </r>
    <r>
      <rPr>
        <sz val="12"/>
        <color theme="1"/>
        <rFont val="Calibri"/>
        <family val="2"/>
        <scheme val="minor"/>
      </rPr>
      <t>, 1897-98</t>
    </r>
  </si>
  <si>
    <r>
      <rPr>
        <i/>
        <sz val="12"/>
        <color theme="1"/>
        <rFont val="Calibri"/>
        <family val="2"/>
        <scheme val="minor"/>
      </rPr>
      <t>into Shiraz</t>
    </r>
    <r>
      <rPr>
        <sz val="12"/>
        <color theme="1"/>
        <rFont val="Calibri"/>
        <family val="2"/>
        <scheme val="minor"/>
      </rPr>
      <t>, 1898-99</t>
    </r>
  </si>
  <si>
    <r>
      <rPr>
        <i/>
        <sz val="12"/>
        <color theme="1"/>
        <rFont val="Calibri"/>
        <family val="2"/>
        <scheme val="minor"/>
      </rPr>
      <t>into Shiraz</t>
    </r>
    <r>
      <rPr>
        <sz val="12"/>
        <color theme="1"/>
        <rFont val="Calibri"/>
        <family val="2"/>
        <scheme val="minor"/>
      </rPr>
      <t>, 1899-00</t>
    </r>
  </si>
  <si>
    <r>
      <rPr>
        <i/>
        <sz val="12"/>
        <color theme="1"/>
        <rFont val="Calibri"/>
        <family val="2"/>
        <scheme val="minor"/>
      </rPr>
      <t>into Shiraz</t>
    </r>
    <r>
      <rPr>
        <sz val="12"/>
        <color theme="1"/>
        <rFont val="Calibri"/>
        <family val="2"/>
        <scheme val="minor"/>
      </rPr>
      <t>, 1900-01</t>
    </r>
  </si>
  <si>
    <r>
      <rPr>
        <i/>
        <sz val="12"/>
        <color theme="1"/>
        <rFont val="Calibri"/>
        <family val="2"/>
        <scheme val="minor"/>
      </rPr>
      <t>from Shiraz</t>
    </r>
    <r>
      <rPr>
        <sz val="12"/>
        <color theme="1"/>
        <rFont val="Calibri"/>
        <family val="2"/>
        <scheme val="minor"/>
      </rPr>
      <t>, 1897-98</t>
    </r>
  </si>
  <si>
    <r>
      <rPr>
        <i/>
        <sz val="12"/>
        <color theme="1"/>
        <rFont val="Calibri"/>
        <family val="2"/>
        <scheme val="minor"/>
      </rPr>
      <t>from Shiraz</t>
    </r>
    <r>
      <rPr>
        <sz val="12"/>
        <color theme="1"/>
        <rFont val="Calibri"/>
        <family val="2"/>
        <scheme val="minor"/>
      </rPr>
      <t>, 1898-99</t>
    </r>
  </si>
  <si>
    <r>
      <rPr>
        <i/>
        <sz val="12"/>
        <color theme="1"/>
        <rFont val="Calibri"/>
        <family val="2"/>
        <scheme val="minor"/>
      </rPr>
      <t>from Shiraz</t>
    </r>
    <r>
      <rPr>
        <sz val="12"/>
        <color theme="1"/>
        <rFont val="Calibri"/>
        <family val="2"/>
        <scheme val="minor"/>
      </rPr>
      <t>, 1899-00</t>
    </r>
  </si>
  <si>
    <r>
      <rPr>
        <i/>
        <sz val="12"/>
        <color theme="1"/>
        <rFont val="Calibri"/>
        <family val="2"/>
        <scheme val="minor"/>
      </rPr>
      <t>from Shiraz</t>
    </r>
    <r>
      <rPr>
        <sz val="12"/>
        <color theme="1"/>
        <rFont val="Calibri"/>
        <family val="2"/>
        <scheme val="minor"/>
      </rPr>
      <t>, 1900-01</t>
    </r>
  </si>
  <si>
    <t>Gold and gold coins</t>
  </si>
  <si>
    <t>Lbs.</t>
  </si>
  <si>
    <t>Leather, tanned</t>
  </si>
  <si>
    <t>1000carboys + 2500cases</t>
  </si>
  <si>
    <t>4700carboys+1200 cases</t>
  </si>
  <si>
    <t>5400carboys+1500cases</t>
  </si>
  <si>
    <t>4500carboys+2500cases</t>
  </si>
  <si>
    <t>Almonds</t>
  </si>
  <si>
    <t xml:space="preserve"> </t>
  </si>
  <si>
    <t>Value (Rupees)</t>
  </si>
  <si>
    <t>Bundle</t>
  </si>
  <si>
    <t>cwt.</t>
  </si>
  <si>
    <t>bundle</t>
  </si>
  <si>
    <t>piece</t>
  </si>
  <si>
    <t>chest</t>
  </si>
  <si>
    <t>Silk</t>
  </si>
  <si>
    <t>package</t>
  </si>
  <si>
    <t>Glass and wares</t>
  </si>
  <si>
    <t>Gallons</t>
  </si>
  <si>
    <t>Silk (all relevant)</t>
  </si>
  <si>
    <t>Silk, goods</t>
  </si>
  <si>
    <t>Package</t>
  </si>
  <si>
    <t>Sterling</t>
  </si>
  <si>
    <t>Rupee</t>
  </si>
  <si>
    <t>1887-88</t>
  </si>
  <si>
    <t>1888-89</t>
  </si>
  <si>
    <t>1889-90</t>
  </si>
  <si>
    <t>1890-91</t>
  </si>
  <si>
    <t>1891-92</t>
  </si>
  <si>
    <t>1892-93</t>
  </si>
  <si>
    <t>1893-94</t>
  </si>
  <si>
    <t>1897-98</t>
  </si>
  <si>
    <t>1898-99</t>
  </si>
  <si>
    <t>1899-00</t>
  </si>
  <si>
    <t>Units (Price)</t>
  </si>
  <si>
    <t>£/Bundle</t>
  </si>
  <si>
    <t>£/Package</t>
  </si>
  <si>
    <t>£/Leaf</t>
  </si>
  <si>
    <t>£/Piece</t>
  </si>
  <si>
    <t>£/Box</t>
  </si>
  <si>
    <t>£/Case</t>
  </si>
  <si>
    <t>£/Gallon</t>
  </si>
  <si>
    <t>£/Bottle</t>
  </si>
  <si>
    <t>£/Sheet</t>
  </si>
  <si>
    <t xml:space="preserve">£/Package </t>
  </si>
  <si>
    <t>£/Cwt.</t>
  </si>
  <si>
    <t>£/Jar</t>
  </si>
  <si>
    <t>£/Lbs.</t>
  </si>
  <si>
    <t>Sugar, loaf</t>
  </si>
  <si>
    <t>France</t>
  </si>
  <si>
    <t>£/Bar</t>
  </si>
  <si>
    <t>Wool, goods &amp; mainly carpets</t>
  </si>
  <si>
    <t>Sources:</t>
  </si>
  <si>
    <t>Robert White Stevens, On the Stowage of Ships and their Cargoes, London, Longmans, Green, &amp; Co., 7th edition, 1894.</t>
  </si>
  <si>
    <t>There are important issues regarding the accuracy of the returns in view of their provencance and the incentives to underreport values and evade taxation.</t>
  </si>
  <si>
    <t>Middle East, Imports and Exports, 1824-1913</t>
  </si>
  <si>
    <t>This spreadsheet was put together by Robert Allen in April, 2018.</t>
  </si>
  <si>
    <r>
      <t xml:space="preserve">Prices and values are in </t>
    </r>
    <r>
      <rPr>
        <b/>
        <i/>
        <sz val="10"/>
        <rFont val="Arial"/>
        <family val="2"/>
      </rPr>
      <t>pounds sterling</t>
    </r>
    <r>
      <rPr>
        <sz val="10"/>
        <rFont val="Arial"/>
        <family val="2"/>
      </rPr>
      <t>.</t>
    </r>
  </si>
  <si>
    <t>Sheets:</t>
  </si>
  <si>
    <t xml:space="preserve">Shiraz - Prices (Imports) </t>
  </si>
  <si>
    <t xml:space="preserve">Shiraz - Prices (Exports) </t>
  </si>
  <si>
    <t>- reduces the adjusted data on imports to prices in single series for each commodity.</t>
  </si>
  <si>
    <t>- reduces the adjusted data on exports to prices in single series for each commodity.</t>
  </si>
  <si>
    <t>- contains the adjusted units for commodities and currencies on raw data of prices, quantities and values of imports.</t>
  </si>
  <si>
    <t>- contains the adjusted units for commodities and currencies on raw data of prices, quantities and values of exports.</t>
  </si>
  <si>
    <t>- contains the raw data on prices, quantities and values of imports taken from the sources described below.</t>
  </si>
  <si>
    <t>- contains the raw data on prices, quantities and values of exports taken from the sources described below.</t>
  </si>
  <si>
    <t>Change in unit of quantity</t>
  </si>
  <si>
    <t>Color Legend</t>
  </si>
  <si>
    <t>Reports of British consuls published in: the British House of Commons papers in the diplomatic &amp; consular reports on trade and finance and in the administration reports on the Persian Gulf Political Residency.</t>
  </si>
  <si>
    <t>- mentions reason for colors of highlighted cells.</t>
  </si>
  <si>
    <t>Some errors were detected in the process and corrected. Please note that observations not recorded for some of the years listed above were not available in the source reports.</t>
  </si>
  <si>
    <t xml:space="preserve">Imports - Data (Raw &amp; Adjusted) </t>
  </si>
  <si>
    <t xml:space="preserve">Exports - Data (Raw &amp; Adjusted) </t>
  </si>
  <si>
    <t>Imports - Data (Raw)</t>
  </si>
  <si>
    <t>Exports - Data (Raw)</t>
  </si>
  <si>
    <r>
      <rPr>
        <i/>
        <sz val="12"/>
        <color theme="1"/>
        <rFont val="Calibri"/>
        <family val="2"/>
        <scheme val="minor"/>
      </rPr>
      <t>into Shiraz</t>
    </r>
    <r>
      <rPr>
        <sz val="12"/>
        <color theme="1"/>
        <rFont val="Calibri"/>
        <family val="2"/>
        <scheme val="minor"/>
      </rPr>
      <t>, 1901-02</t>
    </r>
  </si>
  <si>
    <r>
      <rPr>
        <i/>
        <sz val="12"/>
        <color theme="1"/>
        <rFont val="Calibri"/>
        <family val="2"/>
        <scheme val="minor"/>
      </rPr>
      <t>from Shiraz</t>
    </r>
    <r>
      <rPr>
        <sz val="12"/>
        <color theme="1"/>
        <rFont val="Calibri"/>
        <family val="2"/>
        <scheme val="minor"/>
      </rPr>
      <t>, 1901-02</t>
    </r>
  </si>
  <si>
    <r>
      <rPr>
        <i/>
        <sz val="12"/>
        <color theme="1"/>
        <rFont val="Calibri"/>
        <family val="2"/>
        <scheme val="minor"/>
      </rPr>
      <t>into Shiraz</t>
    </r>
    <r>
      <rPr>
        <sz val="12"/>
        <color theme="1"/>
        <rFont val="Calibri"/>
        <family val="2"/>
        <scheme val="minor"/>
      </rPr>
      <t>, 1894-95</t>
    </r>
  </si>
  <si>
    <r>
      <rPr>
        <i/>
        <sz val="12"/>
        <color theme="1"/>
        <rFont val="Calibri"/>
        <family val="2"/>
        <scheme val="minor"/>
      </rPr>
      <t>into Shiraz</t>
    </r>
    <r>
      <rPr>
        <sz val="12"/>
        <color theme="1"/>
        <rFont val="Calibri"/>
        <family val="2"/>
        <scheme val="minor"/>
      </rPr>
      <t>, 1895-96</t>
    </r>
  </si>
  <si>
    <r>
      <rPr>
        <i/>
        <sz val="12"/>
        <color theme="1"/>
        <rFont val="Calibri"/>
        <family val="2"/>
        <scheme val="minor"/>
      </rPr>
      <t>into Shiraz</t>
    </r>
    <r>
      <rPr>
        <sz val="12"/>
        <color theme="1"/>
        <rFont val="Calibri"/>
        <family val="2"/>
        <scheme val="minor"/>
      </rPr>
      <t>, 1896-97</t>
    </r>
  </si>
  <si>
    <r>
      <rPr>
        <i/>
        <sz val="12"/>
        <color theme="1"/>
        <rFont val="Calibri"/>
        <family val="2"/>
        <scheme val="minor"/>
      </rPr>
      <t>from Shiraz</t>
    </r>
    <r>
      <rPr>
        <sz val="12"/>
        <color theme="1"/>
        <rFont val="Calibri"/>
        <family val="2"/>
        <scheme val="minor"/>
      </rPr>
      <t>, 1894-95</t>
    </r>
  </si>
  <si>
    <r>
      <rPr>
        <i/>
        <sz val="12"/>
        <color theme="1"/>
        <rFont val="Calibri"/>
        <family val="2"/>
        <scheme val="minor"/>
      </rPr>
      <t>from Shiraz</t>
    </r>
    <r>
      <rPr>
        <sz val="12"/>
        <color theme="1"/>
        <rFont val="Calibri"/>
        <family val="2"/>
        <scheme val="minor"/>
      </rPr>
      <t>, 1895-96</t>
    </r>
  </si>
  <si>
    <r>
      <rPr>
        <i/>
        <sz val="12"/>
        <color theme="1"/>
        <rFont val="Calibri"/>
        <family val="2"/>
        <scheme val="minor"/>
      </rPr>
      <t>from Shiraz</t>
    </r>
    <r>
      <rPr>
        <sz val="12"/>
        <color theme="1"/>
        <rFont val="Calibri"/>
        <family val="2"/>
        <scheme val="minor"/>
      </rPr>
      <t>, 1896-97</t>
    </r>
  </si>
  <si>
    <t>10,000Carboys  + 1000Cases</t>
  </si>
  <si>
    <t>3,000Carboys  + 400Cases</t>
  </si>
  <si>
    <t>1000Carboys + 2500Cases</t>
  </si>
  <si>
    <t>4500Carboys+2500Cases</t>
  </si>
  <si>
    <t>1894-95</t>
  </si>
  <si>
    <t>1895-96</t>
  </si>
  <si>
    <t>1896-97</t>
  </si>
  <si>
    <t>1901-02</t>
  </si>
  <si>
    <t>£/Cwts.</t>
  </si>
  <si>
    <r>
      <t xml:space="preserve">This spreadsheet lists the </t>
    </r>
    <r>
      <rPr>
        <b/>
        <i/>
        <sz val="10"/>
        <rFont val="Arial"/>
        <family val="2"/>
      </rPr>
      <t>prices, quantities</t>
    </r>
    <r>
      <rPr>
        <sz val="10"/>
        <rFont val="Arial"/>
        <family val="2"/>
      </rPr>
      <t xml:space="preserve"> and </t>
    </r>
    <r>
      <rPr>
        <b/>
        <i/>
        <sz val="10"/>
        <rFont val="Arial"/>
        <family val="2"/>
      </rPr>
      <t>values</t>
    </r>
    <r>
      <rPr>
        <sz val="10"/>
        <rFont val="Arial"/>
        <family val="2"/>
      </rPr>
      <t xml:space="preserve"> of </t>
    </r>
    <r>
      <rPr>
        <b/>
        <i/>
        <sz val="10"/>
        <rFont val="Arial"/>
        <family val="2"/>
      </rPr>
      <t>imports</t>
    </r>
    <r>
      <rPr>
        <sz val="10"/>
        <rFont val="Arial"/>
        <family val="2"/>
      </rPr>
      <t xml:space="preserve"> and </t>
    </r>
    <r>
      <rPr>
        <b/>
        <i/>
        <sz val="10"/>
        <rFont val="Arial"/>
        <family val="2"/>
      </rPr>
      <t>exports</t>
    </r>
    <r>
      <rPr>
        <sz val="10"/>
        <rFont val="Arial"/>
        <family val="2"/>
      </rPr>
      <t xml:space="preserve"> in the city of </t>
    </r>
    <r>
      <rPr>
        <b/>
        <i/>
        <sz val="10"/>
        <rFont val="Arial"/>
        <family val="2"/>
      </rPr>
      <t xml:space="preserve">Shiraz </t>
    </r>
    <r>
      <rPr>
        <sz val="10"/>
        <rFont val="Arial"/>
        <family val="2"/>
      </rPr>
      <t xml:space="preserve">from </t>
    </r>
    <r>
      <rPr>
        <b/>
        <i/>
        <sz val="10"/>
        <rFont val="Arial"/>
        <family val="2"/>
      </rPr>
      <t>1887-88</t>
    </r>
    <r>
      <rPr>
        <sz val="10"/>
        <rFont val="Arial"/>
        <family val="2"/>
      </rPr>
      <t xml:space="preserve"> to </t>
    </r>
    <r>
      <rPr>
        <b/>
        <i/>
        <sz val="10"/>
        <rFont val="Arial"/>
        <family val="2"/>
      </rPr>
      <t>1901-02</t>
    </r>
    <r>
      <rPr>
        <sz val="10"/>
        <rFont val="Arial"/>
        <family val="2"/>
      </rPr>
      <t>.  The data were compiled by British consuls.</t>
    </r>
  </si>
  <si>
    <t>Copper, in sheets</t>
  </si>
  <si>
    <t>Cashmere, in shawls</t>
  </si>
  <si>
    <t>Colours, dyes and varnishes</t>
  </si>
  <si>
    <t>Lace and thread, gold</t>
  </si>
  <si>
    <t>Embroidered cloth, gold</t>
  </si>
  <si>
    <t>Porcelain and chinaware</t>
  </si>
  <si>
    <t>Wool, raw</t>
  </si>
  <si>
    <t>half load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</si>
</sst>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(* #,##0_);_(* \(#,##0\);_(* &quot;-&quot;??_);_(@_)"/>
    <numFmt numFmtId="165" formatCode="0.0000"/>
    <numFmt numFmtId="166" formatCode="_(* #,##0.0000_);_(* \(#,##0.0000\);_(* &quot;-&quot;??_);_(@_)"/>
    <numFmt numFmtId="167" formatCode="_(* #,##0.000_);_(* \(#,##0.000\);_(* &quot;-&quot;??_);_(@_)"/>
  </numFmts>
  <fonts count="2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rgb="FF000000"/>
      <name val="Calibri"/>
      <family val="2"/>
    </font>
    <font>
      <sz val="11.5"/>
      <name val="Times New Roman"/>
      <family val="1"/>
    </font>
    <font>
      <b/>
      <sz val="11"/>
      <color rgb="FF000000"/>
      <name val="Calibri"/>
      <family val="2"/>
      <scheme val="minor"/>
    </font>
    <font>
      <i/>
      <sz val="11"/>
      <color rgb="FF000000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0"/>
      <name val="Courier"/>
    </font>
    <font>
      <b/>
      <u/>
      <sz val="10"/>
      <color indexed="9"/>
      <name val="Arial"/>
      <family val="2"/>
    </font>
    <font>
      <sz val="10"/>
      <color indexed="9"/>
      <name val="Courier"/>
    </font>
    <font>
      <b/>
      <u/>
      <sz val="8"/>
      <name val="Arial"/>
      <family val="2"/>
    </font>
    <font>
      <sz val="8"/>
      <color indexed="9"/>
      <name val="Arial"/>
      <family val="2"/>
    </font>
    <font>
      <i/>
      <sz val="8"/>
      <color indexed="9"/>
      <name val="Arial"/>
      <family val="2"/>
    </font>
    <font>
      <b/>
      <i/>
      <sz val="8"/>
      <color indexed="9"/>
      <name val="Arial"/>
      <family val="2"/>
    </font>
    <font>
      <i/>
      <sz val="8"/>
      <name val="Arial"/>
      <family val="2"/>
    </font>
    <font>
      <sz val="8"/>
      <name val="Arial"/>
      <family val="2"/>
    </font>
    <font>
      <sz val="11"/>
      <color rgb="FF00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58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43" fontId="4" fillId="0" borderId="0" applyFont="0" applyFill="0" applyBorder="0" applyAlignment="0" applyProtection="0"/>
    <xf numFmtId="0" fontId="7" fillId="0" borderId="0"/>
    <xf numFmtId="0" fontId="12" fillId="0" borderId="0">
      <alignment vertical="top"/>
    </xf>
    <xf numFmtId="0" fontId="24" fillId="0" borderId="0">
      <alignment vertical="top"/>
    </xf>
  </cellStyleXfs>
  <cellXfs count="132">
    <xf numFmtId="0" fontId="0" fillId="0" borderId="0" xfId="0"/>
    <xf numFmtId="3" fontId="0" fillId="0" borderId="0" xfId="0" applyNumberFormat="1"/>
    <xf numFmtId="3" fontId="0" fillId="0" borderId="0" xfId="0" applyNumberFormat="1" applyFill="1"/>
    <xf numFmtId="0" fontId="0" fillId="0" borderId="0" xfId="0" applyFill="1"/>
    <xf numFmtId="0" fontId="2" fillId="0" borderId="0" xfId="0" applyFont="1"/>
    <xf numFmtId="0" fontId="0" fillId="0" borderId="0" xfId="0" applyFont="1"/>
    <xf numFmtId="2" fontId="0" fillId="0" borderId="0" xfId="0" applyNumberFormat="1"/>
    <xf numFmtId="0" fontId="5" fillId="0" borderId="0" xfId="0" applyFont="1"/>
    <xf numFmtId="0" fontId="6" fillId="0" borderId="0" xfId="0" applyFont="1"/>
    <xf numFmtId="0" fontId="6" fillId="0" borderId="0" xfId="0" applyFont="1" applyFill="1" applyAlignment="1">
      <alignment horizontal="center"/>
    </xf>
    <xf numFmtId="0" fontId="1" fillId="0" borderId="0" xfId="0" applyFont="1" applyFill="1"/>
    <xf numFmtId="0" fontId="0" fillId="0" borderId="0" xfId="0" applyFont="1" applyFill="1"/>
    <xf numFmtId="0" fontId="0" fillId="0" borderId="0" xfId="0" applyFont="1" applyFill="1" applyBorder="1"/>
    <xf numFmtId="0" fontId="9" fillId="0" borderId="0" xfId="0" applyFont="1" applyFill="1" applyBorder="1" applyAlignment="1">
      <alignment horizontal="center" vertical="center"/>
    </xf>
    <xf numFmtId="164" fontId="3" fillId="0" borderId="0" xfId="1" applyNumberFormat="1" applyFont="1" applyBorder="1" applyAlignment="1">
      <alignment horizontal="right" vertical="center" wrapText="1"/>
    </xf>
    <xf numFmtId="0" fontId="0" fillId="0" borderId="0" xfId="0" applyFill="1" applyAlignment="1">
      <alignment horizontal="left"/>
    </xf>
    <xf numFmtId="164" fontId="3" fillId="0" borderId="0" xfId="1" applyNumberFormat="1" applyFont="1" applyBorder="1" applyAlignment="1">
      <alignment horizontal="left" vertical="center" wrapText="1"/>
    </xf>
    <xf numFmtId="164" fontId="10" fillId="0" borderId="0" xfId="1" applyNumberFormat="1" applyFont="1" applyFill="1" applyAlignment="1">
      <alignment horizontal="left"/>
    </xf>
    <xf numFmtId="164" fontId="3" fillId="0" borderId="0" xfId="1" applyNumberFormat="1" applyFont="1" applyFill="1" applyBorder="1" applyAlignment="1">
      <alignment horizontal="right" vertical="center" wrapText="1"/>
    </xf>
    <xf numFmtId="0" fontId="0" fillId="0" borderId="0" xfId="0" applyFill="1" applyBorder="1"/>
    <xf numFmtId="2" fontId="0" fillId="0" borderId="0" xfId="0" applyNumberFormat="1" applyFont="1"/>
    <xf numFmtId="0" fontId="13" fillId="0" borderId="0" xfId="3" applyFont="1" applyBorder="1" applyAlignment="1">
      <alignment horizontal="left" vertical="center"/>
    </xf>
    <xf numFmtId="0" fontId="12" fillId="0" borderId="0" xfId="3" applyAlignment="1"/>
    <xf numFmtId="0" fontId="14" fillId="0" borderId="0" xfId="3" applyFont="1" applyAlignment="1"/>
    <xf numFmtId="0" fontId="15" fillId="0" borderId="0" xfId="3" applyFont="1" applyFill="1" applyBorder="1" applyAlignment="1">
      <alignment horizontal="left" vertical="center"/>
    </xf>
    <xf numFmtId="0" fontId="16" fillId="0" borderId="0" xfId="3" applyFont="1" applyBorder="1" applyAlignment="1">
      <alignment horizontal="right"/>
    </xf>
    <xf numFmtId="0" fontId="17" fillId="2" borderId="0" xfId="3" applyFont="1" applyFill="1" applyBorder="1" applyAlignment="1">
      <alignment horizontal="left"/>
    </xf>
    <xf numFmtId="0" fontId="16" fillId="2" borderId="0" xfId="3" applyFont="1" applyFill="1" applyBorder="1" applyAlignment="1">
      <alignment horizontal="center"/>
    </xf>
    <xf numFmtId="0" fontId="16" fillId="0" borderId="0" xfId="3" applyFont="1" applyBorder="1" applyAlignment="1">
      <alignment horizontal="center"/>
    </xf>
    <xf numFmtId="0" fontId="17" fillId="2" borderId="0" xfId="3" applyFont="1" applyFill="1" applyBorder="1" applyAlignment="1">
      <alignment horizontal="left" wrapText="1"/>
    </xf>
    <xf numFmtId="0" fontId="16" fillId="0" borderId="0" xfId="3" applyFont="1" applyBorder="1" applyAlignment="1">
      <alignment horizontal="left"/>
    </xf>
    <xf numFmtId="0" fontId="16" fillId="2" borderId="0" xfId="3" applyFont="1" applyFill="1" applyBorder="1" applyAlignment="1">
      <alignment horizontal="left"/>
    </xf>
    <xf numFmtId="0" fontId="14" fillId="0" borderId="0" xfId="3" applyFont="1" applyAlignment="1">
      <alignment horizontal="left"/>
    </xf>
    <xf numFmtId="0" fontId="17" fillId="2" borderId="0" xfId="3" applyFont="1" applyFill="1" applyBorder="1" applyAlignment="1">
      <alignment horizontal="right"/>
    </xf>
    <xf numFmtId="0" fontId="19" fillId="0" borderId="0" xfId="3" applyFont="1" applyBorder="1" applyAlignment="1">
      <alignment horizontal="right"/>
    </xf>
    <xf numFmtId="0" fontId="20" fillId="0" borderId="0" xfId="3" applyFont="1" applyBorder="1" applyAlignment="1">
      <alignment horizontal="center"/>
    </xf>
    <xf numFmtId="0" fontId="16" fillId="2" borderId="0" xfId="3" applyFont="1" applyFill="1" applyBorder="1" applyAlignment="1" applyProtection="1">
      <alignment horizontal="right"/>
    </xf>
    <xf numFmtId="165" fontId="20" fillId="0" borderId="0" xfId="3" applyNumberFormat="1" applyFont="1" applyBorder="1" applyAlignment="1" applyProtection="1">
      <alignment horizontal="center"/>
    </xf>
    <xf numFmtId="2" fontId="20" fillId="0" borderId="0" xfId="3" applyNumberFormat="1" applyFont="1" applyBorder="1" applyAlignment="1" applyProtection="1">
      <alignment horizontal="center"/>
    </xf>
    <xf numFmtId="0" fontId="12" fillId="0" borderId="0" xfId="3" applyAlignment="1" applyProtection="1"/>
    <xf numFmtId="0" fontId="20" fillId="0" borderId="0" xfId="3" applyFont="1" applyBorder="1" applyAlignment="1" applyProtection="1">
      <alignment horizontal="center"/>
    </xf>
    <xf numFmtId="166" fontId="3" fillId="0" borderId="0" xfId="1" applyNumberFormat="1" applyFont="1" applyFill="1" applyBorder="1" applyAlignment="1">
      <alignment horizontal="right" vertical="center" wrapText="1"/>
    </xf>
    <xf numFmtId="0" fontId="19" fillId="0" borderId="0" xfId="3" applyFont="1" applyFill="1" applyBorder="1" applyAlignment="1">
      <alignment horizontal="right"/>
    </xf>
    <xf numFmtId="0" fontId="12" fillId="0" borderId="0" xfId="3" applyFill="1" applyAlignment="1"/>
    <xf numFmtId="3" fontId="0" fillId="0" borderId="0" xfId="0" applyNumberFormat="1" applyFont="1" applyFill="1"/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left" vertical="top" wrapText="1"/>
    </xf>
    <xf numFmtId="164" fontId="3" fillId="0" borderId="0" xfId="1" applyNumberFormat="1" applyFont="1" applyBorder="1" applyAlignment="1">
      <alignment horizontal="left" vertical="top"/>
    </xf>
    <xf numFmtId="164" fontId="1" fillId="0" borderId="0" xfId="1" applyNumberFormat="1" applyFont="1" applyFill="1"/>
    <xf numFmtId="164" fontId="8" fillId="0" borderId="0" xfId="1" applyNumberFormat="1" applyFont="1" applyFill="1" applyBorder="1" applyAlignment="1">
      <alignment vertical="top" wrapText="1"/>
    </xf>
    <xf numFmtId="0" fontId="3" fillId="3" borderId="0" xfId="0" applyFont="1" applyFill="1" applyBorder="1" applyAlignment="1">
      <alignment horizontal="left" vertical="top"/>
    </xf>
    <xf numFmtId="0" fontId="0" fillId="0" borderId="0" xfId="0" applyFont="1" applyFill="1" applyAlignment="1">
      <alignment horizontal="left"/>
    </xf>
    <xf numFmtId="0" fontId="0" fillId="0" borderId="0" xfId="0" applyFont="1" applyFill="1" applyBorder="1" applyAlignment="1">
      <alignment vertical="center"/>
    </xf>
    <xf numFmtId="0" fontId="21" fillId="0" borderId="0" xfId="0" applyFont="1" applyFill="1" applyBorder="1" applyAlignment="1">
      <alignment horizontal="center" vertical="center"/>
    </xf>
    <xf numFmtId="0" fontId="0" fillId="3" borderId="0" xfId="0" applyFont="1" applyFill="1"/>
    <xf numFmtId="0" fontId="3" fillId="0" borderId="0" xfId="0" applyFont="1" applyFill="1" applyBorder="1" applyAlignment="1">
      <alignment horizontal="left" vertical="top"/>
    </xf>
    <xf numFmtId="0" fontId="3" fillId="0" borderId="0" xfId="0" applyFont="1" applyFill="1" applyBorder="1" applyAlignment="1">
      <alignment horizontal="left" vertical="top" wrapText="1"/>
    </xf>
    <xf numFmtId="3" fontId="0" fillId="3" borderId="0" xfId="0" applyNumberFormat="1" applyFont="1" applyFill="1"/>
    <xf numFmtId="0" fontId="0" fillId="0" borderId="0" xfId="0" quotePrefix="1" applyFill="1"/>
    <xf numFmtId="0" fontId="8" fillId="0" borderId="0" xfId="0" applyFont="1" applyFill="1" applyBorder="1" applyAlignment="1">
      <alignment horizontal="left" vertical="top"/>
    </xf>
    <xf numFmtId="0" fontId="3" fillId="3" borderId="0" xfId="0" applyFont="1" applyFill="1" applyBorder="1" applyAlignment="1">
      <alignment horizontal="left" vertical="top" wrapText="1"/>
    </xf>
    <xf numFmtId="0" fontId="6" fillId="4" borderId="0" xfId="0" applyFont="1" applyFill="1" applyAlignment="1">
      <alignment horizontal="center"/>
    </xf>
    <xf numFmtId="0" fontId="2" fillId="0" borderId="0" xfId="0" applyFont="1" applyFill="1"/>
    <xf numFmtId="1" fontId="0" fillId="0" borderId="0" xfId="0" applyNumberFormat="1" applyFont="1" applyFill="1"/>
    <xf numFmtId="2" fontId="0" fillId="0" borderId="0" xfId="0" applyNumberFormat="1" applyFill="1"/>
    <xf numFmtId="164" fontId="0" fillId="0" borderId="0" xfId="1" applyNumberFormat="1" applyFont="1" applyFill="1"/>
    <xf numFmtId="1" fontId="0" fillId="0" borderId="0" xfId="0" applyNumberFormat="1" applyFill="1"/>
    <xf numFmtId="0" fontId="0" fillId="0" borderId="0" xfId="0" applyFill="1" applyAlignment="1">
      <alignment vertical="center"/>
    </xf>
    <xf numFmtId="2" fontId="0" fillId="0" borderId="0" xfId="0" applyNumberFormat="1" applyFill="1" applyAlignment="1">
      <alignment horizontal="right"/>
    </xf>
    <xf numFmtId="166" fontId="0" fillId="0" borderId="0" xfId="1" applyNumberFormat="1" applyFont="1" applyFill="1"/>
    <xf numFmtId="166" fontId="3" fillId="0" borderId="0" xfId="1" applyNumberFormat="1" applyFont="1" applyBorder="1" applyAlignment="1">
      <alignment horizontal="left" vertical="top"/>
    </xf>
    <xf numFmtId="0" fontId="17" fillId="0" borderId="0" xfId="3" applyFont="1" applyBorder="1" applyAlignment="1">
      <alignment horizontal="right" wrapText="1"/>
    </xf>
    <xf numFmtId="0" fontId="18" fillId="2" borderId="0" xfId="3" applyFont="1" applyFill="1" applyBorder="1" applyAlignment="1">
      <alignment horizontal="center" wrapText="1"/>
    </xf>
    <xf numFmtId="0" fontId="18" fillId="0" borderId="0" xfId="3" applyFont="1" applyBorder="1" applyAlignment="1">
      <alignment horizontal="center" wrapText="1"/>
    </xf>
    <xf numFmtId="0" fontId="17" fillId="0" borderId="0" xfId="3" applyFont="1" applyBorder="1" applyAlignment="1">
      <alignment horizontal="center" wrapText="1"/>
    </xf>
    <xf numFmtId="0" fontId="17" fillId="0" borderId="0" xfId="3" applyFont="1" applyAlignment="1">
      <alignment wrapText="1"/>
    </xf>
    <xf numFmtId="0" fontId="24" fillId="0" borderId="0" xfId="4" applyAlignment="1"/>
    <xf numFmtId="0" fontId="26" fillId="0" borderId="0" xfId="4" applyFont="1" applyAlignment="1"/>
    <xf numFmtId="0" fontId="26" fillId="0" borderId="0" xfId="4" applyFont="1" applyBorder="1" applyAlignment="1"/>
    <xf numFmtId="0" fontId="24" fillId="0" borderId="0" xfId="4" applyBorder="1" applyAlignment="1"/>
    <xf numFmtId="0" fontId="27" fillId="0" borderId="0" xfId="4" applyFont="1" applyAlignment="1"/>
    <xf numFmtId="0" fontId="26" fillId="0" borderId="0" xfId="4" quotePrefix="1" applyFont="1" applyAlignment="1"/>
    <xf numFmtId="0" fontId="26" fillId="0" borderId="0" xfId="4" applyFont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5" fillId="0" borderId="0" xfId="0" applyFont="1" applyAlignment="1">
      <alignment horizontal="center"/>
    </xf>
    <xf numFmtId="164" fontId="3" fillId="0" borderId="0" xfId="1" applyNumberFormat="1" applyFont="1" applyFill="1" applyBorder="1" applyAlignment="1">
      <alignment horizontal="left" vertical="center" wrapText="1"/>
    </xf>
    <xf numFmtId="166" fontId="3" fillId="0" borderId="0" xfId="1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164" fontId="0" fillId="0" borderId="0" xfId="0" applyNumberFormat="1" applyFill="1"/>
    <xf numFmtId="0" fontId="0" fillId="0" borderId="0" xfId="0" applyFont="1" applyFill="1" applyAlignment="1"/>
    <xf numFmtId="164" fontId="0" fillId="0" borderId="0" xfId="1" applyNumberFormat="1" applyFont="1" applyFill="1" applyBorder="1" applyAlignment="1">
      <alignment vertical="center" wrapText="1"/>
    </xf>
    <xf numFmtId="166" fontId="0" fillId="0" borderId="0" xfId="1" applyNumberFormat="1" applyFont="1" applyFill="1" applyBorder="1" applyAlignment="1">
      <alignment vertical="center" wrapText="1"/>
    </xf>
    <xf numFmtId="0" fontId="0" fillId="0" borderId="0" xfId="0" applyFont="1" applyAlignment="1"/>
    <xf numFmtId="164" fontId="3" fillId="0" borderId="0" xfId="1" quotePrefix="1" applyNumberFormat="1" applyFont="1" applyFill="1" applyBorder="1" applyAlignment="1">
      <alignment horizontal="right" vertical="center" wrapText="1"/>
    </xf>
    <xf numFmtId="164" fontId="0" fillId="3" borderId="0" xfId="1" applyNumberFormat="1" applyFont="1" applyFill="1" applyBorder="1" applyAlignment="1">
      <alignment vertical="center" wrapText="1"/>
    </xf>
    <xf numFmtId="164" fontId="0" fillId="3" borderId="0" xfId="1" applyNumberFormat="1" applyFont="1" applyFill="1" applyBorder="1" applyAlignment="1">
      <alignment horizontal="left" vertical="center" wrapText="1"/>
    </xf>
    <xf numFmtId="166" fontId="0" fillId="3" borderId="0" xfId="1" applyNumberFormat="1" applyFont="1" applyFill="1" applyBorder="1" applyAlignment="1">
      <alignment vertical="top" wrapText="1"/>
    </xf>
    <xf numFmtId="166" fontId="0" fillId="3" borderId="0" xfId="1" applyNumberFormat="1" applyFont="1" applyFill="1" applyBorder="1" applyAlignment="1">
      <alignment vertical="center" wrapText="1"/>
    </xf>
    <xf numFmtId="0" fontId="0" fillId="3" borderId="0" xfId="0" applyFont="1" applyFill="1" applyAlignment="1">
      <alignment vertical="center"/>
    </xf>
    <xf numFmtId="164" fontId="3" fillId="3" borderId="0" xfId="1" applyNumberFormat="1" applyFont="1" applyFill="1" applyBorder="1" applyAlignment="1">
      <alignment horizontal="left" vertical="center" wrapText="1"/>
    </xf>
    <xf numFmtId="0" fontId="6" fillId="0" borderId="0" xfId="0" applyFont="1" applyFill="1" applyAlignment="1">
      <alignment horizontal="left"/>
    </xf>
    <xf numFmtId="164" fontId="0" fillId="0" borderId="0" xfId="0" applyNumberFormat="1" applyFill="1" applyAlignment="1">
      <alignment horizontal="left"/>
    </xf>
    <xf numFmtId="166" fontId="3" fillId="3" borderId="0" xfId="1" applyNumberFormat="1" applyFont="1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/>
    </xf>
    <xf numFmtId="166" fontId="3" fillId="0" borderId="0" xfId="1" applyNumberFormat="1" applyFont="1" applyBorder="1" applyAlignment="1">
      <alignment horizontal="left" vertical="center"/>
    </xf>
    <xf numFmtId="164" fontId="0" fillId="0" borderId="0" xfId="0" applyNumberFormat="1" applyFill="1" applyAlignment="1">
      <alignment vertical="center"/>
    </xf>
    <xf numFmtId="0" fontId="0" fillId="0" borderId="0" xfId="0" applyAlignment="1">
      <alignment vertical="center"/>
    </xf>
    <xf numFmtId="0" fontId="6" fillId="0" borderId="0" xfId="0" applyFont="1" applyFill="1" applyAlignment="1">
      <alignment horizontal="left" vertical="center"/>
    </xf>
    <xf numFmtId="164" fontId="0" fillId="0" borderId="0" xfId="0" applyNumberFormat="1" applyFill="1" applyAlignment="1">
      <alignment horizontal="left" vertical="center"/>
    </xf>
    <xf numFmtId="0" fontId="6" fillId="0" borderId="0" xfId="0" applyFont="1" applyFill="1" applyAlignment="1">
      <alignment horizontal="right" vertical="center"/>
    </xf>
    <xf numFmtId="166" fontId="3" fillId="0" borderId="0" xfId="1" applyNumberFormat="1" applyFont="1" applyBorder="1" applyAlignment="1">
      <alignment horizontal="right" vertical="center"/>
    </xf>
    <xf numFmtId="0" fontId="0" fillId="0" borderId="0" xfId="0" applyFill="1" applyAlignment="1">
      <alignment horizontal="right" vertical="center"/>
    </xf>
    <xf numFmtId="0" fontId="0" fillId="0" borderId="0" xfId="0" applyAlignment="1">
      <alignment horizontal="right" vertical="center"/>
    </xf>
    <xf numFmtId="167" fontId="3" fillId="0" borderId="0" xfId="1" applyNumberFormat="1" applyFont="1" applyFill="1" applyBorder="1" applyAlignment="1">
      <alignment horizontal="right" vertical="center" wrapText="1"/>
    </xf>
    <xf numFmtId="166" fontId="0" fillId="5" borderId="0" xfId="1" applyNumberFormat="1" applyFont="1" applyFill="1"/>
    <xf numFmtId="0" fontId="0" fillId="0" borderId="0" xfId="0" applyFill="1" applyAlignment="1">
      <alignment horizontal="left" vertical="center"/>
    </xf>
    <xf numFmtId="0" fontId="16" fillId="0" borderId="0" xfId="3" applyFont="1" applyFill="1" applyBorder="1" applyAlignment="1" applyProtection="1">
      <alignment horizontal="right"/>
    </xf>
    <xf numFmtId="0" fontId="24" fillId="0" borderId="0" xfId="4" applyFont="1" applyAlignment="1"/>
    <xf numFmtId="0" fontId="26" fillId="0" borderId="0" xfId="4" applyFont="1" applyAlignment="1">
      <alignment horizontal="left" vertical="top" wrapText="1"/>
    </xf>
    <xf numFmtId="0" fontId="26" fillId="0" borderId="0" xfId="4" applyFont="1" applyAlignment="1">
      <alignment horizontal="left"/>
    </xf>
    <xf numFmtId="0" fontId="24" fillId="0" borderId="0" xfId="4" applyFont="1" applyAlignment="1">
      <alignment horizontal="left"/>
    </xf>
    <xf numFmtId="0" fontId="5" fillId="0" borderId="0" xfId="0" applyFont="1" applyAlignment="1">
      <alignment horizontal="center"/>
    </xf>
    <xf numFmtId="0" fontId="0" fillId="0" borderId="0" xfId="0" applyFont="1" applyFill="1" applyAlignment="1">
      <alignment horizontal="right" vertical="center"/>
    </xf>
    <xf numFmtId="0" fontId="2" fillId="0" borderId="0" xfId="0" applyFont="1" applyFill="1" applyAlignment="1">
      <alignment horizontal="left" vertical="center" wrapText="1"/>
    </xf>
    <xf numFmtId="2" fontId="0" fillId="0" borderId="0" xfId="0" applyNumberFormat="1" applyFill="1" applyAlignment="1">
      <alignment horizontal="right" vertical="center"/>
    </xf>
    <xf numFmtId="0" fontId="2" fillId="0" borderId="0" xfId="0" applyFont="1" applyFill="1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vertical="center"/>
    </xf>
  </cellXfs>
  <cellStyles count="5">
    <cellStyle name="Comma" xfId="1" builtinId="3"/>
    <cellStyle name="Normal" xfId="0" builtinId="0"/>
    <cellStyle name="Normal 2" xfId="2"/>
    <cellStyle name="Normal 3" xfId="3"/>
    <cellStyle name="Normal 4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2"/>
  <sheetViews>
    <sheetView tabSelected="1" workbookViewId="0">
      <selection activeCell="F30" sqref="F30"/>
    </sheetView>
  </sheetViews>
  <sheetFormatPr defaultRowHeight="13.2" x14ac:dyDescent="0.25"/>
  <cols>
    <col min="1" max="2" width="8.88671875" style="76"/>
    <col min="3" max="3" width="7.77734375" style="76" customWidth="1"/>
    <col min="4" max="16384" width="8.88671875" style="76"/>
  </cols>
  <sheetData>
    <row r="1" spans="1:4" x14ac:dyDescent="0.25">
      <c r="A1" s="77" t="s">
        <v>215</v>
      </c>
    </row>
    <row r="2" spans="1:4" x14ac:dyDescent="0.25">
      <c r="A2" s="77" t="s">
        <v>216</v>
      </c>
    </row>
    <row r="4" spans="1:4" x14ac:dyDescent="0.25">
      <c r="A4" s="118" t="s">
        <v>253</v>
      </c>
    </row>
    <row r="5" spans="1:4" x14ac:dyDescent="0.25">
      <c r="A5" s="77" t="s">
        <v>217</v>
      </c>
    </row>
    <row r="6" spans="1:4" s="79" customFormat="1" x14ac:dyDescent="0.25">
      <c r="A6" s="78"/>
    </row>
    <row r="7" spans="1:4" x14ac:dyDescent="0.25">
      <c r="A7" s="77" t="s">
        <v>214</v>
      </c>
    </row>
    <row r="8" spans="1:4" x14ac:dyDescent="0.25">
      <c r="A8" s="77" t="s">
        <v>231</v>
      </c>
    </row>
    <row r="9" spans="1:4" x14ac:dyDescent="0.25">
      <c r="A9" s="77"/>
    </row>
    <row r="10" spans="1:4" x14ac:dyDescent="0.25">
      <c r="A10" s="80" t="s">
        <v>218</v>
      </c>
    </row>
    <row r="11" spans="1:4" x14ac:dyDescent="0.25">
      <c r="A11" s="120" t="s">
        <v>219</v>
      </c>
      <c r="B11" s="120"/>
      <c r="C11" s="120"/>
      <c r="D11" s="81" t="s">
        <v>221</v>
      </c>
    </row>
    <row r="12" spans="1:4" x14ac:dyDescent="0.25">
      <c r="A12" s="120" t="s">
        <v>220</v>
      </c>
      <c r="B12" s="120"/>
      <c r="C12" s="120"/>
      <c r="D12" s="81" t="s">
        <v>222</v>
      </c>
    </row>
    <row r="13" spans="1:4" x14ac:dyDescent="0.25">
      <c r="A13" s="121" t="s">
        <v>232</v>
      </c>
      <c r="B13" s="120"/>
      <c r="C13" s="120"/>
      <c r="D13" s="81" t="s">
        <v>223</v>
      </c>
    </row>
    <row r="14" spans="1:4" x14ac:dyDescent="0.25">
      <c r="A14" s="121" t="s">
        <v>233</v>
      </c>
      <c r="B14" s="120"/>
      <c r="C14" s="120"/>
      <c r="D14" s="81" t="s">
        <v>224</v>
      </c>
    </row>
    <row r="15" spans="1:4" x14ac:dyDescent="0.25">
      <c r="A15" s="121" t="s">
        <v>234</v>
      </c>
      <c r="B15" s="120"/>
      <c r="C15" s="120"/>
      <c r="D15" s="81" t="s">
        <v>225</v>
      </c>
    </row>
    <row r="16" spans="1:4" x14ac:dyDescent="0.25">
      <c r="A16" s="121" t="s">
        <v>235</v>
      </c>
      <c r="B16" s="120"/>
      <c r="C16" s="120"/>
      <c r="D16" s="81" t="s">
        <v>226</v>
      </c>
    </row>
    <row r="17" spans="1:16" x14ac:dyDescent="0.25">
      <c r="A17" s="82" t="s">
        <v>228</v>
      </c>
      <c r="B17" s="82"/>
      <c r="C17" s="82"/>
      <c r="D17" s="81" t="s">
        <v>230</v>
      </c>
    </row>
    <row r="19" spans="1:16" x14ac:dyDescent="0.25">
      <c r="A19" s="80" t="s">
        <v>212</v>
      </c>
    </row>
    <row r="20" spans="1:16" ht="27" customHeight="1" x14ac:dyDescent="0.25">
      <c r="A20" s="119" t="s">
        <v>229</v>
      </c>
      <c r="B20" s="119"/>
      <c r="C20" s="119"/>
      <c r="D20" s="119"/>
      <c r="E20" s="119"/>
      <c r="F20" s="119"/>
      <c r="G20" s="119"/>
      <c r="H20" s="119"/>
      <c r="I20" s="119"/>
      <c r="J20" s="119"/>
      <c r="K20" s="119"/>
      <c r="L20" s="119"/>
      <c r="M20" s="119"/>
      <c r="N20" s="119"/>
      <c r="O20" s="119"/>
      <c r="P20" s="119"/>
    </row>
    <row r="21" spans="1:16" x14ac:dyDescent="0.25">
      <c r="A21" s="76" t="s">
        <v>213</v>
      </c>
    </row>
    <row r="22" spans="1:16" x14ac:dyDescent="0.25">
      <c r="C22" s="77" t="s">
        <v>168</v>
      </c>
    </row>
  </sheetData>
  <mergeCells count="7">
    <mergeCell ref="A20:P20"/>
    <mergeCell ref="A11:C11"/>
    <mergeCell ref="A12:C12"/>
    <mergeCell ref="A13:C13"/>
    <mergeCell ref="A14:C14"/>
    <mergeCell ref="A15:C15"/>
    <mergeCell ref="A16:C16"/>
  </mergeCell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B24"/>
  <sheetViews>
    <sheetView zoomScaleNormal="100" workbookViewId="0">
      <pane xSplit="2" ySplit="8" topLeftCell="G9" activePane="bottomRight" state="frozen"/>
      <selection pane="topRight" activeCell="C1" sqref="C1"/>
      <selection pane="bottomLeft" activeCell="A9" sqref="A9"/>
      <selection pane="bottomRight" activeCell="N14" sqref="N14:N16"/>
    </sheetView>
  </sheetViews>
  <sheetFormatPr defaultColWidth="9.6640625" defaultRowHeight="12" x14ac:dyDescent="0.2"/>
  <cols>
    <col min="1" max="1" width="6.44140625" style="23" customWidth="1"/>
    <col min="2" max="2" width="13.88671875" style="22" customWidth="1"/>
    <col min="3" max="3" width="11.109375" style="22" customWidth="1"/>
    <col min="4" max="4" width="12.5546875" style="22" customWidth="1"/>
    <col min="5" max="5" width="12.109375" style="22" customWidth="1"/>
    <col min="6" max="6" width="13.6640625" style="22" customWidth="1"/>
    <col min="7" max="7" width="9.88671875" style="22" customWidth="1"/>
    <col min="8" max="8" width="12.109375" style="22" bestFit="1" customWidth="1"/>
    <col min="9" max="9" width="10.44140625" style="22" customWidth="1"/>
    <col min="10" max="10" width="11.44140625" style="22" customWidth="1"/>
    <col min="11" max="11" width="12.88671875" style="22" customWidth="1"/>
    <col min="12" max="12" width="14" style="22" customWidth="1"/>
    <col min="13" max="15" width="9.6640625" style="22"/>
    <col min="16" max="16" width="13.5546875" style="22" customWidth="1"/>
    <col min="17" max="17" width="9.6640625" style="22"/>
    <col min="18" max="18" width="10.88671875" style="22" customWidth="1"/>
    <col min="19" max="19" width="13.21875" style="22" customWidth="1"/>
    <col min="20" max="20" width="11.77734375" style="22" customWidth="1"/>
    <col min="21" max="21" width="14.33203125" style="22" customWidth="1"/>
    <col min="22" max="22" width="12.77734375" style="22" customWidth="1"/>
    <col min="23" max="23" width="13.33203125" style="22" customWidth="1"/>
    <col min="24" max="24" width="14.44140625" style="22" customWidth="1"/>
    <col min="25" max="25" width="11.6640625" style="22" customWidth="1"/>
    <col min="26" max="26" width="15.33203125" style="22" customWidth="1"/>
    <col min="27" max="27" width="15.21875" style="22" customWidth="1"/>
    <col min="28" max="28" width="13.77734375" style="22" customWidth="1"/>
    <col min="29" max="31" width="9.6640625" style="22"/>
    <col min="32" max="32" width="13.109375" style="22" customWidth="1"/>
    <col min="33" max="33" width="13.88671875" style="22" customWidth="1"/>
    <col min="34" max="35" width="9.6640625" style="22"/>
    <col min="36" max="36" width="10.77734375" style="22" customWidth="1"/>
    <col min="37" max="39" width="9.6640625" style="22"/>
    <col min="40" max="40" width="11.44140625" style="22" customWidth="1"/>
    <col min="41" max="41" width="11.109375" style="22" customWidth="1"/>
    <col min="42" max="44" width="9.6640625" style="22"/>
    <col min="45" max="45" width="8.21875" style="22" customWidth="1"/>
    <col min="46" max="46" width="9.109375" style="22" customWidth="1"/>
    <col min="47" max="47" width="13.33203125" style="22" customWidth="1"/>
    <col min="48" max="48" width="13.88671875" style="22" customWidth="1"/>
    <col min="49" max="49" width="16" style="22" customWidth="1"/>
    <col min="50" max="50" width="11.5546875" style="22" customWidth="1"/>
    <col min="51" max="51" width="12.77734375" style="22" customWidth="1"/>
    <col min="52" max="52" width="13.6640625" style="22" customWidth="1"/>
    <col min="53" max="53" width="11.21875" style="22" customWidth="1"/>
    <col min="54" max="54" width="18.33203125" style="22" customWidth="1"/>
    <col min="55" max="55" width="12.88671875" style="22" customWidth="1"/>
    <col min="56" max="57" width="13.21875" style="22" customWidth="1"/>
    <col min="58" max="58" width="10.88671875" style="22" customWidth="1"/>
    <col min="59" max="59" width="11.109375" style="22" customWidth="1"/>
    <col min="60" max="60" width="15.21875" style="22" customWidth="1"/>
    <col min="61" max="61" width="9.6640625" style="22"/>
    <col min="62" max="62" width="11" style="22" customWidth="1"/>
    <col min="63" max="63" width="10.77734375" style="22" customWidth="1"/>
    <col min="64" max="64" width="11.44140625" style="22" customWidth="1"/>
    <col min="65" max="65" width="10.44140625" style="22" customWidth="1"/>
    <col min="66" max="66" width="15.33203125" style="22" customWidth="1"/>
    <col min="67" max="256" width="9.6640625" style="22"/>
    <col min="257" max="257" width="6.44140625" style="22" customWidth="1"/>
    <col min="258" max="258" width="13.88671875" style="22" customWidth="1"/>
    <col min="259" max="259" width="14.33203125" style="22" customWidth="1"/>
    <col min="260" max="276" width="9.6640625" style="22"/>
    <col min="277" max="277" width="12" style="22" customWidth="1"/>
    <col min="278" max="278" width="12.77734375" style="22" customWidth="1"/>
    <col min="279" max="279" width="11.109375" style="22" customWidth="1"/>
    <col min="280" max="280" width="12" style="22" customWidth="1"/>
    <col min="281" max="281" width="9.6640625" style="22"/>
    <col min="282" max="282" width="15.33203125" style="22" customWidth="1"/>
    <col min="283" max="283" width="15.21875" style="22" customWidth="1"/>
    <col min="284" max="284" width="21.44140625" style="22" customWidth="1"/>
    <col min="285" max="300" width="9.6640625" style="22"/>
    <col min="301" max="302" width="13.44140625" style="22" customWidth="1"/>
    <col min="303" max="303" width="9.6640625" style="22"/>
    <col min="304" max="304" width="13.88671875" style="22" customWidth="1"/>
    <col min="305" max="305" width="10.6640625" style="22" customWidth="1"/>
    <col min="306" max="306" width="17.33203125" style="22" customWidth="1"/>
    <col min="307" max="308" width="12.6640625" style="22" customWidth="1"/>
    <col min="309" max="309" width="11.21875" style="22" customWidth="1"/>
    <col min="310" max="310" width="18.33203125" style="22" customWidth="1"/>
    <col min="311" max="311" width="12.88671875" style="22" customWidth="1"/>
    <col min="312" max="313" width="13.21875" style="22" customWidth="1"/>
    <col min="314" max="314" width="10.88671875" style="22" customWidth="1"/>
    <col min="315" max="315" width="11.109375" style="22" customWidth="1"/>
    <col min="316" max="316" width="15.21875" style="22" customWidth="1"/>
    <col min="317" max="317" width="9.6640625" style="22"/>
    <col min="318" max="318" width="11" style="22" customWidth="1"/>
    <col min="319" max="319" width="10.77734375" style="22" customWidth="1"/>
    <col min="320" max="320" width="11.44140625" style="22" customWidth="1"/>
    <col min="321" max="321" width="4" style="22" customWidth="1"/>
    <col min="322" max="512" width="9.6640625" style="22"/>
    <col min="513" max="513" width="6.44140625" style="22" customWidth="1"/>
    <col min="514" max="514" width="13.88671875" style="22" customWidth="1"/>
    <col min="515" max="515" width="14.33203125" style="22" customWidth="1"/>
    <col min="516" max="532" width="9.6640625" style="22"/>
    <col min="533" max="533" width="12" style="22" customWidth="1"/>
    <col min="534" max="534" width="12.77734375" style="22" customWidth="1"/>
    <col min="535" max="535" width="11.109375" style="22" customWidth="1"/>
    <col min="536" max="536" width="12" style="22" customWidth="1"/>
    <col min="537" max="537" width="9.6640625" style="22"/>
    <col min="538" max="538" width="15.33203125" style="22" customWidth="1"/>
    <col min="539" max="539" width="15.21875" style="22" customWidth="1"/>
    <col min="540" max="540" width="21.44140625" style="22" customWidth="1"/>
    <col min="541" max="556" width="9.6640625" style="22"/>
    <col min="557" max="558" width="13.44140625" style="22" customWidth="1"/>
    <col min="559" max="559" width="9.6640625" style="22"/>
    <col min="560" max="560" width="13.88671875" style="22" customWidth="1"/>
    <col min="561" max="561" width="10.6640625" style="22" customWidth="1"/>
    <col min="562" max="562" width="17.33203125" style="22" customWidth="1"/>
    <col min="563" max="564" width="12.6640625" style="22" customWidth="1"/>
    <col min="565" max="565" width="11.21875" style="22" customWidth="1"/>
    <col min="566" max="566" width="18.33203125" style="22" customWidth="1"/>
    <col min="567" max="567" width="12.88671875" style="22" customWidth="1"/>
    <col min="568" max="569" width="13.21875" style="22" customWidth="1"/>
    <col min="570" max="570" width="10.88671875" style="22" customWidth="1"/>
    <col min="571" max="571" width="11.109375" style="22" customWidth="1"/>
    <col min="572" max="572" width="15.21875" style="22" customWidth="1"/>
    <col min="573" max="573" width="9.6640625" style="22"/>
    <col min="574" max="574" width="11" style="22" customWidth="1"/>
    <col min="575" max="575" width="10.77734375" style="22" customWidth="1"/>
    <col min="576" max="576" width="11.44140625" style="22" customWidth="1"/>
    <col min="577" max="577" width="4" style="22" customWidth="1"/>
    <col min="578" max="768" width="9.6640625" style="22"/>
    <col min="769" max="769" width="6.44140625" style="22" customWidth="1"/>
    <col min="770" max="770" width="13.88671875" style="22" customWidth="1"/>
    <col min="771" max="771" width="14.33203125" style="22" customWidth="1"/>
    <col min="772" max="788" width="9.6640625" style="22"/>
    <col min="789" max="789" width="12" style="22" customWidth="1"/>
    <col min="790" max="790" width="12.77734375" style="22" customWidth="1"/>
    <col min="791" max="791" width="11.109375" style="22" customWidth="1"/>
    <col min="792" max="792" width="12" style="22" customWidth="1"/>
    <col min="793" max="793" width="9.6640625" style="22"/>
    <col min="794" max="794" width="15.33203125" style="22" customWidth="1"/>
    <col min="795" max="795" width="15.21875" style="22" customWidth="1"/>
    <col min="796" max="796" width="21.44140625" style="22" customWidth="1"/>
    <col min="797" max="812" width="9.6640625" style="22"/>
    <col min="813" max="814" width="13.44140625" style="22" customWidth="1"/>
    <col min="815" max="815" width="9.6640625" style="22"/>
    <col min="816" max="816" width="13.88671875" style="22" customWidth="1"/>
    <col min="817" max="817" width="10.6640625" style="22" customWidth="1"/>
    <col min="818" max="818" width="17.33203125" style="22" customWidth="1"/>
    <col min="819" max="820" width="12.6640625" style="22" customWidth="1"/>
    <col min="821" max="821" width="11.21875" style="22" customWidth="1"/>
    <col min="822" max="822" width="18.33203125" style="22" customWidth="1"/>
    <col min="823" max="823" width="12.88671875" style="22" customWidth="1"/>
    <col min="824" max="825" width="13.21875" style="22" customWidth="1"/>
    <col min="826" max="826" width="10.88671875" style="22" customWidth="1"/>
    <col min="827" max="827" width="11.109375" style="22" customWidth="1"/>
    <col min="828" max="828" width="15.21875" style="22" customWidth="1"/>
    <col min="829" max="829" width="9.6640625" style="22"/>
    <col min="830" max="830" width="11" style="22" customWidth="1"/>
    <col min="831" max="831" width="10.77734375" style="22" customWidth="1"/>
    <col min="832" max="832" width="11.44140625" style="22" customWidth="1"/>
    <col min="833" max="833" width="4" style="22" customWidth="1"/>
    <col min="834" max="1024" width="9.6640625" style="22"/>
    <col min="1025" max="1025" width="6.44140625" style="22" customWidth="1"/>
    <col min="1026" max="1026" width="13.88671875" style="22" customWidth="1"/>
    <col min="1027" max="1027" width="14.33203125" style="22" customWidth="1"/>
    <col min="1028" max="1044" width="9.6640625" style="22"/>
    <col min="1045" max="1045" width="12" style="22" customWidth="1"/>
    <col min="1046" max="1046" width="12.77734375" style="22" customWidth="1"/>
    <col min="1047" max="1047" width="11.109375" style="22" customWidth="1"/>
    <col min="1048" max="1048" width="12" style="22" customWidth="1"/>
    <col min="1049" max="1049" width="9.6640625" style="22"/>
    <col min="1050" max="1050" width="15.33203125" style="22" customWidth="1"/>
    <col min="1051" max="1051" width="15.21875" style="22" customWidth="1"/>
    <col min="1052" max="1052" width="21.44140625" style="22" customWidth="1"/>
    <col min="1053" max="1068" width="9.6640625" style="22"/>
    <col min="1069" max="1070" width="13.44140625" style="22" customWidth="1"/>
    <col min="1071" max="1071" width="9.6640625" style="22"/>
    <col min="1072" max="1072" width="13.88671875" style="22" customWidth="1"/>
    <col min="1073" max="1073" width="10.6640625" style="22" customWidth="1"/>
    <col min="1074" max="1074" width="17.33203125" style="22" customWidth="1"/>
    <col min="1075" max="1076" width="12.6640625" style="22" customWidth="1"/>
    <col min="1077" max="1077" width="11.21875" style="22" customWidth="1"/>
    <col min="1078" max="1078" width="18.33203125" style="22" customWidth="1"/>
    <col min="1079" max="1079" width="12.88671875" style="22" customWidth="1"/>
    <col min="1080" max="1081" width="13.21875" style="22" customWidth="1"/>
    <col min="1082" max="1082" width="10.88671875" style="22" customWidth="1"/>
    <col min="1083" max="1083" width="11.109375" style="22" customWidth="1"/>
    <col min="1084" max="1084" width="15.21875" style="22" customWidth="1"/>
    <col min="1085" max="1085" width="9.6640625" style="22"/>
    <col min="1086" max="1086" width="11" style="22" customWidth="1"/>
    <col min="1087" max="1087" width="10.77734375" style="22" customWidth="1"/>
    <col min="1088" max="1088" width="11.44140625" style="22" customWidth="1"/>
    <col min="1089" max="1089" width="4" style="22" customWidth="1"/>
    <col min="1090" max="1280" width="9.6640625" style="22"/>
    <col min="1281" max="1281" width="6.44140625" style="22" customWidth="1"/>
    <col min="1282" max="1282" width="13.88671875" style="22" customWidth="1"/>
    <col min="1283" max="1283" width="14.33203125" style="22" customWidth="1"/>
    <col min="1284" max="1300" width="9.6640625" style="22"/>
    <col min="1301" max="1301" width="12" style="22" customWidth="1"/>
    <col min="1302" max="1302" width="12.77734375" style="22" customWidth="1"/>
    <col min="1303" max="1303" width="11.109375" style="22" customWidth="1"/>
    <col min="1304" max="1304" width="12" style="22" customWidth="1"/>
    <col min="1305" max="1305" width="9.6640625" style="22"/>
    <col min="1306" max="1306" width="15.33203125" style="22" customWidth="1"/>
    <col min="1307" max="1307" width="15.21875" style="22" customWidth="1"/>
    <col min="1308" max="1308" width="21.44140625" style="22" customWidth="1"/>
    <col min="1309" max="1324" width="9.6640625" style="22"/>
    <col min="1325" max="1326" width="13.44140625" style="22" customWidth="1"/>
    <col min="1327" max="1327" width="9.6640625" style="22"/>
    <col min="1328" max="1328" width="13.88671875" style="22" customWidth="1"/>
    <col min="1329" max="1329" width="10.6640625" style="22" customWidth="1"/>
    <col min="1330" max="1330" width="17.33203125" style="22" customWidth="1"/>
    <col min="1331" max="1332" width="12.6640625" style="22" customWidth="1"/>
    <col min="1333" max="1333" width="11.21875" style="22" customWidth="1"/>
    <col min="1334" max="1334" width="18.33203125" style="22" customWidth="1"/>
    <col min="1335" max="1335" width="12.88671875" style="22" customWidth="1"/>
    <col min="1336" max="1337" width="13.21875" style="22" customWidth="1"/>
    <col min="1338" max="1338" width="10.88671875" style="22" customWidth="1"/>
    <col min="1339" max="1339" width="11.109375" style="22" customWidth="1"/>
    <col min="1340" max="1340" width="15.21875" style="22" customWidth="1"/>
    <col min="1341" max="1341" width="9.6640625" style="22"/>
    <col min="1342" max="1342" width="11" style="22" customWidth="1"/>
    <col min="1343" max="1343" width="10.77734375" style="22" customWidth="1"/>
    <col min="1344" max="1344" width="11.44140625" style="22" customWidth="1"/>
    <col min="1345" max="1345" width="4" style="22" customWidth="1"/>
    <col min="1346" max="1536" width="9.6640625" style="22"/>
    <col min="1537" max="1537" width="6.44140625" style="22" customWidth="1"/>
    <col min="1538" max="1538" width="13.88671875" style="22" customWidth="1"/>
    <col min="1539" max="1539" width="14.33203125" style="22" customWidth="1"/>
    <col min="1540" max="1556" width="9.6640625" style="22"/>
    <col min="1557" max="1557" width="12" style="22" customWidth="1"/>
    <col min="1558" max="1558" width="12.77734375" style="22" customWidth="1"/>
    <col min="1559" max="1559" width="11.109375" style="22" customWidth="1"/>
    <col min="1560" max="1560" width="12" style="22" customWidth="1"/>
    <col min="1561" max="1561" width="9.6640625" style="22"/>
    <col min="1562" max="1562" width="15.33203125" style="22" customWidth="1"/>
    <col min="1563" max="1563" width="15.21875" style="22" customWidth="1"/>
    <col min="1564" max="1564" width="21.44140625" style="22" customWidth="1"/>
    <col min="1565" max="1580" width="9.6640625" style="22"/>
    <col min="1581" max="1582" width="13.44140625" style="22" customWidth="1"/>
    <col min="1583" max="1583" width="9.6640625" style="22"/>
    <col min="1584" max="1584" width="13.88671875" style="22" customWidth="1"/>
    <col min="1585" max="1585" width="10.6640625" style="22" customWidth="1"/>
    <col min="1586" max="1586" width="17.33203125" style="22" customWidth="1"/>
    <col min="1587" max="1588" width="12.6640625" style="22" customWidth="1"/>
    <col min="1589" max="1589" width="11.21875" style="22" customWidth="1"/>
    <col min="1590" max="1590" width="18.33203125" style="22" customWidth="1"/>
    <col min="1591" max="1591" width="12.88671875" style="22" customWidth="1"/>
    <col min="1592" max="1593" width="13.21875" style="22" customWidth="1"/>
    <col min="1594" max="1594" width="10.88671875" style="22" customWidth="1"/>
    <col min="1595" max="1595" width="11.109375" style="22" customWidth="1"/>
    <col min="1596" max="1596" width="15.21875" style="22" customWidth="1"/>
    <col min="1597" max="1597" width="9.6640625" style="22"/>
    <col min="1598" max="1598" width="11" style="22" customWidth="1"/>
    <col min="1599" max="1599" width="10.77734375" style="22" customWidth="1"/>
    <col min="1600" max="1600" width="11.44140625" style="22" customWidth="1"/>
    <col min="1601" max="1601" width="4" style="22" customWidth="1"/>
    <col min="1602" max="1792" width="9.6640625" style="22"/>
    <col min="1793" max="1793" width="6.44140625" style="22" customWidth="1"/>
    <col min="1794" max="1794" width="13.88671875" style="22" customWidth="1"/>
    <col min="1795" max="1795" width="14.33203125" style="22" customWidth="1"/>
    <col min="1796" max="1812" width="9.6640625" style="22"/>
    <col min="1813" max="1813" width="12" style="22" customWidth="1"/>
    <col min="1814" max="1814" width="12.77734375" style="22" customWidth="1"/>
    <col min="1815" max="1815" width="11.109375" style="22" customWidth="1"/>
    <col min="1816" max="1816" width="12" style="22" customWidth="1"/>
    <col min="1817" max="1817" width="9.6640625" style="22"/>
    <col min="1818" max="1818" width="15.33203125" style="22" customWidth="1"/>
    <col min="1819" max="1819" width="15.21875" style="22" customWidth="1"/>
    <col min="1820" max="1820" width="21.44140625" style="22" customWidth="1"/>
    <col min="1821" max="1836" width="9.6640625" style="22"/>
    <col min="1837" max="1838" width="13.44140625" style="22" customWidth="1"/>
    <col min="1839" max="1839" width="9.6640625" style="22"/>
    <col min="1840" max="1840" width="13.88671875" style="22" customWidth="1"/>
    <col min="1841" max="1841" width="10.6640625" style="22" customWidth="1"/>
    <col min="1842" max="1842" width="17.33203125" style="22" customWidth="1"/>
    <col min="1843" max="1844" width="12.6640625" style="22" customWidth="1"/>
    <col min="1845" max="1845" width="11.21875" style="22" customWidth="1"/>
    <col min="1846" max="1846" width="18.33203125" style="22" customWidth="1"/>
    <col min="1847" max="1847" width="12.88671875" style="22" customWidth="1"/>
    <col min="1848" max="1849" width="13.21875" style="22" customWidth="1"/>
    <col min="1850" max="1850" width="10.88671875" style="22" customWidth="1"/>
    <col min="1851" max="1851" width="11.109375" style="22" customWidth="1"/>
    <col min="1852" max="1852" width="15.21875" style="22" customWidth="1"/>
    <col min="1853" max="1853" width="9.6640625" style="22"/>
    <col min="1854" max="1854" width="11" style="22" customWidth="1"/>
    <col min="1855" max="1855" width="10.77734375" style="22" customWidth="1"/>
    <col min="1856" max="1856" width="11.44140625" style="22" customWidth="1"/>
    <col min="1857" max="1857" width="4" style="22" customWidth="1"/>
    <col min="1858" max="2048" width="9.6640625" style="22"/>
    <col min="2049" max="2049" width="6.44140625" style="22" customWidth="1"/>
    <col min="2050" max="2050" width="13.88671875" style="22" customWidth="1"/>
    <col min="2051" max="2051" width="14.33203125" style="22" customWidth="1"/>
    <col min="2052" max="2068" width="9.6640625" style="22"/>
    <col min="2069" max="2069" width="12" style="22" customWidth="1"/>
    <col min="2070" max="2070" width="12.77734375" style="22" customWidth="1"/>
    <col min="2071" max="2071" width="11.109375" style="22" customWidth="1"/>
    <col min="2072" max="2072" width="12" style="22" customWidth="1"/>
    <col min="2073" max="2073" width="9.6640625" style="22"/>
    <col min="2074" max="2074" width="15.33203125" style="22" customWidth="1"/>
    <col min="2075" max="2075" width="15.21875" style="22" customWidth="1"/>
    <col min="2076" max="2076" width="21.44140625" style="22" customWidth="1"/>
    <col min="2077" max="2092" width="9.6640625" style="22"/>
    <col min="2093" max="2094" width="13.44140625" style="22" customWidth="1"/>
    <col min="2095" max="2095" width="9.6640625" style="22"/>
    <col min="2096" max="2096" width="13.88671875" style="22" customWidth="1"/>
    <col min="2097" max="2097" width="10.6640625" style="22" customWidth="1"/>
    <col min="2098" max="2098" width="17.33203125" style="22" customWidth="1"/>
    <col min="2099" max="2100" width="12.6640625" style="22" customWidth="1"/>
    <col min="2101" max="2101" width="11.21875" style="22" customWidth="1"/>
    <col min="2102" max="2102" width="18.33203125" style="22" customWidth="1"/>
    <col min="2103" max="2103" width="12.88671875" style="22" customWidth="1"/>
    <col min="2104" max="2105" width="13.21875" style="22" customWidth="1"/>
    <col min="2106" max="2106" width="10.88671875" style="22" customWidth="1"/>
    <col min="2107" max="2107" width="11.109375" style="22" customWidth="1"/>
    <col min="2108" max="2108" width="15.21875" style="22" customWidth="1"/>
    <col min="2109" max="2109" width="9.6640625" style="22"/>
    <col min="2110" max="2110" width="11" style="22" customWidth="1"/>
    <col min="2111" max="2111" width="10.77734375" style="22" customWidth="1"/>
    <col min="2112" max="2112" width="11.44140625" style="22" customWidth="1"/>
    <col min="2113" max="2113" width="4" style="22" customWidth="1"/>
    <col min="2114" max="2304" width="9.6640625" style="22"/>
    <col min="2305" max="2305" width="6.44140625" style="22" customWidth="1"/>
    <col min="2306" max="2306" width="13.88671875" style="22" customWidth="1"/>
    <col min="2307" max="2307" width="14.33203125" style="22" customWidth="1"/>
    <col min="2308" max="2324" width="9.6640625" style="22"/>
    <col min="2325" max="2325" width="12" style="22" customWidth="1"/>
    <col min="2326" max="2326" width="12.77734375" style="22" customWidth="1"/>
    <col min="2327" max="2327" width="11.109375" style="22" customWidth="1"/>
    <col min="2328" max="2328" width="12" style="22" customWidth="1"/>
    <col min="2329" max="2329" width="9.6640625" style="22"/>
    <col min="2330" max="2330" width="15.33203125" style="22" customWidth="1"/>
    <col min="2331" max="2331" width="15.21875" style="22" customWidth="1"/>
    <col min="2332" max="2332" width="21.44140625" style="22" customWidth="1"/>
    <col min="2333" max="2348" width="9.6640625" style="22"/>
    <col min="2349" max="2350" width="13.44140625" style="22" customWidth="1"/>
    <col min="2351" max="2351" width="9.6640625" style="22"/>
    <col min="2352" max="2352" width="13.88671875" style="22" customWidth="1"/>
    <col min="2353" max="2353" width="10.6640625" style="22" customWidth="1"/>
    <col min="2354" max="2354" width="17.33203125" style="22" customWidth="1"/>
    <col min="2355" max="2356" width="12.6640625" style="22" customWidth="1"/>
    <col min="2357" max="2357" width="11.21875" style="22" customWidth="1"/>
    <col min="2358" max="2358" width="18.33203125" style="22" customWidth="1"/>
    <col min="2359" max="2359" width="12.88671875" style="22" customWidth="1"/>
    <col min="2360" max="2361" width="13.21875" style="22" customWidth="1"/>
    <col min="2362" max="2362" width="10.88671875" style="22" customWidth="1"/>
    <col min="2363" max="2363" width="11.109375" style="22" customWidth="1"/>
    <col min="2364" max="2364" width="15.21875" style="22" customWidth="1"/>
    <col min="2365" max="2365" width="9.6640625" style="22"/>
    <col min="2366" max="2366" width="11" style="22" customWidth="1"/>
    <col min="2367" max="2367" width="10.77734375" style="22" customWidth="1"/>
    <col min="2368" max="2368" width="11.44140625" style="22" customWidth="1"/>
    <col min="2369" max="2369" width="4" style="22" customWidth="1"/>
    <col min="2370" max="2560" width="9.6640625" style="22"/>
    <col min="2561" max="2561" width="6.44140625" style="22" customWidth="1"/>
    <col min="2562" max="2562" width="13.88671875" style="22" customWidth="1"/>
    <col min="2563" max="2563" width="14.33203125" style="22" customWidth="1"/>
    <col min="2564" max="2580" width="9.6640625" style="22"/>
    <col min="2581" max="2581" width="12" style="22" customWidth="1"/>
    <col min="2582" max="2582" width="12.77734375" style="22" customWidth="1"/>
    <col min="2583" max="2583" width="11.109375" style="22" customWidth="1"/>
    <col min="2584" max="2584" width="12" style="22" customWidth="1"/>
    <col min="2585" max="2585" width="9.6640625" style="22"/>
    <col min="2586" max="2586" width="15.33203125" style="22" customWidth="1"/>
    <col min="2587" max="2587" width="15.21875" style="22" customWidth="1"/>
    <col min="2588" max="2588" width="21.44140625" style="22" customWidth="1"/>
    <col min="2589" max="2604" width="9.6640625" style="22"/>
    <col min="2605" max="2606" width="13.44140625" style="22" customWidth="1"/>
    <col min="2607" max="2607" width="9.6640625" style="22"/>
    <col min="2608" max="2608" width="13.88671875" style="22" customWidth="1"/>
    <col min="2609" max="2609" width="10.6640625" style="22" customWidth="1"/>
    <col min="2610" max="2610" width="17.33203125" style="22" customWidth="1"/>
    <col min="2611" max="2612" width="12.6640625" style="22" customWidth="1"/>
    <col min="2613" max="2613" width="11.21875" style="22" customWidth="1"/>
    <col min="2614" max="2614" width="18.33203125" style="22" customWidth="1"/>
    <col min="2615" max="2615" width="12.88671875" style="22" customWidth="1"/>
    <col min="2616" max="2617" width="13.21875" style="22" customWidth="1"/>
    <col min="2618" max="2618" width="10.88671875" style="22" customWidth="1"/>
    <col min="2619" max="2619" width="11.109375" style="22" customWidth="1"/>
    <col min="2620" max="2620" width="15.21875" style="22" customWidth="1"/>
    <col min="2621" max="2621" width="9.6640625" style="22"/>
    <col min="2622" max="2622" width="11" style="22" customWidth="1"/>
    <col min="2623" max="2623" width="10.77734375" style="22" customWidth="1"/>
    <col min="2624" max="2624" width="11.44140625" style="22" customWidth="1"/>
    <col min="2625" max="2625" width="4" style="22" customWidth="1"/>
    <col min="2626" max="2816" width="9.6640625" style="22"/>
    <col min="2817" max="2817" width="6.44140625" style="22" customWidth="1"/>
    <col min="2818" max="2818" width="13.88671875" style="22" customWidth="1"/>
    <col min="2819" max="2819" width="14.33203125" style="22" customWidth="1"/>
    <col min="2820" max="2836" width="9.6640625" style="22"/>
    <col min="2837" max="2837" width="12" style="22" customWidth="1"/>
    <col min="2838" max="2838" width="12.77734375" style="22" customWidth="1"/>
    <col min="2839" max="2839" width="11.109375" style="22" customWidth="1"/>
    <col min="2840" max="2840" width="12" style="22" customWidth="1"/>
    <col min="2841" max="2841" width="9.6640625" style="22"/>
    <col min="2842" max="2842" width="15.33203125" style="22" customWidth="1"/>
    <col min="2843" max="2843" width="15.21875" style="22" customWidth="1"/>
    <col min="2844" max="2844" width="21.44140625" style="22" customWidth="1"/>
    <col min="2845" max="2860" width="9.6640625" style="22"/>
    <col min="2861" max="2862" width="13.44140625" style="22" customWidth="1"/>
    <col min="2863" max="2863" width="9.6640625" style="22"/>
    <col min="2864" max="2864" width="13.88671875" style="22" customWidth="1"/>
    <col min="2865" max="2865" width="10.6640625" style="22" customWidth="1"/>
    <col min="2866" max="2866" width="17.33203125" style="22" customWidth="1"/>
    <col min="2867" max="2868" width="12.6640625" style="22" customWidth="1"/>
    <col min="2869" max="2869" width="11.21875" style="22" customWidth="1"/>
    <col min="2870" max="2870" width="18.33203125" style="22" customWidth="1"/>
    <col min="2871" max="2871" width="12.88671875" style="22" customWidth="1"/>
    <col min="2872" max="2873" width="13.21875" style="22" customWidth="1"/>
    <col min="2874" max="2874" width="10.88671875" style="22" customWidth="1"/>
    <col min="2875" max="2875" width="11.109375" style="22" customWidth="1"/>
    <col min="2876" max="2876" width="15.21875" style="22" customWidth="1"/>
    <col min="2877" max="2877" width="9.6640625" style="22"/>
    <col min="2878" max="2878" width="11" style="22" customWidth="1"/>
    <col min="2879" max="2879" width="10.77734375" style="22" customWidth="1"/>
    <col min="2880" max="2880" width="11.44140625" style="22" customWidth="1"/>
    <col min="2881" max="2881" width="4" style="22" customWidth="1"/>
    <col min="2882" max="3072" width="9.6640625" style="22"/>
    <col min="3073" max="3073" width="6.44140625" style="22" customWidth="1"/>
    <col min="3074" max="3074" width="13.88671875" style="22" customWidth="1"/>
    <col min="3075" max="3075" width="14.33203125" style="22" customWidth="1"/>
    <col min="3076" max="3092" width="9.6640625" style="22"/>
    <col min="3093" max="3093" width="12" style="22" customWidth="1"/>
    <col min="3094" max="3094" width="12.77734375" style="22" customWidth="1"/>
    <col min="3095" max="3095" width="11.109375" style="22" customWidth="1"/>
    <col min="3096" max="3096" width="12" style="22" customWidth="1"/>
    <col min="3097" max="3097" width="9.6640625" style="22"/>
    <col min="3098" max="3098" width="15.33203125" style="22" customWidth="1"/>
    <col min="3099" max="3099" width="15.21875" style="22" customWidth="1"/>
    <col min="3100" max="3100" width="21.44140625" style="22" customWidth="1"/>
    <col min="3101" max="3116" width="9.6640625" style="22"/>
    <col min="3117" max="3118" width="13.44140625" style="22" customWidth="1"/>
    <col min="3119" max="3119" width="9.6640625" style="22"/>
    <col min="3120" max="3120" width="13.88671875" style="22" customWidth="1"/>
    <col min="3121" max="3121" width="10.6640625" style="22" customWidth="1"/>
    <col min="3122" max="3122" width="17.33203125" style="22" customWidth="1"/>
    <col min="3123" max="3124" width="12.6640625" style="22" customWidth="1"/>
    <col min="3125" max="3125" width="11.21875" style="22" customWidth="1"/>
    <col min="3126" max="3126" width="18.33203125" style="22" customWidth="1"/>
    <col min="3127" max="3127" width="12.88671875" style="22" customWidth="1"/>
    <col min="3128" max="3129" width="13.21875" style="22" customWidth="1"/>
    <col min="3130" max="3130" width="10.88671875" style="22" customWidth="1"/>
    <col min="3131" max="3131" width="11.109375" style="22" customWidth="1"/>
    <col min="3132" max="3132" width="15.21875" style="22" customWidth="1"/>
    <col min="3133" max="3133" width="9.6640625" style="22"/>
    <col min="3134" max="3134" width="11" style="22" customWidth="1"/>
    <col min="3135" max="3135" width="10.77734375" style="22" customWidth="1"/>
    <col min="3136" max="3136" width="11.44140625" style="22" customWidth="1"/>
    <col min="3137" max="3137" width="4" style="22" customWidth="1"/>
    <col min="3138" max="3328" width="9.6640625" style="22"/>
    <col min="3329" max="3329" width="6.44140625" style="22" customWidth="1"/>
    <col min="3330" max="3330" width="13.88671875" style="22" customWidth="1"/>
    <col min="3331" max="3331" width="14.33203125" style="22" customWidth="1"/>
    <col min="3332" max="3348" width="9.6640625" style="22"/>
    <col min="3349" max="3349" width="12" style="22" customWidth="1"/>
    <col min="3350" max="3350" width="12.77734375" style="22" customWidth="1"/>
    <col min="3351" max="3351" width="11.109375" style="22" customWidth="1"/>
    <col min="3352" max="3352" width="12" style="22" customWidth="1"/>
    <col min="3353" max="3353" width="9.6640625" style="22"/>
    <col min="3354" max="3354" width="15.33203125" style="22" customWidth="1"/>
    <col min="3355" max="3355" width="15.21875" style="22" customWidth="1"/>
    <col min="3356" max="3356" width="21.44140625" style="22" customWidth="1"/>
    <col min="3357" max="3372" width="9.6640625" style="22"/>
    <col min="3373" max="3374" width="13.44140625" style="22" customWidth="1"/>
    <col min="3375" max="3375" width="9.6640625" style="22"/>
    <col min="3376" max="3376" width="13.88671875" style="22" customWidth="1"/>
    <col min="3377" max="3377" width="10.6640625" style="22" customWidth="1"/>
    <col min="3378" max="3378" width="17.33203125" style="22" customWidth="1"/>
    <col min="3379" max="3380" width="12.6640625" style="22" customWidth="1"/>
    <col min="3381" max="3381" width="11.21875" style="22" customWidth="1"/>
    <col min="3382" max="3382" width="18.33203125" style="22" customWidth="1"/>
    <col min="3383" max="3383" width="12.88671875" style="22" customWidth="1"/>
    <col min="3384" max="3385" width="13.21875" style="22" customWidth="1"/>
    <col min="3386" max="3386" width="10.88671875" style="22" customWidth="1"/>
    <col min="3387" max="3387" width="11.109375" style="22" customWidth="1"/>
    <col min="3388" max="3388" width="15.21875" style="22" customWidth="1"/>
    <col min="3389" max="3389" width="9.6640625" style="22"/>
    <col min="3390" max="3390" width="11" style="22" customWidth="1"/>
    <col min="3391" max="3391" width="10.77734375" style="22" customWidth="1"/>
    <col min="3392" max="3392" width="11.44140625" style="22" customWidth="1"/>
    <col min="3393" max="3393" width="4" style="22" customWidth="1"/>
    <col min="3394" max="3584" width="9.6640625" style="22"/>
    <col min="3585" max="3585" width="6.44140625" style="22" customWidth="1"/>
    <col min="3586" max="3586" width="13.88671875" style="22" customWidth="1"/>
    <col min="3587" max="3587" width="14.33203125" style="22" customWidth="1"/>
    <col min="3588" max="3604" width="9.6640625" style="22"/>
    <col min="3605" max="3605" width="12" style="22" customWidth="1"/>
    <col min="3606" max="3606" width="12.77734375" style="22" customWidth="1"/>
    <col min="3607" max="3607" width="11.109375" style="22" customWidth="1"/>
    <col min="3608" max="3608" width="12" style="22" customWidth="1"/>
    <col min="3609" max="3609" width="9.6640625" style="22"/>
    <col min="3610" max="3610" width="15.33203125" style="22" customWidth="1"/>
    <col min="3611" max="3611" width="15.21875" style="22" customWidth="1"/>
    <col min="3612" max="3612" width="21.44140625" style="22" customWidth="1"/>
    <col min="3613" max="3628" width="9.6640625" style="22"/>
    <col min="3629" max="3630" width="13.44140625" style="22" customWidth="1"/>
    <col min="3631" max="3631" width="9.6640625" style="22"/>
    <col min="3632" max="3632" width="13.88671875" style="22" customWidth="1"/>
    <col min="3633" max="3633" width="10.6640625" style="22" customWidth="1"/>
    <col min="3634" max="3634" width="17.33203125" style="22" customWidth="1"/>
    <col min="3635" max="3636" width="12.6640625" style="22" customWidth="1"/>
    <col min="3637" max="3637" width="11.21875" style="22" customWidth="1"/>
    <col min="3638" max="3638" width="18.33203125" style="22" customWidth="1"/>
    <col min="3639" max="3639" width="12.88671875" style="22" customWidth="1"/>
    <col min="3640" max="3641" width="13.21875" style="22" customWidth="1"/>
    <col min="3642" max="3642" width="10.88671875" style="22" customWidth="1"/>
    <col min="3643" max="3643" width="11.109375" style="22" customWidth="1"/>
    <col min="3644" max="3644" width="15.21875" style="22" customWidth="1"/>
    <col min="3645" max="3645" width="9.6640625" style="22"/>
    <col min="3646" max="3646" width="11" style="22" customWidth="1"/>
    <col min="3647" max="3647" width="10.77734375" style="22" customWidth="1"/>
    <col min="3648" max="3648" width="11.44140625" style="22" customWidth="1"/>
    <col min="3649" max="3649" width="4" style="22" customWidth="1"/>
    <col min="3650" max="3840" width="9.6640625" style="22"/>
    <col min="3841" max="3841" width="6.44140625" style="22" customWidth="1"/>
    <col min="3842" max="3842" width="13.88671875" style="22" customWidth="1"/>
    <col min="3843" max="3843" width="14.33203125" style="22" customWidth="1"/>
    <col min="3844" max="3860" width="9.6640625" style="22"/>
    <col min="3861" max="3861" width="12" style="22" customWidth="1"/>
    <col min="3862" max="3862" width="12.77734375" style="22" customWidth="1"/>
    <col min="3863" max="3863" width="11.109375" style="22" customWidth="1"/>
    <col min="3864" max="3864" width="12" style="22" customWidth="1"/>
    <col min="3865" max="3865" width="9.6640625" style="22"/>
    <col min="3866" max="3866" width="15.33203125" style="22" customWidth="1"/>
    <col min="3867" max="3867" width="15.21875" style="22" customWidth="1"/>
    <col min="3868" max="3868" width="21.44140625" style="22" customWidth="1"/>
    <col min="3869" max="3884" width="9.6640625" style="22"/>
    <col min="3885" max="3886" width="13.44140625" style="22" customWidth="1"/>
    <col min="3887" max="3887" width="9.6640625" style="22"/>
    <col min="3888" max="3888" width="13.88671875" style="22" customWidth="1"/>
    <col min="3889" max="3889" width="10.6640625" style="22" customWidth="1"/>
    <col min="3890" max="3890" width="17.33203125" style="22" customWidth="1"/>
    <col min="3891" max="3892" width="12.6640625" style="22" customWidth="1"/>
    <col min="3893" max="3893" width="11.21875" style="22" customWidth="1"/>
    <col min="3894" max="3894" width="18.33203125" style="22" customWidth="1"/>
    <col min="3895" max="3895" width="12.88671875" style="22" customWidth="1"/>
    <col min="3896" max="3897" width="13.21875" style="22" customWidth="1"/>
    <col min="3898" max="3898" width="10.88671875" style="22" customWidth="1"/>
    <col min="3899" max="3899" width="11.109375" style="22" customWidth="1"/>
    <col min="3900" max="3900" width="15.21875" style="22" customWidth="1"/>
    <col min="3901" max="3901" width="9.6640625" style="22"/>
    <col min="3902" max="3902" width="11" style="22" customWidth="1"/>
    <col min="3903" max="3903" width="10.77734375" style="22" customWidth="1"/>
    <col min="3904" max="3904" width="11.44140625" style="22" customWidth="1"/>
    <col min="3905" max="3905" width="4" style="22" customWidth="1"/>
    <col min="3906" max="4096" width="9.6640625" style="22"/>
    <col min="4097" max="4097" width="6.44140625" style="22" customWidth="1"/>
    <col min="4098" max="4098" width="13.88671875" style="22" customWidth="1"/>
    <col min="4099" max="4099" width="14.33203125" style="22" customWidth="1"/>
    <col min="4100" max="4116" width="9.6640625" style="22"/>
    <col min="4117" max="4117" width="12" style="22" customWidth="1"/>
    <col min="4118" max="4118" width="12.77734375" style="22" customWidth="1"/>
    <col min="4119" max="4119" width="11.109375" style="22" customWidth="1"/>
    <col min="4120" max="4120" width="12" style="22" customWidth="1"/>
    <col min="4121" max="4121" width="9.6640625" style="22"/>
    <col min="4122" max="4122" width="15.33203125" style="22" customWidth="1"/>
    <col min="4123" max="4123" width="15.21875" style="22" customWidth="1"/>
    <col min="4124" max="4124" width="21.44140625" style="22" customWidth="1"/>
    <col min="4125" max="4140" width="9.6640625" style="22"/>
    <col min="4141" max="4142" width="13.44140625" style="22" customWidth="1"/>
    <col min="4143" max="4143" width="9.6640625" style="22"/>
    <col min="4144" max="4144" width="13.88671875" style="22" customWidth="1"/>
    <col min="4145" max="4145" width="10.6640625" style="22" customWidth="1"/>
    <col min="4146" max="4146" width="17.33203125" style="22" customWidth="1"/>
    <col min="4147" max="4148" width="12.6640625" style="22" customWidth="1"/>
    <col min="4149" max="4149" width="11.21875" style="22" customWidth="1"/>
    <col min="4150" max="4150" width="18.33203125" style="22" customWidth="1"/>
    <col min="4151" max="4151" width="12.88671875" style="22" customWidth="1"/>
    <col min="4152" max="4153" width="13.21875" style="22" customWidth="1"/>
    <col min="4154" max="4154" width="10.88671875" style="22" customWidth="1"/>
    <col min="4155" max="4155" width="11.109375" style="22" customWidth="1"/>
    <col min="4156" max="4156" width="15.21875" style="22" customWidth="1"/>
    <col min="4157" max="4157" width="9.6640625" style="22"/>
    <col min="4158" max="4158" width="11" style="22" customWidth="1"/>
    <col min="4159" max="4159" width="10.77734375" style="22" customWidth="1"/>
    <col min="4160" max="4160" width="11.44140625" style="22" customWidth="1"/>
    <col min="4161" max="4161" width="4" style="22" customWidth="1"/>
    <col min="4162" max="4352" width="9.6640625" style="22"/>
    <col min="4353" max="4353" width="6.44140625" style="22" customWidth="1"/>
    <col min="4354" max="4354" width="13.88671875" style="22" customWidth="1"/>
    <col min="4355" max="4355" width="14.33203125" style="22" customWidth="1"/>
    <col min="4356" max="4372" width="9.6640625" style="22"/>
    <col min="4373" max="4373" width="12" style="22" customWidth="1"/>
    <col min="4374" max="4374" width="12.77734375" style="22" customWidth="1"/>
    <col min="4375" max="4375" width="11.109375" style="22" customWidth="1"/>
    <col min="4376" max="4376" width="12" style="22" customWidth="1"/>
    <col min="4377" max="4377" width="9.6640625" style="22"/>
    <col min="4378" max="4378" width="15.33203125" style="22" customWidth="1"/>
    <col min="4379" max="4379" width="15.21875" style="22" customWidth="1"/>
    <col min="4380" max="4380" width="21.44140625" style="22" customWidth="1"/>
    <col min="4381" max="4396" width="9.6640625" style="22"/>
    <col min="4397" max="4398" width="13.44140625" style="22" customWidth="1"/>
    <col min="4399" max="4399" width="9.6640625" style="22"/>
    <col min="4400" max="4400" width="13.88671875" style="22" customWidth="1"/>
    <col min="4401" max="4401" width="10.6640625" style="22" customWidth="1"/>
    <col min="4402" max="4402" width="17.33203125" style="22" customWidth="1"/>
    <col min="4403" max="4404" width="12.6640625" style="22" customWidth="1"/>
    <col min="4405" max="4405" width="11.21875" style="22" customWidth="1"/>
    <col min="4406" max="4406" width="18.33203125" style="22" customWidth="1"/>
    <col min="4407" max="4407" width="12.88671875" style="22" customWidth="1"/>
    <col min="4408" max="4409" width="13.21875" style="22" customWidth="1"/>
    <col min="4410" max="4410" width="10.88671875" style="22" customWidth="1"/>
    <col min="4411" max="4411" width="11.109375" style="22" customWidth="1"/>
    <col min="4412" max="4412" width="15.21875" style="22" customWidth="1"/>
    <col min="4413" max="4413" width="9.6640625" style="22"/>
    <col min="4414" max="4414" width="11" style="22" customWidth="1"/>
    <col min="4415" max="4415" width="10.77734375" style="22" customWidth="1"/>
    <col min="4416" max="4416" width="11.44140625" style="22" customWidth="1"/>
    <col min="4417" max="4417" width="4" style="22" customWidth="1"/>
    <col min="4418" max="4608" width="9.6640625" style="22"/>
    <col min="4609" max="4609" width="6.44140625" style="22" customWidth="1"/>
    <col min="4610" max="4610" width="13.88671875" style="22" customWidth="1"/>
    <col min="4611" max="4611" width="14.33203125" style="22" customWidth="1"/>
    <col min="4612" max="4628" width="9.6640625" style="22"/>
    <col min="4629" max="4629" width="12" style="22" customWidth="1"/>
    <col min="4630" max="4630" width="12.77734375" style="22" customWidth="1"/>
    <col min="4631" max="4631" width="11.109375" style="22" customWidth="1"/>
    <col min="4632" max="4632" width="12" style="22" customWidth="1"/>
    <col min="4633" max="4633" width="9.6640625" style="22"/>
    <col min="4634" max="4634" width="15.33203125" style="22" customWidth="1"/>
    <col min="4635" max="4635" width="15.21875" style="22" customWidth="1"/>
    <col min="4636" max="4636" width="21.44140625" style="22" customWidth="1"/>
    <col min="4637" max="4652" width="9.6640625" style="22"/>
    <col min="4653" max="4654" width="13.44140625" style="22" customWidth="1"/>
    <col min="4655" max="4655" width="9.6640625" style="22"/>
    <col min="4656" max="4656" width="13.88671875" style="22" customWidth="1"/>
    <col min="4657" max="4657" width="10.6640625" style="22" customWidth="1"/>
    <col min="4658" max="4658" width="17.33203125" style="22" customWidth="1"/>
    <col min="4659" max="4660" width="12.6640625" style="22" customWidth="1"/>
    <col min="4661" max="4661" width="11.21875" style="22" customWidth="1"/>
    <col min="4662" max="4662" width="18.33203125" style="22" customWidth="1"/>
    <col min="4663" max="4663" width="12.88671875" style="22" customWidth="1"/>
    <col min="4664" max="4665" width="13.21875" style="22" customWidth="1"/>
    <col min="4666" max="4666" width="10.88671875" style="22" customWidth="1"/>
    <col min="4667" max="4667" width="11.109375" style="22" customWidth="1"/>
    <col min="4668" max="4668" width="15.21875" style="22" customWidth="1"/>
    <col min="4669" max="4669" width="9.6640625" style="22"/>
    <col min="4670" max="4670" width="11" style="22" customWidth="1"/>
    <col min="4671" max="4671" width="10.77734375" style="22" customWidth="1"/>
    <col min="4672" max="4672" width="11.44140625" style="22" customWidth="1"/>
    <col min="4673" max="4673" width="4" style="22" customWidth="1"/>
    <col min="4674" max="4864" width="9.6640625" style="22"/>
    <col min="4865" max="4865" width="6.44140625" style="22" customWidth="1"/>
    <col min="4866" max="4866" width="13.88671875" style="22" customWidth="1"/>
    <col min="4867" max="4867" width="14.33203125" style="22" customWidth="1"/>
    <col min="4868" max="4884" width="9.6640625" style="22"/>
    <col min="4885" max="4885" width="12" style="22" customWidth="1"/>
    <col min="4886" max="4886" width="12.77734375" style="22" customWidth="1"/>
    <col min="4887" max="4887" width="11.109375" style="22" customWidth="1"/>
    <col min="4888" max="4888" width="12" style="22" customWidth="1"/>
    <col min="4889" max="4889" width="9.6640625" style="22"/>
    <col min="4890" max="4890" width="15.33203125" style="22" customWidth="1"/>
    <col min="4891" max="4891" width="15.21875" style="22" customWidth="1"/>
    <col min="4892" max="4892" width="21.44140625" style="22" customWidth="1"/>
    <col min="4893" max="4908" width="9.6640625" style="22"/>
    <col min="4909" max="4910" width="13.44140625" style="22" customWidth="1"/>
    <col min="4911" max="4911" width="9.6640625" style="22"/>
    <col min="4912" max="4912" width="13.88671875" style="22" customWidth="1"/>
    <col min="4913" max="4913" width="10.6640625" style="22" customWidth="1"/>
    <col min="4914" max="4914" width="17.33203125" style="22" customWidth="1"/>
    <col min="4915" max="4916" width="12.6640625" style="22" customWidth="1"/>
    <col min="4917" max="4917" width="11.21875" style="22" customWidth="1"/>
    <col min="4918" max="4918" width="18.33203125" style="22" customWidth="1"/>
    <col min="4919" max="4919" width="12.88671875" style="22" customWidth="1"/>
    <col min="4920" max="4921" width="13.21875" style="22" customWidth="1"/>
    <col min="4922" max="4922" width="10.88671875" style="22" customWidth="1"/>
    <col min="4923" max="4923" width="11.109375" style="22" customWidth="1"/>
    <col min="4924" max="4924" width="15.21875" style="22" customWidth="1"/>
    <col min="4925" max="4925" width="9.6640625" style="22"/>
    <col min="4926" max="4926" width="11" style="22" customWidth="1"/>
    <col min="4927" max="4927" width="10.77734375" style="22" customWidth="1"/>
    <col min="4928" max="4928" width="11.44140625" style="22" customWidth="1"/>
    <col min="4929" max="4929" width="4" style="22" customWidth="1"/>
    <col min="4930" max="5120" width="9.6640625" style="22"/>
    <col min="5121" max="5121" width="6.44140625" style="22" customWidth="1"/>
    <col min="5122" max="5122" width="13.88671875" style="22" customWidth="1"/>
    <col min="5123" max="5123" width="14.33203125" style="22" customWidth="1"/>
    <col min="5124" max="5140" width="9.6640625" style="22"/>
    <col min="5141" max="5141" width="12" style="22" customWidth="1"/>
    <col min="5142" max="5142" width="12.77734375" style="22" customWidth="1"/>
    <col min="5143" max="5143" width="11.109375" style="22" customWidth="1"/>
    <col min="5144" max="5144" width="12" style="22" customWidth="1"/>
    <col min="5145" max="5145" width="9.6640625" style="22"/>
    <col min="5146" max="5146" width="15.33203125" style="22" customWidth="1"/>
    <col min="5147" max="5147" width="15.21875" style="22" customWidth="1"/>
    <col min="5148" max="5148" width="21.44140625" style="22" customWidth="1"/>
    <col min="5149" max="5164" width="9.6640625" style="22"/>
    <col min="5165" max="5166" width="13.44140625" style="22" customWidth="1"/>
    <col min="5167" max="5167" width="9.6640625" style="22"/>
    <col min="5168" max="5168" width="13.88671875" style="22" customWidth="1"/>
    <col min="5169" max="5169" width="10.6640625" style="22" customWidth="1"/>
    <col min="5170" max="5170" width="17.33203125" style="22" customWidth="1"/>
    <col min="5171" max="5172" width="12.6640625" style="22" customWidth="1"/>
    <col min="5173" max="5173" width="11.21875" style="22" customWidth="1"/>
    <col min="5174" max="5174" width="18.33203125" style="22" customWidth="1"/>
    <col min="5175" max="5175" width="12.88671875" style="22" customWidth="1"/>
    <col min="5176" max="5177" width="13.21875" style="22" customWidth="1"/>
    <col min="5178" max="5178" width="10.88671875" style="22" customWidth="1"/>
    <col min="5179" max="5179" width="11.109375" style="22" customWidth="1"/>
    <col min="5180" max="5180" width="15.21875" style="22" customWidth="1"/>
    <col min="5181" max="5181" width="9.6640625" style="22"/>
    <col min="5182" max="5182" width="11" style="22" customWidth="1"/>
    <col min="5183" max="5183" width="10.77734375" style="22" customWidth="1"/>
    <col min="5184" max="5184" width="11.44140625" style="22" customWidth="1"/>
    <col min="5185" max="5185" width="4" style="22" customWidth="1"/>
    <col min="5186" max="5376" width="9.6640625" style="22"/>
    <col min="5377" max="5377" width="6.44140625" style="22" customWidth="1"/>
    <col min="5378" max="5378" width="13.88671875" style="22" customWidth="1"/>
    <col min="5379" max="5379" width="14.33203125" style="22" customWidth="1"/>
    <col min="5380" max="5396" width="9.6640625" style="22"/>
    <col min="5397" max="5397" width="12" style="22" customWidth="1"/>
    <col min="5398" max="5398" width="12.77734375" style="22" customWidth="1"/>
    <col min="5399" max="5399" width="11.109375" style="22" customWidth="1"/>
    <col min="5400" max="5400" width="12" style="22" customWidth="1"/>
    <col min="5401" max="5401" width="9.6640625" style="22"/>
    <col min="5402" max="5402" width="15.33203125" style="22" customWidth="1"/>
    <col min="5403" max="5403" width="15.21875" style="22" customWidth="1"/>
    <col min="5404" max="5404" width="21.44140625" style="22" customWidth="1"/>
    <col min="5405" max="5420" width="9.6640625" style="22"/>
    <col min="5421" max="5422" width="13.44140625" style="22" customWidth="1"/>
    <col min="5423" max="5423" width="9.6640625" style="22"/>
    <col min="5424" max="5424" width="13.88671875" style="22" customWidth="1"/>
    <col min="5425" max="5425" width="10.6640625" style="22" customWidth="1"/>
    <col min="5426" max="5426" width="17.33203125" style="22" customWidth="1"/>
    <col min="5427" max="5428" width="12.6640625" style="22" customWidth="1"/>
    <col min="5429" max="5429" width="11.21875" style="22" customWidth="1"/>
    <col min="5430" max="5430" width="18.33203125" style="22" customWidth="1"/>
    <col min="5431" max="5431" width="12.88671875" style="22" customWidth="1"/>
    <col min="5432" max="5433" width="13.21875" style="22" customWidth="1"/>
    <col min="5434" max="5434" width="10.88671875" style="22" customWidth="1"/>
    <col min="5435" max="5435" width="11.109375" style="22" customWidth="1"/>
    <col min="5436" max="5436" width="15.21875" style="22" customWidth="1"/>
    <col min="5437" max="5437" width="9.6640625" style="22"/>
    <col min="5438" max="5438" width="11" style="22" customWidth="1"/>
    <col min="5439" max="5439" width="10.77734375" style="22" customWidth="1"/>
    <col min="5440" max="5440" width="11.44140625" style="22" customWidth="1"/>
    <col min="5441" max="5441" width="4" style="22" customWidth="1"/>
    <col min="5442" max="5632" width="9.6640625" style="22"/>
    <col min="5633" max="5633" width="6.44140625" style="22" customWidth="1"/>
    <col min="5634" max="5634" width="13.88671875" style="22" customWidth="1"/>
    <col min="5635" max="5635" width="14.33203125" style="22" customWidth="1"/>
    <col min="5636" max="5652" width="9.6640625" style="22"/>
    <col min="5653" max="5653" width="12" style="22" customWidth="1"/>
    <col min="5654" max="5654" width="12.77734375" style="22" customWidth="1"/>
    <col min="5655" max="5655" width="11.109375" style="22" customWidth="1"/>
    <col min="5656" max="5656" width="12" style="22" customWidth="1"/>
    <col min="5657" max="5657" width="9.6640625" style="22"/>
    <col min="5658" max="5658" width="15.33203125" style="22" customWidth="1"/>
    <col min="5659" max="5659" width="15.21875" style="22" customWidth="1"/>
    <col min="5660" max="5660" width="21.44140625" style="22" customWidth="1"/>
    <col min="5661" max="5676" width="9.6640625" style="22"/>
    <col min="5677" max="5678" width="13.44140625" style="22" customWidth="1"/>
    <col min="5679" max="5679" width="9.6640625" style="22"/>
    <col min="5680" max="5680" width="13.88671875" style="22" customWidth="1"/>
    <col min="5681" max="5681" width="10.6640625" style="22" customWidth="1"/>
    <col min="5682" max="5682" width="17.33203125" style="22" customWidth="1"/>
    <col min="5683" max="5684" width="12.6640625" style="22" customWidth="1"/>
    <col min="5685" max="5685" width="11.21875" style="22" customWidth="1"/>
    <col min="5686" max="5686" width="18.33203125" style="22" customWidth="1"/>
    <col min="5687" max="5687" width="12.88671875" style="22" customWidth="1"/>
    <col min="5688" max="5689" width="13.21875" style="22" customWidth="1"/>
    <col min="5690" max="5690" width="10.88671875" style="22" customWidth="1"/>
    <col min="5691" max="5691" width="11.109375" style="22" customWidth="1"/>
    <col min="5692" max="5692" width="15.21875" style="22" customWidth="1"/>
    <col min="5693" max="5693" width="9.6640625" style="22"/>
    <col min="5694" max="5694" width="11" style="22" customWidth="1"/>
    <col min="5695" max="5695" width="10.77734375" style="22" customWidth="1"/>
    <col min="5696" max="5696" width="11.44140625" style="22" customWidth="1"/>
    <col min="5697" max="5697" width="4" style="22" customWidth="1"/>
    <col min="5698" max="5888" width="9.6640625" style="22"/>
    <col min="5889" max="5889" width="6.44140625" style="22" customWidth="1"/>
    <col min="5890" max="5890" width="13.88671875" style="22" customWidth="1"/>
    <col min="5891" max="5891" width="14.33203125" style="22" customWidth="1"/>
    <col min="5892" max="5908" width="9.6640625" style="22"/>
    <col min="5909" max="5909" width="12" style="22" customWidth="1"/>
    <col min="5910" max="5910" width="12.77734375" style="22" customWidth="1"/>
    <col min="5911" max="5911" width="11.109375" style="22" customWidth="1"/>
    <col min="5912" max="5912" width="12" style="22" customWidth="1"/>
    <col min="5913" max="5913" width="9.6640625" style="22"/>
    <col min="5914" max="5914" width="15.33203125" style="22" customWidth="1"/>
    <col min="5915" max="5915" width="15.21875" style="22" customWidth="1"/>
    <col min="5916" max="5916" width="21.44140625" style="22" customWidth="1"/>
    <col min="5917" max="5932" width="9.6640625" style="22"/>
    <col min="5933" max="5934" width="13.44140625" style="22" customWidth="1"/>
    <col min="5935" max="5935" width="9.6640625" style="22"/>
    <col min="5936" max="5936" width="13.88671875" style="22" customWidth="1"/>
    <col min="5937" max="5937" width="10.6640625" style="22" customWidth="1"/>
    <col min="5938" max="5938" width="17.33203125" style="22" customWidth="1"/>
    <col min="5939" max="5940" width="12.6640625" style="22" customWidth="1"/>
    <col min="5941" max="5941" width="11.21875" style="22" customWidth="1"/>
    <col min="5942" max="5942" width="18.33203125" style="22" customWidth="1"/>
    <col min="5943" max="5943" width="12.88671875" style="22" customWidth="1"/>
    <col min="5944" max="5945" width="13.21875" style="22" customWidth="1"/>
    <col min="5946" max="5946" width="10.88671875" style="22" customWidth="1"/>
    <col min="5947" max="5947" width="11.109375" style="22" customWidth="1"/>
    <col min="5948" max="5948" width="15.21875" style="22" customWidth="1"/>
    <col min="5949" max="5949" width="9.6640625" style="22"/>
    <col min="5950" max="5950" width="11" style="22" customWidth="1"/>
    <col min="5951" max="5951" width="10.77734375" style="22" customWidth="1"/>
    <col min="5952" max="5952" width="11.44140625" style="22" customWidth="1"/>
    <col min="5953" max="5953" width="4" style="22" customWidth="1"/>
    <col min="5954" max="6144" width="9.6640625" style="22"/>
    <col min="6145" max="6145" width="6.44140625" style="22" customWidth="1"/>
    <col min="6146" max="6146" width="13.88671875" style="22" customWidth="1"/>
    <col min="6147" max="6147" width="14.33203125" style="22" customWidth="1"/>
    <col min="6148" max="6164" width="9.6640625" style="22"/>
    <col min="6165" max="6165" width="12" style="22" customWidth="1"/>
    <col min="6166" max="6166" width="12.77734375" style="22" customWidth="1"/>
    <col min="6167" max="6167" width="11.109375" style="22" customWidth="1"/>
    <col min="6168" max="6168" width="12" style="22" customWidth="1"/>
    <col min="6169" max="6169" width="9.6640625" style="22"/>
    <col min="6170" max="6170" width="15.33203125" style="22" customWidth="1"/>
    <col min="6171" max="6171" width="15.21875" style="22" customWidth="1"/>
    <col min="6172" max="6172" width="21.44140625" style="22" customWidth="1"/>
    <col min="6173" max="6188" width="9.6640625" style="22"/>
    <col min="6189" max="6190" width="13.44140625" style="22" customWidth="1"/>
    <col min="6191" max="6191" width="9.6640625" style="22"/>
    <col min="6192" max="6192" width="13.88671875" style="22" customWidth="1"/>
    <col min="6193" max="6193" width="10.6640625" style="22" customWidth="1"/>
    <col min="6194" max="6194" width="17.33203125" style="22" customWidth="1"/>
    <col min="6195" max="6196" width="12.6640625" style="22" customWidth="1"/>
    <col min="6197" max="6197" width="11.21875" style="22" customWidth="1"/>
    <col min="6198" max="6198" width="18.33203125" style="22" customWidth="1"/>
    <col min="6199" max="6199" width="12.88671875" style="22" customWidth="1"/>
    <col min="6200" max="6201" width="13.21875" style="22" customWidth="1"/>
    <col min="6202" max="6202" width="10.88671875" style="22" customWidth="1"/>
    <col min="6203" max="6203" width="11.109375" style="22" customWidth="1"/>
    <col min="6204" max="6204" width="15.21875" style="22" customWidth="1"/>
    <col min="6205" max="6205" width="9.6640625" style="22"/>
    <col min="6206" max="6206" width="11" style="22" customWidth="1"/>
    <col min="6207" max="6207" width="10.77734375" style="22" customWidth="1"/>
    <col min="6208" max="6208" width="11.44140625" style="22" customWidth="1"/>
    <col min="6209" max="6209" width="4" style="22" customWidth="1"/>
    <col min="6210" max="6400" width="9.6640625" style="22"/>
    <col min="6401" max="6401" width="6.44140625" style="22" customWidth="1"/>
    <col min="6402" max="6402" width="13.88671875" style="22" customWidth="1"/>
    <col min="6403" max="6403" width="14.33203125" style="22" customWidth="1"/>
    <col min="6404" max="6420" width="9.6640625" style="22"/>
    <col min="6421" max="6421" width="12" style="22" customWidth="1"/>
    <col min="6422" max="6422" width="12.77734375" style="22" customWidth="1"/>
    <col min="6423" max="6423" width="11.109375" style="22" customWidth="1"/>
    <col min="6424" max="6424" width="12" style="22" customWidth="1"/>
    <col min="6425" max="6425" width="9.6640625" style="22"/>
    <col min="6426" max="6426" width="15.33203125" style="22" customWidth="1"/>
    <col min="6427" max="6427" width="15.21875" style="22" customWidth="1"/>
    <col min="6428" max="6428" width="21.44140625" style="22" customWidth="1"/>
    <col min="6429" max="6444" width="9.6640625" style="22"/>
    <col min="6445" max="6446" width="13.44140625" style="22" customWidth="1"/>
    <col min="6447" max="6447" width="9.6640625" style="22"/>
    <col min="6448" max="6448" width="13.88671875" style="22" customWidth="1"/>
    <col min="6449" max="6449" width="10.6640625" style="22" customWidth="1"/>
    <col min="6450" max="6450" width="17.33203125" style="22" customWidth="1"/>
    <col min="6451" max="6452" width="12.6640625" style="22" customWidth="1"/>
    <col min="6453" max="6453" width="11.21875" style="22" customWidth="1"/>
    <col min="6454" max="6454" width="18.33203125" style="22" customWidth="1"/>
    <col min="6455" max="6455" width="12.88671875" style="22" customWidth="1"/>
    <col min="6456" max="6457" width="13.21875" style="22" customWidth="1"/>
    <col min="6458" max="6458" width="10.88671875" style="22" customWidth="1"/>
    <col min="6459" max="6459" width="11.109375" style="22" customWidth="1"/>
    <col min="6460" max="6460" width="15.21875" style="22" customWidth="1"/>
    <col min="6461" max="6461" width="9.6640625" style="22"/>
    <col min="6462" max="6462" width="11" style="22" customWidth="1"/>
    <col min="6463" max="6463" width="10.77734375" style="22" customWidth="1"/>
    <col min="6464" max="6464" width="11.44140625" style="22" customWidth="1"/>
    <col min="6465" max="6465" width="4" style="22" customWidth="1"/>
    <col min="6466" max="6656" width="9.6640625" style="22"/>
    <col min="6657" max="6657" width="6.44140625" style="22" customWidth="1"/>
    <col min="6658" max="6658" width="13.88671875" style="22" customWidth="1"/>
    <col min="6659" max="6659" width="14.33203125" style="22" customWidth="1"/>
    <col min="6660" max="6676" width="9.6640625" style="22"/>
    <col min="6677" max="6677" width="12" style="22" customWidth="1"/>
    <col min="6678" max="6678" width="12.77734375" style="22" customWidth="1"/>
    <col min="6679" max="6679" width="11.109375" style="22" customWidth="1"/>
    <col min="6680" max="6680" width="12" style="22" customWidth="1"/>
    <col min="6681" max="6681" width="9.6640625" style="22"/>
    <col min="6682" max="6682" width="15.33203125" style="22" customWidth="1"/>
    <col min="6683" max="6683" width="15.21875" style="22" customWidth="1"/>
    <col min="6684" max="6684" width="21.44140625" style="22" customWidth="1"/>
    <col min="6685" max="6700" width="9.6640625" style="22"/>
    <col min="6701" max="6702" width="13.44140625" style="22" customWidth="1"/>
    <col min="6703" max="6703" width="9.6640625" style="22"/>
    <col min="6704" max="6704" width="13.88671875" style="22" customWidth="1"/>
    <col min="6705" max="6705" width="10.6640625" style="22" customWidth="1"/>
    <col min="6706" max="6706" width="17.33203125" style="22" customWidth="1"/>
    <col min="6707" max="6708" width="12.6640625" style="22" customWidth="1"/>
    <col min="6709" max="6709" width="11.21875" style="22" customWidth="1"/>
    <col min="6710" max="6710" width="18.33203125" style="22" customWidth="1"/>
    <col min="6711" max="6711" width="12.88671875" style="22" customWidth="1"/>
    <col min="6712" max="6713" width="13.21875" style="22" customWidth="1"/>
    <col min="6714" max="6714" width="10.88671875" style="22" customWidth="1"/>
    <col min="6715" max="6715" width="11.109375" style="22" customWidth="1"/>
    <col min="6716" max="6716" width="15.21875" style="22" customWidth="1"/>
    <col min="6717" max="6717" width="9.6640625" style="22"/>
    <col min="6718" max="6718" width="11" style="22" customWidth="1"/>
    <col min="6719" max="6719" width="10.77734375" style="22" customWidth="1"/>
    <col min="6720" max="6720" width="11.44140625" style="22" customWidth="1"/>
    <col min="6721" max="6721" width="4" style="22" customWidth="1"/>
    <col min="6722" max="6912" width="9.6640625" style="22"/>
    <col min="6913" max="6913" width="6.44140625" style="22" customWidth="1"/>
    <col min="6914" max="6914" width="13.88671875" style="22" customWidth="1"/>
    <col min="6915" max="6915" width="14.33203125" style="22" customWidth="1"/>
    <col min="6916" max="6932" width="9.6640625" style="22"/>
    <col min="6933" max="6933" width="12" style="22" customWidth="1"/>
    <col min="6934" max="6934" width="12.77734375" style="22" customWidth="1"/>
    <col min="6935" max="6935" width="11.109375" style="22" customWidth="1"/>
    <col min="6936" max="6936" width="12" style="22" customWidth="1"/>
    <col min="6937" max="6937" width="9.6640625" style="22"/>
    <col min="6938" max="6938" width="15.33203125" style="22" customWidth="1"/>
    <col min="6939" max="6939" width="15.21875" style="22" customWidth="1"/>
    <col min="6940" max="6940" width="21.44140625" style="22" customWidth="1"/>
    <col min="6941" max="6956" width="9.6640625" style="22"/>
    <col min="6957" max="6958" width="13.44140625" style="22" customWidth="1"/>
    <col min="6959" max="6959" width="9.6640625" style="22"/>
    <col min="6960" max="6960" width="13.88671875" style="22" customWidth="1"/>
    <col min="6961" max="6961" width="10.6640625" style="22" customWidth="1"/>
    <col min="6962" max="6962" width="17.33203125" style="22" customWidth="1"/>
    <col min="6963" max="6964" width="12.6640625" style="22" customWidth="1"/>
    <col min="6965" max="6965" width="11.21875" style="22" customWidth="1"/>
    <col min="6966" max="6966" width="18.33203125" style="22" customWidth="1"/>
    <col min="6967" max="6967" width="12.88671875" style="22" customWidth="1"/>
    <col min="6968" max="6969" width="13.21875" style="22" customWidth="1"/>
    <col min="6970" max="6970" width="10.88671875" style="22" customWidth="1"/>
    <col min="6971" max="6971" width="11.109375" style="22" customWidth="1"/>
    <col min="6972" max="6972" width="15.21875" style="22" customWidth="1"/>
    <col min="6973" max="6973" width="9.6640625" style="22"/>
    <col min="6974" max="6974" width="11" style="22" customWidth="1"/>
    <col min="6975" max="6975" width="10.77734375" style="22" customWidth="1"/>
    <col min="6976" max="6976" width="11.44140625" style="22" customWidth="1"/>
    <col min="6977" max="6977" width="4" style="22" customWidth="1"/>
    <col min="6978" max="7168" width="9.6640625" style="22"/>
    <col min="7169" max="7169" width="6.44140625" style="22" customWidth="1"/>
    <col min="7170" max="7170" width="13.88671875" style="22" customWidth="1"/>
    <col min="7171" max="7171" width="14.33203125" style="22" customWidth="1"/>
    <col min="7172" max="7188" width="9.6640625" style="22"/>
    <col min="7189" max="7189" width="12" style="22" customWidth="1"/>
    <col min="7190" max="7190" width="12.77734375" style="22" customWidth="1"/>
    <col min="7191" max="7191" width="11.109375" style="22" customWidth="1"/>
    <col min="7192" max="7192" width="12" style="22" customWidth="1"/>
    <col min="7193" max="7193" width="9.6640625" style="22"/>
    <col min="7194" max="7194" width="15.33203125" style="22" customWidth="1"/>
    <col min="7195" max="7195" width="15.21875" style="22" customWidth="1"/>
    <col min="7196" max="7196" width="21.44140625" style="22" customWidth="1"/>
    <col min="7197" max="7212" width="9.6640625" style="22"/>
    <col min="7213" max="7214" width="13.44140625" style="22" customWidth="1"/>
    <col min="7215" max="7215" width="9.6640625" style="22"/>
    <col min="7216" max="7216" width="13.88671875" style="22" customWidth="1"/>
    <col min="7217" max="7217" width="10.6640625" style="22" customWidth="1"/>
    <col min="7218" max="7218" width="17.33203125" style="22" customWidth="1"/>
    <col min="7219" max="7220" width="12.6640625" style="22" customWidth="1"/>
    <col min="7221" max="7221" width="11.21875" style="22" customWidth="1"/>
    <col min="7222" max="7222" width="18.33203125" style="22" customWidth="1"/>
    <col min="7223" max="7223" width="12.88671875" style="22" customWidth="1"/>
    <col min="7224" max="7225" width="13.21875" style="22" customWidth="1"/>
    <col min="7226" max="7226" width="10.88671875" style="22" customWidth="1"/>
    <col min="7227" max="7227" width="11.109375" style="22" customWidth="1"/>
    <col min="7228" max="7228" width="15.21875" style="22" customWidth="1"/>
    <col min="7229" max="7229" width="9.6640625" style="22"/>
    <col min="7230" max="7230" width="11" style="22" customWidth="1"/>
    <col min="7231" max="7231" width="10.77734375" style="22" customWidth="1"/>
    <col min="7232" max="7232" width="11.44140625" style="22" customWidth="1"/>
    <col min="7233" max="7233" width="4" style="22" customWidth="1"/>
    <col min="7234" max="7424" width="9.6640625" style="22"/>
    <col min="7425" max="7425" width="6.44140625" style="22" customWidth="1"/>
    <col min="7426" max="7426" width="13.88671875" style="22" customWidth="1"/>
    <col min="7427" max="7427" width="14.33203125" style="22" customWidth="1"/>
    <col min="7428" max="7444" width="9.6640625" style="22"/>
    <col min="7445" max="7445" width="12" style="22" customWidth="1"/>
    <col min="7446" max="7446" width="12.77734375" style="22" customWidth="1"/>
    <col min="7447" max="7447" width="11.109375" style="22" customWidth="1"/>
    <col min="7448" max="7448" width="12" style="22" customWidth="1"/>
    <col min="7449" max="7449" width="9.6640625" style="22"/>
    <col min="7450" max="7450" width="15.33203125" style="22" customWidth="1"/>
    <col min="7451" max="7451" width="15.21875" style="22" customWidth="1"/>
    <col min="7452" max="7452" width="21.44140625" style="22" customWidth="1"/>
    <col min="7453" max="7468" width="9.6640625" style="22"/>
    <col min="7469" max="7470" width="13.44140625" style="22" customWidth="1"/>
    <col min="7471" max="7471" width="9.6640625" style="22"/>
    <col min="7472" max="7472" width="13.88671875" style="22" customWidth="1"/>
    <col min="7473" max="7473" width="10.6640625" style="22" customWidth="1"/>
    <col min="7474" max="7474" width="17.33203125" style="22" customWidth="1"/>
    <col min="7475" max="7476" width="12.6640625" style="22" customWidth="1"/>
    <col min="7477" max="7477" width="11.21875" style="22" customWidth="1"/>
    <col min="7478" max="7478" width="18.33203125" style="22" customWidth="1"/>
    <col min="7479" max="7479" width="12.88671875" style="22" customWidth="1"/>
    <col min="7480" max="7481" width="13.21875" style="22" customWidth="1"/>
    <col min="7482" max="7482" width="10.88671875" style="22" customWidth="1"/>
    <col min="7483" max="7483" width="11.109375" style="22" customWidth="1"/>
    <col min="7484" max="7484" width="15.21875" style="22" customWidth="1"/>
    <col min="7485" max="7485" width="9.6640625" style="22"/>
    <col min="7486" max="7486" width="11" style="22" customWidth="1"/>
    <col min="7487" max="7487" width="10.77734375" style="22" customWidth="1"/>
    <col min="7488" max="7488" width="11.44140625" style="22" customWidth="1"/>
    <col min="7489" max="7489" width="4" style="22" customWidth="1"/>
    <col min="7490" max="7680" width="9.6640625" style="22"/>
    <col min="7681" max="7681" width="6.44140625" style="22" customWidth="1"/>
    <col min="7682" max="7682" width="13.88671875" style="22" customWidth="1"/>
    <col min="7683" max="7683" width="14.33203125" style="22" customWidth="1"/>
    <col min="7684" max="7700" width="9.6640625" style="22"/>
    <col min="7701" max="7701" width="12" style="22" customWidth="1"/>
    <col min="7702" max="7702" width="12.77734375" style="22" customWidth="1"/>
    <col min="7703" max="7703" width="11.109375" style="22" customWidth="1"/>
    <col min="7704" max="7704" width="12" style="22" customWidth="1"/>
    <col min="7705" max="7705" width="9.6640625" style="22"/>
    <col min="7706" max="7706" width="15.33203125" style="22" customWidth="1"/>
    <col min="7707" max="7707" width="15.21875" style="22" customWidth="1"/>
    <col min="7708" max="7708" width="21.44140625" style="22" customWidth="1"/>
    <col min="7709" max="7724" width="9.6640625" style="22"/>
    <col min="7725" max="7726" width="13.44140625" style="22" customWidth="1"/>
    <col min="7727" max="7727" width="9.6640625" style="22"/>
    <col min="7728" max="7728" width="13.88671875" style="22" customWidth="1"/>
    <col min="7729" max="7729" width="10.6640625" style="22" customWidth="1"/>
    <col min="7730" max="7730" width="17.33203125" style="22" customWidth="1"/>
    <col min="7731" max="7732" width="12.6640625" style="22" customWidth="1"/>
    <col min="7733" max="7733" width="11.21875" style="22" customWidth="1"/>
    <col min="7734" max="7734" width="18.33203125" style="22" customWidth="1"/>
    <col min="7735" max="7735" width="12.88671875" style="22" customWidth="1"/>
    <col min="7736" max="7737" width="13.21875" style="22" customWidth="1"/>
    <col min="7738" max="7738" width="10.88671875" style="22" customWidth="1"/>
    <col min="7739" max="7739" width="11.109375" style="22" customWidth="1"/>
    <col min="7740" max="7740" width="15.21875" style="22" customWidth="1"/>
    <col min="7741" max="7741" width="9.6640625" style="22"/>
    <col min="7742" max="7742" width="11" style="22" customWidth="1"/>
    <col min="7743" max="7743" width="10.77734375" style="22" customWidth="1"/>
    <col min="7744" max="7744" width="11.44140625" style="22" customWidth="1"/>
    <col min="7745" max="7745" width="4" style="22" customWidth="1"/>
    <col min="7746" max="7936" width="9.6640625" style="22"/>
    <col min="7937" max="7937" width="6.44140625" style="22" customWidth="1"/>
    <col min="7938" max="7938" width="13.88671875" style="22" customWidth="1"/>
    <col min="7939" max="7939" width="14.33203125" style="22" customWidth="1"/>
    <col min="7940" max="7956" width="9.6640625" style="22"/>
    <col min="7957" max="7957" width="12" style="22" customWidth="1"/>
    <col min="7958" max="7958" width="12.77734375" style="22" customWidth="1"/>
    <col min="7959" max="7959" width="11.109375" style="22" customWidth="1"/>
    <col min="7960" max="7960" width="12" style="22" customWidth="1"/>
    <col min="7961" max="7961" width="9.6640625" style="22"/>
    <col min="7962" max="7962" width="15.33203125" style="22" customWidth="1"/>
    <col min="7963" max="7963" width="15.21875" style="22" customWidth="1"/>
    <col min="7964" max="7964" width="21.44140625" style="22" customWidth="1"/>
    <col min="7965" max="7980" width="9.6640625" style="22"/>
    <col min="7981" max="7982" width="13.44140625" style="22" customWidth="1"/>
    <col min="7983" max="7983" width="9.6640625" style="22"/>
    <col min="7984" max="7984" width="13.88671875" style="22" customWidth="1"/>
    <col min="7985" max="7985" width="10.6640625" style="22" customWidth="1"/>
    <col min="7986" max="7986" width="17.33203125" style="22" customWidth="1"/>
    <col min="7987" max="7988" width="12.6640625" style="22" customWidth="1"/>
    <col min="7989" max="7989" width="11.21875" style="22" customWidth="1"/>
    <col min="7990" max="7990" width="18.33203125" style="22" customWidth="1"/>
    <col min="7991" max="7991" width="12.88671875" style="22" customWidth="1"/>
    <col min="7992" max="7993" width="13.21875" style="22" customWidth="1"/>
    <col min="7994" max="7994" width="10.88671875" style="22" customWidth="1"/>
    <col min="7995" max="7995" width="11.109375" style="22" customWidth="1"/>
    <col min="7996" max="7996" width="15.21875" style="22" customWidth="1"/>
    <col min="7997" max="7997" width="9.6640625" style="22"/>
    <col min="7998" max="7998" width="11" style="22" customWidth="1"/>
    <col min="7999" max="7999" width="10.77734375" style="22" customWidth="1"/>
    <col min="8000" max="8000" width="11.44140625" style="22" customWidth="1"/>
    <col min="8001" max="8001" width="4" style="22" customWidth="1"/>
    <col min="8002" max="8192" width="9.6640625" style="22"/>
    <col min="8193" max="8193" width="6.44140625" style="22" customWidth="1"/>
    <col min="8194" max="8194" width="13.88671875" style="22" customWidth="1"/>
    <col min="8195" max="8195" width="14.33203125" style="22" customWidth="1"/>
    <col min="8196" max="8212" width="9.6640625" style="22"/>
    <col min="8213" max="8213" width="12" style="22" customWidth="1"/>
    <col min="8214" max="8214" width="12.77734375" style="22" customWidth="1"/>
    <col min="8215" max="8215" width="11.109375" style="22" customWidth="1"/>
    <col min="8216" max="8216" width="12" style="22" customWidth="1"/>
    <col min="8217" max="8217" width="9.6640625" style="22"/>
    <col min="8218" max="8218" width="15.33203125" style="22" customWidth="1"/>
    <col min="8219" max="8219" width="15.21875" style="22" customWidth="1"/>
    <col min="8220" max="8220" width="21.44140625" style="22" customWidth="1"/>
    <col min="8221" max="8236" width="9.6640625" style="22"/>
    <col min="8237" max="8238" width="13.44140625" style="22" customWidth="1"/>
    <col min="8239" max="8239" width="9.6640625" style="22"/>
    <col min="8240" max="8240" width="13.88671875" style="22" customWidth="1"/>
    <col min="8241" max="8241" width="10.6640625" style="22" customWidth="1"/>
    <col min="8242" max="8242" width="17.33203125" style="22" customWidth="1"/>
    <col min="8243" max="8244" width="12.6640625" style="22" customWidth="1"/>
    <col min="8245" max="8245" width="11.21875" style="22" customWidth="1"/>
    <col min="8246" max="8246" width="18.33203125" style="22" customWidth="1"/>
    <col min="8247" max="8247" width="12.88671875" style="22" customWidth="1"/>
    <col min="8248" max="8249" width="13.21875" style="22" customWidth="1"/>
    <col min="8250" max="8250" width="10.88671875" style="22" customWidth="1"/>
    <col min="8251" max="8251" width="11.109375" style="22" customWidth="1"/>
    <col min="8252" max="8252" width="15.21875" style="22" customWidth="1"/>
    <col min="8253" max="8253" width="9.6640625" style="22"/>
    <col min="8254" max="8254" width="11" style="22" customWidth="1"/>
    <col min="8255" max="8255" width="10.77734375" style="22" customWidth="1"/>
    <col min="8256" max="8256" width="11.44140625" style="22" customWidth="1"/>
    <col min="8257" max="8257" width="4" style="22" customWidth="1"/>
    <col min="8258" max="8448" width="9.6640625" style="22"/>
    <col min="8449" max="8449" width="6.44140625" style="22" customWidth="1"/>
    <col min="8450" max="8450" width="13.88671875" style="22" customWidth="1"/>
    <col min="8451" max="8451" width="14.33203125" style="22" customWidth="1"/>
    <col min="8452" max="8468" width="9.6640625" style="22"/>
    <col min="8469" max="8469" width="12" style="22" customWidth="1"/>
    <col min="8470" max="8470" width="12.77734375" style="22" customWidth="1"/>
    <col min="8471" max="8471" width="11.109375" style="22" customWidth="1"/>
    <col min="8472" max="8472" width="12" style="22" customWidth="1"/>
    <col min="8473" max="8473" width="9.6640625" style="22"/>
    <col min="8474" max="8474" width="15.33203125" style="22" customWidth="1"/>
    <col min="8475" max="8475" width="15.21875" style="22" customWidth="1"/>
    <col min="8476" max="8476" width="21.44140625" style="22" customWidth="1"/>
    <col min="8477" max="8492" width="9.6640625" style="22"/>
    <col min="8493" max="8494" width="13.44140625" style="22" customWidth="1"/>
    <col min="8495" max="8495" width="9.6640625" style="22"/>
    <col min="8496" max="8496" width="13.88671875" style="22" customWidth="1"/>
    <col min="8497" max="8497" width="10.6640625" style="22" customWidth="1"/>
    <col min="8498" max="8498" width="17.33203125" style="22" customWidth="1"/>
    <col min="8499" max="8500" width="12.6640625" style="22" customWidth="1"/>
    <col min="8501" max="8501" width="11.21875" style="22" customWidth="1"/>
    <col min="8502" max="8502" width="18.33203125" style="22" customWidth="1"/>
    <col min="8503" max="8503" width="12.88671875" style="22" customWidth="1"/>
    <col min="8504" max="8505" width="13.21875" style="22" customWidth="1"/>
    <col min="8506" max="8506" width="10.88671875" style="22" customWidth="1"/>
    <col min="8507" max="8507" width="11.109375" style="22" customWidth="1"/>
    <col min="8508" max="8508" width="15.21875" style="22" customWidth="1"/>
    <col min="8509" max="8509" width="9.6640625" style="22"/>
    <col min="8510" max="8510" width="11" style="22" customWidth="1"/>
    <col min="8511" max="8511" width="10.77734375" style="22" customWidth="1"/>
    <col min="8512" max="8512" width="11.44140625" style="22" customWidth="1"/>
    <col min="8513" max="8513" width="4" style="22" customWidth="1"/>
    <col min="8514" max="8704" width="9.6640625" style="22"/>
    <col min="8705" max="8705" width="6.44140625" style="22" customWidth="1"/>
    <col min="8706" max="8706" width="13.88671875" style="22" customWidth="1"/>
    <col min="8707" max="8707" width="14.33203125" style="22" customWidth="1"/>
    <col min="8708" max="8724" width="9.6640625" style="22"/>
    <col min="8725" max="8725" width="12" style="22" customWidth="1"/>
    <col min="8726" max="8726" width="12.77734375" style="22" customWidth="1"/>
    <col min="8727" max="8727" width="11.109375" style="22" customWidth="1"/>
    <col min="8728" max="8728" width="12" style="22" customWidth="1"/>
    <col min="8729" max="8729" width="9.6640625" style="22"/>
    <col min="8730" max="8730" width="15.33203125" style="22" customWidth="1"/>
    <col min="8731" max="8731" width="15.21875" style="22" customWidth="1"/>
    <col min="8732" max="8732" width="21.44140625" style="22" customWidth="1"/>
    <col min="8733" max="8748" width="9.6640625" style="22"/>
    <col min="8749" max="8750" width="13.44140625" style="22" customWidth="1"/>
    <col min="8751" max="8751" width="9.6640625" style="22"/>
    <col min="8752" max="8752" width="13.88671875" style="22" customWidth="1"/>
    <col min="8753" max="8753" width="10.6640625" style="22" customWidth="1"/>
    <col min="8754" max="8754" width="17.33203125" style="22" customWidth="1"/>
    <col min="8755" max="8756" width="12.6640625" style="22" customWidth="1"/>
    <col min="8757" max="8757" width="11.21875" style="22" customWidth="1"/>
    <col min="8758" max="8758" width="18.33203125" style="22" customWidth="1"/>
    <col min="8759" max="8759" width="12.88671875" style="22" customWidth="1"/>
    <col min="8760" max="8761" width="13.21875" style="22" customWidth="1"/>
    <col min="8762" max="8762" width="10.88671875" style="22" customWidth="1"/>
    <col min="8763" max="8763" width="11.109375" style="22" customWidth="1"/>
    <col min="8764" max="8764" width="15.21875" style="22" customWidth="1"/>
    <col min="8765" max="8765" width="9.6640625" style="22"/>
    <col min="8766" max="8766" width="11" style="22" customWidth="1"/>
    <col min="8767" max="8767" width="10.77734375" style="22" customWidth="1"/>
    <col min="8768" max="8768" width="11.44140625" style="22" customWidth="1"/>
    <col min="8769" max="8769" width="4" style="22" customWidth="1"/>
    <col min="8770" max="8960" width="9.6640625" style="22"/>
    <col min="8961" max="8961" width="6.44140625" style="22" customWidth="1"/>
    <col min="8962" max="8962" width="13.88671875" style="22" customWidth="1"/>
    <col min="8963" max="8963" width="14.33203125" style="22" customWidth="1"/>
    <col min="8964" max="8980" width="9.6640625" style="22"/>
    <col min="8981" max="8981" width="12" style="22" customWidth="1"/>
    <col min="8982" max="8982" width="12.77734375" style="22" customWidth="1"/>
    <col min="8983" max="8983" width="11.109375" style="22" customWidth="1"/>
    <col min="8984" max="8984" width="12" style="22" customWidth="1"/>
    <col min="8985" max="8985" width="9.6640625" style="22"/>
    <col min="8986" max="8986" width="15.33203125" style="22" customWidth="1"/>
    <col min="8987" max="8987" width="15.21875" style="22" customWidth="1"/>
    <col min="8988" max="8988" width="21.44140625" style="22" customWidth="1"/>
    <col min="8989" max="9004" width="9.6640625" style="22"/>
    <col min="9005" max="9006" width="13.44140625" style="22" customWidth="1"/>
    <col min="9007" max="9007" width="9.6640625" style="22"/>
    <col min="9008" max="9008" width="13.88671875" style="22" customWidth="1"/>
    <col min="9009" max="9009" width="10.6640625" style="22" customWidth="1"/>
    <col min="9010" max="9010" width="17.33203125" style="22" customWidth="1"/>
    <col min="9011" max="9012" width="12.6640625" style="22" customWidth="1"/>
    <col min="9013" max="9013" width="11.21875" style="22" customWidth="1"/>
    <col min="9014" max="9014" width="18.33203125" style="22" customWidth="1"/>
    <col min="9015" max="9015" width="12.88671875" style="22" customWidth="1"/>
    <col min="9016" max="9017" width="13.21875" style="22" customWidth="1"/>
    <col min="9018" max="9018" width="10.88671875" style="22" customWidth="1"/>
    <col min="9019" max="9019" width="11.109375" style="22" customWidth="1"/>
    <col min="9020" max="9020" width="15.21875" style="22" customWidth="1"/>
    <col min="9021" max="9021" width="9.6640625" style="22"/>
    <col min="9022" max="9022" width="11" style="22" customWidth="1"/>
    <col min="9023" max="9023" width="10.77734375" style="22" customWidth="1"/>
    <col min="9024" max="9024" width="11.44140625" style="22" customWidth="1"/>
    <col min="9025" max="9025" width="4" style="22" customWidth="1"/>
    <col min="9026" max="9216" width="9.6640625" style="22"/>
    <col min="9217" max="9217" width="6.44140625" style="22" customWidth="1"/>
    <col min="9218" max="9218" width="13.88671875" style="22" customWidth="1"/>
    <col min="9219" max="9219" width="14.33203125" style="22" customWidth="1"/>
    <col min="9220" max="9236" width="9.6640625" style="22"/>
    <col min="9237" max="9237" width="12" style="22" customWidth="1"/>
    <col min="9238" max="9238" width="12.77734375" style="22" customWidth="1"/>
    <col min="9239" max="9239" width="11.109375" style="22" customWidth="1"/>
    <col min="9240" max="9240" width="12" style="22" customWidth="1"/>
    <col min="9241" max="9241" width="9.6640625" style="22"/>
    <col min="9242" max="9242" width="15.33203125" style="22" customWidth="1"/>
    <col min="9243" max="9243" width="15.21875" style="22" customWidth="1"/>
    <col min="9244" max="9244" width="21.44140625" style="22" customWidth="1"/>
    <col min="9245" max="9260" width="9.6640625" style="22"/>
    <col min="9261" max="9262" width="13.44140625" style="22" customWidth="1"/>
    <col min="9263" max="9263" width="9.6640625" style="22"/>
    <col min="9264" max="9264" width="13.88671875" style="22" customWidth="1"/>
    <col min="9265" max="9265" width="10.6640625" style="22" customWidth="1"/>
    <col min="9266" max="9266" width="17.33203125" style="22" customWidth="1"/>
    <col min="9267" max="9268" width="12.6640625" style="22" customWidth="1"/>
    <col min="9269" max="9269" width="11.21875" style="22" customWidth="1"/>
    <col min="9270" max="9270" width="18.33203125" style="22" customWidth="1"/>
    <col min="9271" max="9271" width="12.88671875" style="22" customWidth="1"/>
    <col min="9272" max="9273" width="13.21875" style="22" customWidth="1"/>
    <col min="9274" max="9274" width="10.88671875" style="22" customWidth="1"/>
    <col min="9275" max="9275" width="11.109375" style="22" customWidth="1"/>
    <col min="9276" max="9276" width="15.21875" style="22" customWidth="1"/>
    <col min="9277" max="9277" width="9.6640625" style="22"/>
    <col min="9278" max="9278" width="11" style="22" customWidth="1"/>
    <col min="9279" max="9279" width="10.77734375" style="22" customWidth="1"/>
    <col min="9280" max="9280" width="11.44140625" style="22" customWidth="1"/>
    <col min="9281" max="9281" width="4" style="22" customWidth="1"/>
    <col min="9282" max="9472" width="9.6640625" style="22"/>
    <col min="9473" max="9473" width="6.44140625" style="22" customWidth="1"/>
    <col min="9474" max="9474" width="13.88671875" style="22" customWidth="1"/>
    <col min="9475" max="9475" width="14.33203125" style="22" customWidth="1"/>
    <col min="9476" max="9492" width="9.6640625" style="22"/>
    <col min="9493" max="9493" width="12" style="22" customWidth="1"/>
    <col min="9494" max="9494" width="12.77734375" style="22" customWidth="1"/>
    <col min="9495" max="9495" width="11.109375" style="22" customWidth="1"/>
    <col min="9496" max="9496" width="12" style="22" customWidth="1"/>
    <col min="9497" max="9497" width="9.6640625" style="22"/>
    <col min="9498" max="9498" width="15.33203125" style="22" customWidth="1"/>
    <col min="9499" max="9499" width="15.21875" style="22" customWidth="1"/>
    <col min="9500" max="9500" width="21.44140625" style="22" customWidth="1"/>
    <col min="9501" max="9516" width="9.6640625" style="22"/>
    <col min="9517" max="9518" width="13.44140625" style="22" customWidth="1"/>
    <col min="9519" max="9519" width="9.6640625" style="22"/>
    <col min="9520" max="9520" width="13.88671875" style="22" customWidth="1"/>
    <col min="9521" max="9521" width="10.6640625" style="22" customWidth="1"/>
    <col min="9522" max="9522" width="17.33203125" style="22" customWidth="1"/>
    <col min="9523" max="9524" width="12.6640625" style="22" customWidth="1"/>
    <col min="9525" max="9525" width="11.21875" style="22" customWidth="1"/>
    <col min="9526" max="9526" width="18.33203125" style="22" customWidth="1"/>
    <col min="9527" max="9527" width="12.88671875" style="22" customWidth="1"/>
    <col min="9528" max="9529" width="13.21875" style="22" customWidth="1"/>
    <col min="9530" max="9530" width="10.88671875" style="22" customWidth="1"/>
    <col min="9531" max="9531" width="11.109375" style="22" customWidth="1"/>
    <col min="9532" max="9532" width="15.21875" style="22" customWidth="1"/>
    <col min="9533" max="9533" width="9.6640625" style="22"/>
    <col min="9534" max="9534" width="11" style="22" customWidth="1"/>
    <col min="9535" max="9535" width="10.77734375" style="22" customWidth="1"/>
    <col min="9536" max="9536" width="11.44140625" style="22" customWidth="1"/>
    <col min="9537" max="9537" width="4" style="22" customWidth="1"/>
    <col min="9538" max="9728" width="9.6640625" style="22"/>
    <col min="9729" max="9729" width="6.44140625" style="22" customWidth="1"/>
    <col min="9730" max="9730" width="13.88671875" style="22" customWidth="1"/>
    <col min="9731" max="9731" width="14.33203125" style="22" customWidth="1"/>
    <col min="9732" max="9748" width="9.6640625" style="22"/>
    <col min="9749" max="9749" width="12" style="22" customWidth="1"/>
    <col min="9750" max="9750" width="12.77734375" style="22" customWidth="1"/>
    <col min="9751" max="9751" width="11.109375" style="22" customWidth="1"/>
    <col min="9752" max="9752" width="12" style="22" customWidth="1"/>
    <col min="9753" max="9753" width="9.6640625" style="22"/>
    <col min="9754" max="9754" width="15.33203125" style="22" customWidth="1"/>
    <col min="9755" max="9755" width="15.21875" style="22" customWidth="1"/>
    <col min="9756" max="9756" width="21.44140625" style="22" customWidth="1"/>
    <col min="9757" max="9772" width="9.6640625" style="22"/>
    <col min="9773" max="9774" width="13.44140625" style="22" customWidth="1"/>
    <col min="9775" max="9775" width="9.6640625" style="22"/>
    <col min="9776" max="9776" width="13.88671875" style="22" customWidth="1"/>
    <col min="9777" max="9777" width="10.6640625" style="22" customWidth="1"/>
    <col min="9778" max="9778" width="17.33203125" style="22" customWidth="1"/>
    <col min="9779" max="9780" width="12.6640625" style="22" customWidth="1"/>
    <col min="9781" max="9781" width="11.21875" style="22" customWidth="1"/>
    <col min="9782" max="9782" width="18.33203125" style="22" customWidth="1"/>
    <col min="9783" max="9783" width="12.88671875" style="22" customWidth="1"/>
    <col min="9784" max="9785" width="13.21875" style="22" customWidth="1"/>
    <col min="9786" max="9786" width="10.88671875" style="22" customWidth="1"/>
    <col min="9787" max="9787" width="11.109375" style="22" customWidth="1"/>
    <col min="9788" max="9788" width="15.21875" style="22" customWidth="1"/>
    <col min="9789" max="9789" width="9.6640625" style="22"/>
    <col min="9790" max="9790" width="11" style="22" customWidth="1"/>
    <col min="9791" max="9791" width="10.77734375" style="22" customWidth="1"/>
    <col min="9792" max="9792" width="11.44140625" style="22" customWidth="1"/>
    <col min="9793" max="9793" width="4" style="22" customWidth="1"/>
    <col min="9794" max="9984" width="9.6640625" style="22"/>
    <col min="9985" max="9985" width="6.44140625" style="22" customWidth="1"/>
    <col min="9986" max="9986" width="13.88671875" style="22" customWidth="1"/>
    <col min="9987" max="9987" width="14.33203125" style="22" customWidth="1"/>
    <col min="9988" max="10004" width="9.6640625" style="22"/>
    <col min="10005" max="10005" width="12" style="22" customWidth="1"/>
    <col min="10006" max="10006" width="12.77734375" style="22" customWidth="1"/>
    <col min="10007" max="10007" width="11.109375" style="22" customWidth="1"/>
    <col min="10008" max="10008" width="12" style="22" customWidth="1"/>
    <col min="10009" max="10009" width="9.6640625" style="22"/>
    <col min="10010" max="10010" width="15.33203125" style="22" customWidth="1"/>
    <col min="10011" max="10011" width="15.21875" style="22" customWidth="1"/>
    <col min="10012" max="10012" width="21.44140625" style="22" customWidth="1"/>
    <col min="10013" max="10028" width="9.6640625" style="22"/>
    <col min="10029" max="10030" width="13.44140625" style="22" customWidth="1"/>
    <col min="10031" max="10031" width="9.6640625" style="22"/>
    <col min="10032" max="10032" width="13.88671875" style="22" customWidth="1"/>
    <col min="10033" max="10033" width="10.6640625" style="22" customWidth="1"/>
    <col min="10034" max="10034" width="17.33203125" style="22" customWidth="1"/>
    <col min="10035" max="10036" width="12.6640625" style="22" customWidth="1"/>
    <col min="10037" max="10037" width="11.21875" style="22" customWidth="1"/>
    <col min="10038" max="10038" width="18.33203125" style="22" customWidth="1"/>
    <col min="10039" max="10039" width="12.88671875" style="22" customWidth="1"/>
    <col min="10040" max="10041" width="13.21875" style="22" customWidth="1"/>
    <col min="10042" max="10042" width="10.88671875" style="22" customWidth="1"/>
    <col min="10043" max="10043" width="11.109375" style="22" customWidth="1"/>
    <col min="10044" max="10044" width="15.21875" style="22" customWidth="1"/>
    <col min="10045" max="10045" width="9.6640625" style="22"/>
    <col min="10046" max="10046" width="11" style="22" customWidth="1"/>
    <col min="10047" max="10047" width="10.77734375" style="22" customWidth="1"/>
    <col min="10048" max="10048" width="11.44140625" style="22" customWidth="1"/>
    <col min="10049" max="10049" width="4" style="22" customWidth="1"/>
    <col min="10050" max="10240" width="9.6640625" style="22"/>
    <col min="10241" max="10241" width="6.44140625" style="22" customWidth="1"/>
    <col min="10242" max="10242" width="13.88671875" style="22" customWidth="1"/>
    <col min="10243" max="10243" width="14.33203125" style="22" customWidth="1"/>
    <col min="10244" max="10260" width="9.6640625" style="22"/>
    <col min="10261" max="10261" width="12" style="22" customWidth="1"/>
    <col min="10262" max="10262" width="12.77734375" style="22" customWidth="1"/>
    <col min="10263" max="10263" width="11.109375" style="22" customWidth="1"/>
    <col min="10264" max="10264" width="12" style="22" customWidth="1"/>
    <col min="10265" max="10265" width="9.6640625" style="22"/>
    <col min="10266" max="10266" width="15.33203125" style="22" customWidth="1"/>
    <col min="10267" max="10267" width="15.21875" style="22" customWidth="1"/>
    <col min="10268" max="10268" width="21.44140625" style="22" customWidth="1"/>
    <col min="10269" max="10284" width="9.6640625" style="22"/>
    <col min="10285" max="10286" width="13.44140625" style="22" customWidth="1"/>
    <col min="10287" max="10287" width="9.6640625" style="22"/>
    <col min="10288" max="10288" width="13.88671875" style="22" customWidth="1"/>
    <col min="10289" max="10289" width="10.6640625" style="22" customWidth="1"/>
    <col min="10290" max="10290" width="17.33203125" style="22" customWidth="1"/>
    <col min="10291" max="10292" width="12.6640625" style="22" customWidth="1"/>
    <col min="10293" max="10293" width="11.21875" style="22" customWidth="1"/>
    <col min="10294" max="10294" width="18.33203125" style="22" customWidth="1"/>
    <col min="10295" max="10295" width="12.88671875" style="22" customWidth="1"/>
    <col min="10296" max="10297" width="13.21875" style="22" customWidth="1"/>
    <col min="10298" max="10298" width="10.88671875" style="22" customWidth="1"/>
    <col min="10299" max="10299" width="11.109375" style="22" customWidth="1"/>
    <col min="10300" max="10300" width="15.21875" style="22" customWidth="1"/>
    <col min="10301" max="10301" width="9.6640625" style="22"/>
    <col min="10302" max="10302" width="11" style="22" customWidth="1"/>
    <col min="10303" max="10303" width="10.77734375" style="22" customWidth="1"/>
    <col min="10304" max="10304" width="11.44140625" style="22" customWidth="1"/>
    <col min="10305" max="10305" width="4" style="22" customWidth="1"/>
    <col min="10306" max="10496" width="9.6640625" style="22"/>
    <col min="10497" max="10497" width="6.44140625" style="22" customWidth="1"/>
    <col min="10498" max="10498" width="13.88671875" style="22" customWidth="1"/>
    <col min="10499" max="10499" width="14.33203125" style="22" customWidth="1"/>
    <col min="10500" max="10516" width="9.6640625" style="22"/>
    <col min="10517" max="10517" width="12" style="22" customWidth="1"/>
    <col min="10518" max="10518" width="12.77734375" style="22" customWidth="1"/>
    <col min="10519" max="10519" width="11.109375" style="22" customWidth="1"/>
    <col min="10520" max="10520" width="12" style="22" customWidth="1"/>
    <col min="10521" max="10521" width="9.6640625" style="22"/>
    <col min="10522" max="10522" width="15.33203125" style="22" customWidth="1"/>
    <col min="10523" max="10523" width="15.21875" style="22" customWidth="1"/>
    <col min="10524" max="10524" width="21.44140625" style="22" customWidth="1"/>
    <col min="10525" max="10540" width="9.6640625" style="22"/>
    <col min="10541" max="10542" width="13.44140625" style="22" customWidth="1"/>
    <col min="10543" max="10543" width="9.6640625" style="22"/>
    <col min="10544" max="10544" width="13.88671875" style="22" customWidth="1"/>
    <col min="10545" max="10545" width="10.6640625" style="22" customWidth="1"/>
    <col min="10546" max="10546" width="17.33203125" style="22" customWidth="1"/>
    <col min="10547" max="10548" width="12.6640625" style="22" customWidth="1"/>
    <col min="10549" max="10549" width="11.21875" style="22" customWidth="1"/>
    <col min="10550" max="10550" width="18.33203125" style="22" customWidth="1"/>
    <col min="10551" max="10551" width="12.88671875" style="22" customWidth="1"/>
    <col min="10552" max="10553" width="13.21875" style="22" customWidth="1"/>
    <col min="10554" max="10554" width="10.88671875" style="22" customWidth="1"/>
    <col min="10555" max="10555" width="11.109375" style="22" customWidth="1"/>
    <col min="10556" max="10556" width="15.21875" style="22" customWidth="1"/>
    <col min="10557" max="10557" width="9.6640625" style="22"/>
    <col min="10558" max="10558" width="11" style="22" customWidth="1"/>
    <col min="10559" max="10559" width="10.77734375" style="22" customWidth="1"/>
    <col min="10560" max="10560" width="11.44140625" style="22" customWidth="1"/>
    <col min="10561" max="10561" width="4" style="22" customWidth="1"/>
    <col min="10562" max="10752" width="9.6640625" style="22"/>
    <col min="10753" max="10753" width="6.44140625" style="22" customWidth="1"/>
    <col min="10754" max="10754" width="13.88671875" style="22" customWidth="1"/>
    <col min="10755" max="10755" width="14.33203125" style="22" customWidth="1"/>
    <col min="10756" max="10772" width="9.6640625" style="22"/>
    <col min="10773" max="10773" width="12" style="22" customWidth="1"/>
    <col min="10774" max="10774" width="12.77734375" style="22" customWidth="1"/>
    <col min="10775" max="10775" width="11.109375" style="22" customWidth="1"/>
    <col min="10776" max="10776" width="12" style="22" customWidth="1"/>
    <col min="10777" max="10777" width="9.6640625" style="22"/>
    <col min="10778" max="10778" width="15.33203125" style="22" customWidth="1"/>
    <col min="10779" max="10779" width="15.21875" style="22" customWidth="1"/>
    <col min="10780" max="10780" width="21.44140625" style="22" customWidth="1"/>
    <col min="10781" max="10796" width="9.6640625" style="22"/>
    <col min="10797" max="10798" width="13.44140625" style="22" customWidth="1"/>
    <col min="10799" max="10799" width="9.6640625" style="22"/>
    <col min="10800" max="10800" width="13.88671875" style="22" customWidth="1"/>
    <col min="10801" max="10801" width="10.6640625" style="22" customWidth="1"/>
    <col min="10802" max="10802" width="17.33203125" style="22" customWidth="1"/>
    <col min="10803" max="10804" width="12.6640625" style="22" customWidth="1"/>
    <col min="10805" max="10805" width="11.21875" style="22" customWidth="1"/>
    <col min="10806" max="10806" width="18.33203125" style="22" customWidth="1"/>
    <col min="10807" max="10807" width="12.88671875" style="22" customWidth="1"/>
    <col min="10808" max="10809" width="13.21875" style="22" customWidth="1"/>
    <col min="10810" max="10810" width="10.88671875" style="22" customWidth="1"/>
    <col min="10811" max="10811" width="11.109375" style="22" customWidth="1"/>
    <col min="10812" max="10812" width="15.21875" style="22" customWidth="1"/>
    <col min="10813" max="10813" width="9.6640625" style="22"/>
    <col min="10814" max="10814" width="11" style="22" customWidth="1"/>
    <col min="10815" max="10815" width="10.77734375" style="22" customWidth="1"/>
    <col min="10816" max="10816" width="11.44140625" style="22" customWidth="1"/>
    <col min="10817" max="10817" width="4" style="22" customWidth="1"/>
    <col min="10818" max="11008" width="9.6640625" style="22"/>
    <col min="11009" max="11009" width="6.44140625" style="22" customWidth="1"/>
    <col min="11010" max="11010" width="13.88671875" style="22" customWidth="1"/>
    <col min="11011" max="11011" width="14.33203125" style="22" customWidth="1"/>
    <col min="11012" max="11028" width="9.6640625" style="22"/>
    <col min="11029" max="11029" width="12" style="22" customWidth="1"/>
    <col min="11030" max="11030" width="12.77734375" style="22" customWidth="1"/>
    <col min="11031" max="11031" width="11.109375" style="22" customWidth="1"/>
    <col min="11032" max="11032" width="12" style="22" customWidth="1"/>
    <col min="11033" max="11033" width="9.6640625" style="22"/>
    <col min="11034" max="11034" width="15.33203125" style="22" customWidth="1"/>
    <col min="11035" max="11035" width="15.21875" style="22" customWidth="1"/>
    <col min="11036" max="11036" width="21.44140625" style="22" customWidth="1"/>
    <col min="11037" max="11052" width="9.6640625" style="22"/>
    <col min="11053" max="11054" width="13.44140625" style="22" customWidth="1"/>
    <col min="11055" max="11055" width="9.6640625" style="22"/>
    <col min="11056" max="11056" width="13.88671875" style="22" customWidth="1"/>
    <col min="11057" max="11057" width="10.6640625" style="22" customWidth="1"/>
    <col min="11058" max="11058" width="17.33203125" style="22" customWidth="1"/>
    <col min="11059" max="11060" width="12.6640625" style="22" customWidth="1"/>
    <col min="11061" max="11061" width="11.21875" style="22" customWidth="1"/>
    <col min="11062" max="11062" width="18.33203125" style="22" customWidth="1"/>
    <col min="11063" max="11063" width="12.88671875" style="22" customWidth="1"/>
    <col min="11064" max="11065" width="13.21875" style="22" customWidth="1"/>
    <col min="11066" max="11066" width="10.88671875" style="22" customWidth="1"/>
    <col min="11067" max="11067" width="11.109375" style="22" customWidth="1"/>
    <col min="11068" max="11068" width="15.21875" style="22" customWidth="1"/>
    <col min="11069" max="11069" width="9.6640625" style="22"/>
    <col min="11070" max="11070" width="11" style="22" customWidth="1"/>
    <col min="11071" max="11071" width="10.77734375" style="22" customWidth="1"/>
    <col min="11072" max="11072" width="11.44140625" style="22" customWidth="1"/>
    <col min="11073" max="11073" width="4" style="22" customWidth="1"/>
    <col min="11074" max="11264" width="9.6640625" style="22"/>
    <col min="11265" max="11265" width="6.44140625" style="22" customWidth="1"/>
    <col min="11266" max="11266" width="13.88671875" style="22" customWidth="1"/>
    <col min="11267" max="11267" width="14.33203125" style="22" customWidth="1"/>
    <col min="11268" max="11284" width="9.6640625" style="22"/>
    <col min="11285" max="11285" width="12" style="22" customWidth="1"/>
    <col min="11286" max="11286" width="12.77734375" style="22" customWidth="1"/>
    <col min="11287" max="11287" width="11.109375" style="22" customWidth="1"/>
    <col min="11288" max="11288" width="12" style="22" customWidth="1"/>
    <col min="11289" max="11289" width="9.6640625" style="22"/>
    <col min="11290" max="11290" width="15.33203125" style="22" customWidth="1"/>
    <col min="11291" max="11291" width="15.21875" style="22" customWidth="1"/>
    <col min="11292" max="11292" width="21.44140625" style="22" customWidth="1"/>
    <col min="11293" max="11308" width="9.6640625" style="22"/>
    <col min="11309" max="11310" width="13.44140625" style="22" customWidth="1"/>
    <col min="11311" max="11311" width="9.6640625" style="22"/>
    <col min="11312" max="11312" width="13.88671875" style="22" customWidth="1"/>
    <col min="11313" max="11313" width="10.6640625" style="22" customWidth="1"/>
    <col min="11314" max="11314" width="17.33203125" style="22" customWidth="1"/>
    <col min="11315" max="11316" width="12.6640625" style="22" customWidth="1"/>
    <col min="11317" max="11317" width="11.21875" style="22" customWidth="1"/>
    <col min="11318" max="11318" width="18.33203125" style="22" customWidth="1"/>
    <col min="11319" max="11319" width="12.88671875" style="22" customWidth="1"/>
    <col min="11320" max="11321" width="13.21875" style="22" customWidth="1"/>
    <col min="11322" max="11322" width="10.88671875" style="22" customWidth="1"/>
    <col min="11323" max="11323" width="11.109375" style="22" customWidth="1"/>
    <col min="11324" max="11324" width="15.21875" style="22" customWidth="1"/>
    <col min="11325" max="11325" width="9.6640625" style="22"/>
    <col min="11326" max="11326" width="11" style="22" customWidth="1"/>
    <col min="11327" max="11327" width="10.77734375" style="22" customWidth="1"/>
    <col min="11328" max="11328" width="11.44140625" style="22" customWidth="1"/>
    <col min="11329" max="11329" width="4" style="22" customWidth="1"/>
    <col min="11330" max="11520" width="9.6640625" style="22"/>
    <col min="11521" max="11521" width="6.44140625" style="22" customWidth="1"/>
    <col min="11522" max="11522" width="13.88671875" style="22" customWidth="1"/>
    <col min="11523" max="11523" width="14.33203125" style="22" customWidth="1"/>
    <col min="11524" max="11540" width="9.6640625" style="22"/>
    <col min="11541" max="11541" width="12" style="22" customWidth="1"/>
    <col min="11542" max="11542" width="12.77734375" style="22" customWidth="1"/>
    <col min="11543" max="11543" width="11.109375" style="22" customWidth="1"/>
    <col min="11544" max="11544" width="12" style="22" customWidth="1"/>
    <col min="11545" max="11545" width="9.6640625" style="22"/>
    <col min="11546" max="11546" width="15.33203125" style="22" customWidth="1"/>
    <col min="11547" max="11547" width="15.21875" style="22" customWidth="1"/>
    <col min="11548" max="11548" width="21.44140625" style="22" customWidth="1"/>
    <col min="11549" max="11564" width="9.6640625" style="22"/>
    <col min="11565" max="11566" width="13.44140625" style="22" customWidth="1"/>
    <col min="11567" max="11567" width="9.6640625" style="22"/>
    <col min="11568" max="11568" width="13.88671875" style="22" customWidth="1"/>
    <col min="11569" max="11569" width="10.6640625" style="22" customWidth="1"/>
    <col min="11570" max="11570" width="17.33203125" style="22" customWidth="1"/>
    <col min="11571" max="11572" width="12.6640625" style="22" customWidth="1"/>
    <col min="11573" max="11573" width="11.21875" style="22" customWidth="1"/>
    <col min="11574" max="11574" width="18.33203125" style="22" customWidth="1"/>
    <col min="11575" max="11575" width="12.88671875" style="22" customWidth="1"/>
    <col min="11576" max="11577" width="13.21875" style="22" customWidth="1"/>
    <col min="11578" max="11578" width="10.88671875" style="22" customWidth="1"/>
    <col min="11579" max="11579" width="11.109375" style="22" customWidth="1"/>
    <col min="11580" max="11580" width="15.21875" style="22" customWidth="1"/>
    <col min="11581" max="11581" width="9.6640625" style="22"/>
    <col min="11582" max="11582" width="11" style="22" customWidth="1"/>
    <col min="11583" max="11583" width="10.77734375" style="22" customWidth="1"/>
    <col min="11584" max="11584" width="11.44140625" style="22" customWidth="1"/>
    <col min="11585" max="11585" width="4" style="22" customWidth="1"/>
    <col min="11586" max="11776" width="9.6640625" style="22"/>
    <col min="11777" max="11777" width="6.44140625" style="22" customWidth="1"/>
    <col min="11778" max="11778" width="13.88671875" style="22" customWidth="1"/>
    <col min="11779" max="11779" width="14.33203125" style="22" customWidth="1"/>
    <col min="11780" max="11796" width="9.6640625" style="22"/>
    <col min="11797" max="11797" width="12" style="22" customWidth="1"/>
    <col min="11798" max="11798" width="12.77734375" style="22" customWidth="1"/>
    <col min="11799" max="11799" width="11.109375" style="22" customWidth="1"/>
    <col min="11800" max="11800" width="12" style="22" customWidth="1"/>
    <col min="11801" max="11801" width="9.6640625" style="22"/>
    <col min="11802" max="11802" width="15.33203125" style="22" customWidth="1"/>
    <col min="11803" max="11803" width="15.21875" style="22" customWidth="1"/>
    <col min="11804" max="11804" width="21.44140625" style="22" customWidth="1"/>
    <col min="11805" max="11820" width="9.6640625" style="22"/>
    <col min="11821" max="11822" width="13.44140625" style="22" customWidth="1"/>
    <col min="11823" max="11823" width="9.6640625" style="22"/>
    <col min="11824" max="11824" width="13.88671875" style="22" customWidth="1"/>
    <col min="11825" max="11825" width="10.6640625" style="22" customWidth="1"/>
    <col min="11826" max="11826" width="17.33203125" style="22" customWidth="1"/>
    <col min="11827" max="11828" width="12.6640625" style="22" customWidth="1"/>
    <col min="11829" max="11829" width="11.21875" style="22" customWidth="1"/>
    <col min="11830" max="11830" width="18.33203125" style="22" customWidth="1"/>
    <col min="11831" max="11831" width="12.88671875" style="22" customWidth="1"/>
    <col min="11832" max="11833" width="13.21875" style="22" customWidth="1"/>
    <col min="11834" max="11834" width="10.88671875" style="22" customWidth="1"/>
    <col min="11835" max="11835" width="11.109375" style="22" customWidth="1"/>
    <col min="11836" max="11836" width="15.21875" style="22" customWidth="1"/>
    <col min="11837" max="11837" width="9.6640625" style="22"/>
    <col min="11838" max="11838" width="11" style="22" customWidth="1"/>
    <col min="11839" max="11839" width="10.77734375" style="22" customWidth="1"/>
    <col min="11840" max="11840" width="11.44140625" style="22" customWidth="1"/>
    <col min="11841" max="11841" width="4" style="22" customWidth="1"/>
    <col min="11842" max="12032" width="9.6640625" style="22"/>
    <col min="12033" max="12033" width="6.44140625" style="22" customWidth="1"/>
    <col min="12034" max="12034" width="13.88671875" style="22" customWidth="1"/>
    <col min="12035" max="12035" width="14.33203125" style="22" customWidth="1"/>
    <col min="12036" max="12052" width="9.6640625" style="22"/>
    <col min="12053" max="12053" width="12" style="22" customWidth="1"/>
    <col min="12054" max="12054" width="12.77734375" style="22" customWidth="1"/>
    <col min="12055" max="12055" width="11.109375" style="22" customWidth="1"/>
    <col min="12056" max="12056" width="12" style="22" customWidth="1"/>
    <col min="12057" max="12057" width="9.6640625" style="22"/>
    <col min="12058" max="12058" width="15.33203125" style="22" customWidth="1"/>
    <col min="12059" max="12059" width="15.21875" style="22" customWidth="1"/>
    <col min="12060" max="12060" width="21.44140625" style="22" customWidth="1"/>
    <col min="12061" max="12076" width="9.6640625" style="22"/>
    <col min="12077" max="12078" width="13.44140625" style="22" customWidth="1"/>
    <col min="12079" max="12079" width="9.6640625" style="22"/>
    <col min="12080" max="12080" width="13.88671875" style="22" customWidth="1"/>
    <col min="12081" max="12081" width="10.6640625" style="22" customWidth="1"/>
    <col min="12082" max="12082" width="17.33203125" style="22" customWidth="1"/>
    <col min="12083" max="12084" width="12.6640625" style="22" customWidth="1"/>
    <col min="12085" max="12085" width="11.21875" style="22" customWidth="1"/>
    <col min="12086" max="12086" width="18.33203125" style="22" customWidth="1"/>
    <col min="12087" max="12087" width="12.88671875" style="22" customWidth="1"/>
    <col min="12088" max="12089" width="13.21875" style="22" customWidth="1"/>
    <col min="12090" max="12090" width="10.88671875" style="22" customWidth="1"/>
    <col min="12091" max="12091" width="11.109375" style="22" customWidth="1"/>
    <col min="12092" max="12092" width="15.21875" style="22" customWidth="1"/>
    <col min="12093" max="12093" width="9.6640625" style="22"/>
    <col min="12094" max="12094" width="11" style="22" customWidth="1"/>
    <col min="12095" max="12095" width="10.77734375" style="22" customWidth="1"/>
    <col min="12096" max="12096" width="11.44140625" style="22" customWidth="1"/>
    <col min="12097" max="12097" width="4" style="22" customWidth="1"/>
    <col min="12098" max="12288" width="9.6640625" style="22"/>
    <col min="12289" max="12289" width="6.44140625" style="22" customWidth="1"/>
    <col min="12290" max="12290" width="13.88671875" style="22" customWidth="1"/>
    <col min="12291" max="12291" width="14.33203125" style="22" customWidth="1"/>
    <col min="12292" max="12308" width="9.6640625" style="22"/>
    <col min="12309" max="12309" width="12" style="22" customWidth="1"/>
    <col min="12310" max="12310" width="12.77734375" style="22" customWidth="1"/>
    <col min="12311" max="12311" width="11.109375" style="22" customWidth="1"/>
    <col min="12312" max="12312" width="12" style="22" customWidth="1"/>
    <col min="12313" max="12313" width="9.6640625" style="22"/>
    <col min="12314" max="12314" width="15.33203125" style="22" customWidth="1"/>
    <col min="12315" max="12315" width="15.21875" style="22" customWidth="1"/>
    <col min="12316" max="12316" width="21.44140625" style="22" customWidth="1"/>
    <col min="12317" max="12332" width="9.6640625" style="22"/>
    <col min="12333" max="12334" width="13.44140625" style="22" customWidth="1"/>
    <col min="12335" max="12335" width="9.6640625" style="22"/>
    <col min="12336" max="12336" width="13.88671875" style="22" customWidth="1"/>
    <col min="12337" max="12337" width="10.6640625" style="22" customWidth="1"/>
    <col min="12338" max="12338" width="17.33203125" style="22" customWidth="1"/>
    <col min="12339" max="12340" width="12.6640625" style="22" customWidth="1"/>
    <col min="12341" max="12341" width="11.21875" style="22" customWidth="1"/>
    <col min="12342" max="12342" width="18.33203125" style="22" customWidth="1"/>
    <col min="12343" max="12343" width="12.88671875" style="22" customWidth="1"/>
    <col min="12344" max="12345" width="13.21875" style="22" customWidth="1"/>
    <col min="12346" max="12346" width="10.88671875" style="22" customWidth="1"/>
    <col min="12347" max="12347" width="11.109375" style="22" customWidth="1"/>
    <col min="12348" max="12348" width="15.21875" style="22" customWidth="1"/>
    <col min="12349" max="12349" width="9.6640625" style="22"/>
    <col min="12350" max="12350" width="11" style="22" customWidth="1"/>
    <col min="12351" max="12351" width="10.77734375" style="22" customWidth="1"/>
    <col min="12352" max="12352" width="11.44140625" style="22" customWidth="1"/>
    <col min="12353" max="12353" width="4" style="22" customWidth="1"/>
    <col min="12354" max="12544" width="9.6640625" style="22"/>
    <col min="12545" max="12545" width="6.44140625" style="22" customWidth="1"/>
    <col min="12546" max="12546" width="13.88671875" style="22" customWidth="1"/>
    <col min="12547" max="12547" width="14.33203125" style="22" customWidth="1"/>
    <col min="12548" max="12564" width="9.6640625" style="22"/>
    <col min="12565" max="12565" width="12" style="22" customWidth="1"/>
    <col min="12566" max="12566" width="12.77734375" style="22" customWidth="1"/>
    <col min="12567" max="12567" width="11.109375" style="22" customWidth="1"/>
    <col min="12568" max="12568" width="12" style="22" customWidth="1"/>
    <col min="12569" max="12569" width="9.6640625" style="22"/>
    <col min="12570" max="12570" width="15.33203125" style="22" customWidth="1"/>
    <col min="12571" max="12571" width="15.21875" style="22" customWidth="1"/>
    <col min="12572" max="12572" width="21.44140625" style="22" customWidth="1"/>
    <col min="12573" max="12588" width="9.6640625" style="22"/>
    <col min="12589" max="12590" width="13.44140625" style="22" customWidth="1"/>
    <col min="12591" max="12591" width="9.6640625" style="22"/>
    <col min="12592" max="12592" width="13.88671875" style="22" customWidth="1"/>
    <col min="12593" max="12593" width="10.6640625" style="22" customWidth="1"/>
    <col min="12594" max="12594" width="17.33203125" style="22" customWidth="1"/>
    <col min="12595" max="12596" width="12.6640625" style="22" customWidth="1"/>
    <col min="12597" max="12597" width="11.21875" style="22" customWidth="1"/>
    <col min="12598" max="12598" width="18.33203125" style="22" customWidth="1"/>
    <col min="12599" max="12599" width="12.88671875" style="22" customWidth="1"/>
    <col min="12600" max="12601" width="13.21875" style="22" customWidth="1"/>
    <col min="12602" max="12602" width="10.88671875" style="22" customWidth="1"/>
    <col min="12603" max="12603" width="11.109375" style="22" customWidth="1"/>
    <col min="12604" max="12604" width="15.21875" style="22" customWidth="1"/>
    <col min="12605" max="12605" width="9.6640625" style="22"/>
    <col min="12606" max="12606" width="11" style="22" customWidth="1"/>
    <col min="12607" max="12607" width="10.77734375" style="22" customWidth="1"/>
    <col min="12608" max="12608" width="11.44140625" style="22" customWidth="1"/>
    <col min="12609" max="12609" width="4" style="22" customWidth="1"/>
    <col min="12610" max="12800" width="9.6640625" style="22"/>
    <col min="12801" max="12801" width="6.44140625" style="22" customWidth="1"/>
    <col min="12802" max="12802" width="13.88671875" style="22" customWidth="1"/>
    <col min="12803" max="12803" width="14.33203125" style="22" customWidth="1"/>
    <col min="12804" max="12820" width="9.6640625" style="22"/>
    <col min="12821" max="12821" width="12" style="22" customWidth="1"/>
    <col min="12822" max="12822" width="12.77734375" style="22" customWidth="1"/>
    <col min="12823" max="12823" width="11.109375" style="22" customWidth="1"/>
    <col min="12824" max="12824" width="12" style="22" customWidth="1"/>
    <col min="12825" max="12825" width="9.6640625" style="22"/>
    <col min="12826" max="12826" width="15.33203125" style="22" customWidth="1"/>
    <col min="12827" max="12827" width="15.21875" style="22" customWidth="1"/>
    <col min="12828" max="12828" width="21.44140625" style="22" customWidth="1"/>
    <col min="12829" max="12844" width="9.6640625" style="22"/>
    <col min="12845" max="12846" width="13.44140625" style="22" customWidth="1"/>
    <col min="12847" max="12847" width="9.6640625" style="22"/>
    <col min="12848" max="12848" width="13.88671875" style="22" customWidth="1"/>
    <col min="12849" max="12849" width="10.6640625" style="22" customWidth="1"/>
    <col min="12850" max="12850" width="17.33203125" style="22" customWidth="1"/>
    <col min="12851" max="12852" width="12.6640625" style="22" customWidth="1"/>
    <col min="12853" max="12853" width="11.21875" style="22" customWidth="1"/>
    <col min="12854" max="12854" width="18.33203125" style="22" customWidth="1"/>
    <col min="12855" max="12855" width="12.88671875" style="22" customWidth="1"/>
    <col min="12856" max="12857" width="13.21875" style="22" customWidth="1"/>
    <col min="12858" max="12858" width="10.88671875" style="22" customWidth="1"/>
    <col min="12859" max="12859" width="11.109375" style="22" customWidth="1"/>
    <col min="12860" max="12860" width="15.21875" style="22" customWidth="1"/>
    <col min="12861" max="12861" width="9.6640625" style="22"/>
    <col min="12862" max="12862" width="11" style="22" customWidth="1"/>
    <col min="12863" max="12863" width="10.77734375" style="22" customWidth="1"/>
    <col min="12864" max="12864" width="11.44140625" style="22" customWidth="1"/>
    <col min="12865" max="12865" width="4" style="22" customWidth="1"/>
    <col min="12866" max="13056" width="9.6640625" style="22"/>
    <col min="13057" max="13057" width="6.44140625" style="22" customWidth="1"/>
    <col min="13058" max="13058" width="13.88671875" style="22" customWidth="1"/>
    <col min="13059" max="13059" width="14.33203125" style="22" customWidth="1"/>
    <col min="13060" max="13076" width="9.6640625" style="22"/>
    <col min="13077" max="13077" width="12" style="22" customWidth="1"/>
    <col min="13078" max="13078" width="12.77734375" style="22" customWidth="1"/>
    <col min="13079" max="13079" width="11.109375" style="22" customWidth="1"/>
    <col min="13080" max="13080" width="12" style="22" customWidth="1"/>
    <col min="13081" max="13081" width="9.6640625" style="22"/>
    <col min="13082" max="13082" width="15.33203125" style="22" customWidth="1"/>
    <col min="13083" max="13083" width="15.21875" style="22" customWidth="1"/>
    <col min="13084" max="13084" width="21.44140625" style="22" customWidth="1"/>
    <col min="13085" max="13100" width="9.6640625" style="22"/>
    <col min="13101" max="13102" width="13.44140625" style="22" customWidth="1"/>
    <col min="13103" max="13103" width="9.6640625" style="22"/>
    <col min="13104" max="13104" width="13.88671875" style="22" customWidth="1"/>
    <col min="13105" max="13105" width="10.6640625" style="22" customWidth="1"/>
    <col min="13106" max="13106" width="17.33203125" style="22" customWidth="1"/>
    <col min="13107" max="13108" width="12.6640625" style="22" customWidth="1"/>
    <col min="13109" max="13109" width="11.21875" style="22" customWidth="1"/>
    <col min="13110" max="13110" width="18.33203125" style="22" customWidth="1"/>
    <col min="13111" max="13111" width="12.88671875" style="22" customWidth="1"/>
    <col min="13112" max="13113" width="13.21875" style="22" customWidth="1"/>
    <col min="13114" max="13114" width="10.88671875" style="22" customWidth="1"/>
    <col min="13115" max="13115" width="11.109375" style="22" customWidth="1"/>
    <col min="13116" max="13116" width="15.21875" style="22" customWidth="1"/>
    <col min="13117" max="13117" width="9.6640625" style="22"/>
    <col min="13118" max="13118" width="11" style="22" customWidth="1"/>
    <col min="13119" max="13119" width="10.77734375" style="22" customWidth="1"/>
    <col min="13120" max="13120" width="11.44140625" style="22" customWidth="1"/>
    <col min="13121" max="13121" width="4" style="22" customWidth="1"/>
    <col min="13122" max="13312" width="9.6640625" style="22"/>
    <col min="13313" max="13313" width="6.44140625" style="22" customWidth="1"/>
    <col min="13314" max="13314" width="13.88671875" style="22" customWidth="1"/>
    <col min="13315" max="13315" width="14.33203125" style="22" customWidth="1"/>
    <col min="13316" max="13332" width="9.6640625" style="22"/>
    <col min="13333" max="13333" width="12" style="22" customWidth="1"/>
    <col min="13334" max="13334" width="12.77734375" style="22" customWidth="1"/>
    <col min="13335" max="13335" width="11.109375" style="22" customWidth="1"/>
    <col min="13336" max="13336" width="12" style="22" customWidth="1"/>
    <col min="13337" max="13337" width="9.6640625" style="22"/>
    <col min="13338" max="13338" width="15.33203125" style="22" customWidth="1"/>
    <col min="13339" max="13339" width="15.21875" style="22" customWidth="1"/>
    <col min="13340" max="13340" width="21.44140625" style="22" customWidth="1"/>
    <col min="13341" max="13356" width="9.6640625" style="22"/>
    <col min="13357" max="13358" width="13.44140625" style="22" customWidth="1"/>
    <col min="13359" max="13359" width="9.6640625" style="22"/>
    <col min="13360" max="13360" width="13.88671875" style="22" customWidth="1"/>
    <col min="13361" max="13361" width="10.6640625" style="22" customWidth="1"/>
    <col min="13362" max="13362" width="17.33203125" style="22" customWidth="1"/>
    <col min="13363" max="13364" width="12.6640625" style="22" customWidth="1"/>
    <col min="13365" max="13365" width="11.21875" style="22" customWidth="1"/>
    <col min="13366" max="13366" width="18.33203125" style="22" customWidth="1"/>
    <col min="13367" max="13367" width="12.88671875" style="22" customWidth="1"/>
    <col min="13368" max="13369" width="13.21875" style="22" customWidth="1"/>
    <col min="13370" max="13370" width="10.88671875" style="22" customWidth="1"/>
    <col min="13371" max="13371" width="11.109375" style="22" customWidth="1"/>
    <col min="13372" max="13372" width="15.21875" style="22" customWidth="1"/>
    <col min="13373" max="13373" width="9.6640625" style="22"/>
    <col min="13374" max="13374" width="11" style="22" customWidth="1"/>
    <col min="13375" max="13375" width="10.77734375" style="22" customWidth="1"/>
    <col min="13376" max="13376" width="11.44140625" style="22" customWidth="1"/>
    <col min="13377" max="13377" width="4" style="22" customWidth="1"/>
    <col min="13378" max="13568" width="9.6640625" style="22"/>
    <col min="13569" max="13569" width="6.44140625" style="22" customWidth="1"/>
    <col min="13570" max="13570" width="13.88671875" style="22" customWidth="1"/>
    <col min="13571" max="13571" width="14.33203125" style="22" customWidth="1"/>
    <col min="13572" max="13588" width="9.6640625" style="22"/>
    <col min="13589" max="13589" width="12" style="22" customWidth="1"/>
    <col min="13590" max="13590" width="12.77734375" style="22" customWidth="1"/>
    <col min="13591" max="13591" width="11.109375" style="22" customWidth="1"/>
    <col min="13592" max="13592" width="12" style="22" customWidth="1"/>
    <col min="13593" max="13593" width="9.6640625" style="22"/>
    <col min="13594" max="13594" width="15.33203125" style="22" customWidth="1"/>
    <col min="13595" max="13595" width="15.21875" style="22" customWidth="1"/>
    <col min="13596" max="13596" width="21.44140625" style="22" customWidth="1"/>
    <col min="13597" max="13612" width="9.6640625" style="22"/>
    <col min="13613" max="13614" width="13.44140625" style="22" customWidth="1"/>
    <col min="13615" max="13615" width="9.6640625" style="22"/>
    <col min="13616" max="13616" width="13.88671875" style="22" customWidth="1"/>
    <col min="13617" max="13617" width="10.6640625" style="22" customWidth="1"/>
    <col min="13618" max="13618" width="17.33203125" style="22" customWidth="1"/>
    <col min="13619" max="13620" width="12.6640625" style="22" customWidth="1"/>
    <col min="13621" max="13621" width="11.21875" style="22" customWidth="1"/>
    <col min="13622" max="13622" width="18.33203125" style="22" customWidth="1"/>
    <col min="13623" max="13623" width="12.88671875" style="22" customWidth="1"/>
    <col min="13624" max="13625" width="13.21875" style="22" customWidth="1"/>
    <col min="13626" max="13626" width="10.88671875" style="22" customWidth="1"/>
    <col min="13627" max="13627" width="11.109375" style="22" customWidth="1"/>
    <col min="13628" max="13628" width="15.21875" style="22" customWidth="1"/>
    <col min="13629" max="13629" width="9.6640625" style="22"/>
    <col min="13630" max="13630" width="11" style="22" customWidth="1"/>
    <col min="13631" max="13631" width="10.77734375" style="22" customWidth="1"/>
    <col min="13632" max="13632" width="11.44140625" style="22" customWidth="1"/>
    <col min="13633" max="13633" width="4" style="22" customWidth="1"/>
    <col min="13634" max="13824" width="9.6640625" style="22"/>
    <col min="13825" max="13825" width="6.44140625" style="22" customWidth="1"/>
    <col min="13826" max="13826" width="13.88671875" style="22" customWidth="1"/>
    <col min="13827" max="13827" width="14.33203125" style="22" customWidth="1"/>
    <col min="13828" max="13844" width="9.6640625" style="22"/>
    <col min="13845" max="13845" width="12" style="22" customWidth="1"/>
    <col min="13846" max="13846" width="12.77734375" style="22" customWidth="1"/>
    <col min="13847" max="13847" width="11.109375" style="22" customWidth="1"/>
    <col min="13848" max="13848" width="12" style="22" customWidth="1"/>
    <col min="13849" max="13849" width="9.6640625" style="22"/>
    <col min="13850" max="13850" width="15.33203125" style="22" customWidth="1"/>
    <col min="13851" max="13851" width="15.21875" style="22" customWidth="1"/>
    <col min="13852" max="13852" width="21.44140625" style="22" customWidth="1"/>
    <col min="13853" max="13868" width="9.6640625" style="22"/>
    <col min="13869" max="13870" width="13.44140625" style="22" customWidth="1"/>
    <col min="13871" max="13871" width="9.6640625" style="22"/>
    <col min="13872" max="13872" width="13.88671875" style="22" customWidth="1"/>
    <col min="13873" max="13873" width="10.6640625" style="22" customWidth="1"/>
    <col min="13874" max="13874" width="17.33203125" style="22" customWidth="1"/>
    <col min="13875" max="13876" width="12.6640625" style="22" customWidth="1"/>
    <col min="13877" max="13877" width="11.21875" style="22" customWidth="1"/>
    <col min="13878" max="13878" width="18.33203125" style="22" customWidth="1"/>
    <col min="13879" max="13879" width="12.88671875" style="22" customWidth="1"/>
    <col min="13880" max="13881" width="13.21875" style="22" customWidth="1"/>
    <col min="13882" max="13882" width="10.88671875" style="22" customWidth="1"/>
    <col min="13883" max="13883" width="11.109375" style="22" customWidth="1"/>
    <col min="13884" max="13884" width="15.21875" style="22" customWidth="1"/>
    <col min="13885" max="13885" width="9.6640625" style="22"/>
    <col min="13886" max="13886" width="11" style="22" customWidth="1"/>
    <col min="13887" max="13887" width="10.77734375" style="22" customWidth="1"/>
    <col min="13888" max="13888" width="11.44140625" style="22" customWidth="1"/>
    <col min="13889" max="13889" width="4" style="22" customWidth="1"/>
    <col min="13890" max="14080" width="9.6640625" style="22"/>
    <col min="14081" max="14081" width="6.44140625" style="22" customWidth="1"/>
    <col min="14082" max="14082" width="13.88671875" style="22" customWidth="1"/>
    <col min="14083" max="14083" width="14.33203125" style="22" customWidth="1"/>
    <col min="14084" max="14100" width="9.6640625" style="22"/>
    <col min="14101" max="14101" width="12" style="22" customWidth="1"/>
    <col min="14102" max="14102" width="12.77734375" style="22" customWidth="1"/>
    <col min="14103" max="14103" width="11.109375" style="22" customWidth="1"/>
    <col min="14104" max="14104" width="12" style="22" customWidth="1"/>
    <col min="14105" max="14105" width="9.6640625" style="22"/>
    <col min="14106" max="14106" width="15.33203125" style="22" customWidth="1"/>
    <col min="14107" max="14107" width="15.21875" style="22" customWidth="1"/>
    <col min="14108" max="14108" width="21.44140625" style="22" customWidth="1"/>
    <col min="14109" max="14124" width="9.6640625" style="22"/>
    <col min="14125" max="14126" width="13.44140625" style="22" customWidth="1"/>
    <col min="14127" max="14127" width="9.6640625" style="22"/>
    <col min="14128" max="14128" width="13.88671875" style="22" customWidth="1"/>
    <col min="14129" max="14129" width="10.6640625" style="22" customWidth="1"/>
    <col min="14130" max="14130" width="17.33203125" style="22" customWidth="1"/>
    <col min="14131" max="14132" width="12.6640625" style="22" customWidth="1"/>
    <col min="14133" max="14133" width="11.21875" style="22" customWidth="1"/>
    <col min="14134" max="14134" width="18.33203125" style="22" customWidth="1"/>
    <col min="14135" max="14135" width="12.88671875" style="22" customWidth="1"/>
    <col min="14136" max="14137" width="13.21875" style="22" customWidth="1"/>
    <col min="14138" max="14138" width="10.88671875" style="22" customWidth="1"/>
    <col min="14139" max="14139" width="11.109375" style="22" customWidth="1"/>
    <col min="14140" max="14140" width="15.21875" style="22" customWidth="1"/>
    <col min="14141" max="14141" width="9.6640625" style="22"/>
    <col min="14142" max="14142" width="11" style="22" customWidth="1"/>
    <col min="14143" max="14143" width="10.77734375" style="22" customWidth="1"/>
    <col min="14144" max="14144" width="11.44140625" style="22" customWidth="1"/>
    <col min="14145" max="14145" width="4" style="22" customWidth="1"/>
    <col min="14146" max="14336" width="9.6640625" style="22"/>
    <col min="14337" max="14337" width="6.44140625" style="22" customWidth="1"/>
    <col min="14338" max="14338" width="13.88671875" style="22" customWidth="1"/>
    <col min="14339" max="14339" width="14.33203125" style="22" customWidth="1"/>
    <col min="14340" max="14356" width="9.6640625" style="22"/>
    <col min="14357" max="14357" width="12" style="22" customWidth="1"/>
    <col min="14358" max="14358" width="12.77734375" style="22" customWidth="1"/>
    <col min="14359" max="14359" width="11.109375" style="22" customWidth="1"/>
    <col min="14360" max="14360" width="12" style="22" customWidth="1"/>
    <col min="14361" max="14361" width="9.6640625" style="22"/>
    <col min="14362" max="14362" width="15.33203125" style="22" customWidth="1"/>
    <col min="14363" max="14363" width="15.21875" style="22" customWidth="1"/>
    <col min="14364" max="14364" width="21.44140625" style="22" customWidth="1"/>
    <col min="14365" max="14380" width="9.6640625" style="22"/>
    <col min="14381" max="14382" width="13.44140625" style="22" customWidth="1"/>
    <col min="14383" max="14383" width="9.6640625" style="22"/>
    <col min="14384" max="14384" width="13.88671875" style="22" customWidth="1"/>
    <col min="14385" max="14385" width="10.6640625" style="22" customWidth="1"/>
    <col min="14386" max="14386" width="17.33203125" style="22" customWidth="1"/>
    <col min="14387" max="14388" width="12.6640625" style="22" customWidth="1"/>
    <col min="14389" max="14389" width="11.21875" style="22" customWidth="1"/>
    <col min="14390" max="14390" width="18.33203125" style="22" customWidth="1"/>
    <col min="14391" max="14391" width="12.88671875" style="22" customWidth="1"/>
    <col min="14392" max="14393" width="13.21875" style="22" customWidth="1"/>
    <col min="14394" max="14394" width="10.88671875" style="22" customWidth="1"/>
    <col min="14395" max="14395" width="11.109375" style="22" customWidth="1"/>
    <col min="14396" max="14396" width="15.21875" style="22" customWidth="1"/>
    <col min="14397" max="14397" width="9.6640625" style="22"/>
    <col min="14398" max="14398" width="11" style="22" customWidth="1"/>
    <col min="14399" max="14399" width="10.77734375" style="22" customWidth="1"/>
    <col min="14400" max="14400" width="11.44140625" style="22" customWidth="1"/>
    <col min="14401" max="14401" width="4" style="22" customWidth="1"/>
    <col min="14402" max="14592" width="9.6640625" style="22"/>
    <col min="14593" max="14593" width="6.44140625" style="22" customWidth="1"/>
    <col min="14594" max="14594" width="13.88671875" style="22" customWidth="1"/>
    <col min="14595" max="14595" width="14.33203125" style="22" customWidth="1"/>
    <col min="14596" max="14612" width="9.6640625" style="22"/>
    <col min="14613" max="14613" width="12" style="22" customWidth="1"/>
    <col min="14614" max="14614" width="12.77734375" style="22" customWidth="1"/>
    <col min="14615" max="14615" width="11.109375" style="22" customWidth="1"/>
    <col min="14616" max="14616" width="12" style="22" customWidth="1"/>
    <col min="14617" max="14617" width="9.6640625" style="22"/>
    <col min="14618" max="14618" width="15.33203125" style="22" customWidth="1"/>
    <col min="14619" max="14619" width="15.21875" style="22" customWidth="1"/>
    <col min="14620" max="14620" width="21.44140625" style="22" customWidth="1"/>
    <col min="14621" max="14636" width="9.6640625" style="22"/>
    <col min="14637" max="14638" width="13.44140625" style="22" customWidth="1"/>
    <col min="14639" max="14639" width="9.6640625" style="22"/>
    <col min="14640" max="14640" width="13.88671875" style="22" customWidth="1"/>
    <col min="14641" max="14641" width="10.6640625" style="22" customWidth="1"/>
    <col min="14642" max="14642" width="17.33203125" style="22" customWidth="1"/>
    <col min="14643" max="14644" width="12.6640625" style="22" customWidth="1"/>
    <col min="14645" max="14645" width="11.21875" style="22" customWidth="1"/>
    <col min="14646" max="14646" width="18.33203125" style="22" customWidth="1"/>
    <col min="14647" max="14647" width="12.88671875" style="22" customWidth="1"/>
    <col min="14648" max="14649" width="13.21875" style="22" customWidth="1"/>
    <col min="14650" max="14650" width="10.88671875" style="22" customWidth="1"/>
    <col min="14651" max="14651" width="11.109375" style="22" customWidth="1"/>
    <col min="14652" max="14652" width="15.21875" style="22" customWidth="1"/>
    <col min="14653" max="14653" width="9.6640625" style="22"/>
    <col min="14654" max="14654" width="11" style="22" customWidth="1"/>
    <col min="14655" max="14655" width="10.77734375" style="22" customWidth="1"/>
    <col min="14656" max="14656" width="11.44140625" style="22" customWidth="1"/>
    <col min="14657" max="14657" width="4" style="22" customWidth="1"/>
    <col min="14658" max="14848" width="9.6640625" style="22"/>
    <col min="14849" max="14849" width="6.44140625" style="22" customWidth="1"/>
    <col min="14850" max="14850" width="13.88671875" style="22" customWidth="1"/>
    <col min="14851" max="14851" width="14.33203125" style="22" customWidth="1"/>
    <col min="14852" max="14868" width="9.6640625" style="22"/>
    <col min="14869" max="14869" width="12" style="22" customWidth="1"/>
    <col min="14870" max="14870" width="12.77734375" style="22" customWidth="1"/>
    <col min="14871" max="14871" width="11.109375" style="22" customWidth="1"/>
    <col min="14872" max="14872" width="12" style="22" customWidth="1"/>
    <col min="14873" max="14873" width="9.6640625" style="22"/>
    <col min="14874" max="14874" width="15.33203125" style="22" customWidth="1"/>
    <col min="14875" max="14875" width="15.21875" style="22" customWidth="1"/>
    <col min="14876" max="14876" width="21.44140625" style="22" customWidth="1"/>
    <col min="14877" max="14892" width="9.6640625" style="22"/>
    <col min="14893" max="14894" width="13.44140625" style="22" customWidth="1"/>
    <col min="14895" max="14895" width="9.6640625" style="22"/>
    <col min="14896" max="14896" width="13.88671875" style="22" customWidth="1"/>
    <col min="14897" max="14897" width="10.6640625" style="22" customWidth="1"/>
    <col min="14898" max="14898" width="17.33203125" style="22" customWidth="1"/>
    <col min="14899" max="14900" width="12.6640625" style="22" customWidth="1"/>
    <col min="14901" max="14901" width="11.21875" style="22" customWidth="1"/>
    <col min="14902" max="14902" width="18.33203125" style="22" customWidth="1"/>
    <col min="14903" max="14903" width="12.88671875" style="22" customWidth="1"/>
    <col min="14904" max="14905" width="13.21875" style="22" customWidth="1"/>
    <col min="14906" max="14906" width="10.88671875" style="22" customWidth="1"/>
    <col min="14907" max="14907" width="11.109375" style="22" customWidth="1"/>
    <col min="14908" max="14908" width="15.21875" style="22" customWidth="1"/>
    <col min="14909" max="14909" width="9.6640625" style="22"/>
    <col min="14910" max="14910" width="11" style="22" customWidth="1"/>
    <col min="14911" max="14911" width="10.77734375" style="22" customWidth="1"/>
    <col min="14912" max="14912" width="11.44140625" style="22" customWidth="1"/>
    <col min="14913" max="14913" width="4" style="22" customWidth="1"/>
    <col min="14914" max="15104" width="9.6640625" style="22"/>
    <col min="15105" max="15105" width="6.44140625" style="22" customWidth="1"/>
    <col min="15106" max="15106" width="13.88671875" style="22" customWidth="1"/>
    <col min="15107" max="15107" width="14.33203125" style="22" customWidth="1"/>
    <col min="15108" max="15124" width="9.6640625" style="22"/>
    <col min="15125" max="15125" width="12" style="22" customWidth="1"/>
    <col min="15126" max="15126" width="12.77734375" style="22" customWidth="1"/>
    <col min="15127" max="15127" width="11.109375" style="22" customWidth="1"/>
    <col min="15128" max="15128" width="12" style="22" customWidth="1"/>
    <col min="15129" max="15129" width="9.6640625" style="22"/>
    <col min="15130" max="15130" width="15.33203125" style="22" customWidth="1"/>
    <col min="15131" max="15131" width="15.21875" style="22" customWidth="1"/>
    <col min="15132" max="15132" width="21.44140625" style="22" customWidth="1"/>
    <col min="15133" max="15148" width="9.6640625" style="22"/>
    <col min="15149" max="15150" width="13.44140625" style="22" customWidth="1"/>
    <col min="15151" max="15151" width="9.6640625" style="22"/>
    <col min="15152" max="15152" width="13.88671875" style="22" customWidth="1"/>
    <col min="15153" max="15153" width="10.6640625" style="22" customWidth="1"/>
    <col min="15154" max="15154" width="17.33203125" style="22" customWidth="1"/>
    <col min="15155" max="15156" width="12.6640625" style="22" customWidth="1"/>
    <col min="15157" max="15157" width="11.21875" style="22" customWidth="1"/>
    <col min="15158" max="15158" width="18.33203125" style="22" customWidth="1"/>
    <col min="15159" max="15159" width="12.88671875" style="22" customWidth="1"/>
    <col min="15160" max="15161" width="13.21875" style="22" customWidth="1"/>
    <col min="15162" max="15162" width="10.88671875" style="22" customWidth="1"/>
    <col min="15163" max="15163" width="11.109375" style="22" customWidth="1"/>
    <col min="15164" max="15164" width="15.21875" style="22" customWidth="1"/>
    <col min="15165" max="15165" width="9.6640625" style="22"/>
    <col min="15166" max="15166" width="11" style="22" customWidth="1"/>
    <col min="15167" max="15167" width="10.77734375" style="22" customWidth="1"/>
    <col min="15168" max="15168" width="11.44140625" style="22" customWidth="1"/>
    <col min="15169" max="15169" width="4" style="22" customWidth="1"/>
    <col min="15170" max="15360" width="9.6640625" style="22"/>
    <col min="15361" max="15361" width="6.44140625" style="22" customWidth="1"/>
    <col min="15362" max="15362" width="13.88671875" style="22" customWidth="1"/>
    <col min="15363" max="15363" width="14.33203125" style="22" customWidth="1"/>
    <col min="15364" max="15380" width="9.6640625" style="22"/>
    <col min="15381" max="15381" width="12" style="22" customWidth="1"/>
    <col min="15382" max="15382" width="12.77734375" style="22" customWidth="1"/>
    <col min="15383" max="15383" width="11.109375" style="22" customWidth="1"/>
    <col min="15384" max="15384" width="12" style="22" customWidth="1"/>
    <col min="15385" max="15385" width="9.6640625" style="22"/>
    <col min="15386" max="15386" width="15.33203125" style="22" customWidth="1"/>
    <col min="15387" max="15387" width="15.21875" style="22" customWidth="1"/>
    <col min="15388" max="15388" width="21.44140625" style="22" customWidth="1"/>
    <col min="15389" max="15404" width="9.6640625" style="22"/>
    <col min="15405" max="15406" width="13.44140625" style="22" customWidth="1"/>
    <col min="15407" max="15407" width="9.6640625" style="22"/>
    <col min="15408" max="15408" width="13.88671875" style="22" customWidth="1"/>
    <col min="15409" max="15409" width="10.6640625" style="22" customWidth="1"/>
    <col min="15410" max="15410" width="17.33203125" style="22" customWidth="1"/>
    <col min="15411" max="15412" width="12.6640625" style="22" customWidth="1"/>
    <col min="15413" max="15413" width="11.21875" style="22" customWidth="1"/>
    <col min="15414" max="15414" width="18.33203125" style="22" customWidth="1"/>
    <col min="15415" max="15415" width="12.88671875" style="22" customWidth="1"/>
    <col min="15416" max="15417" width="13.21875" style="22" customWidth="1"/>
    <col min="15418" max="15418" width="10.88671875" style="22" customWidth="1"/>
    <col min="15419" max="15419" width="11.109375" style="22" customWidth="1"/>
    <col min="15420" max="15420" width="15.21875" style="22" customWidth="1"/>
    <col min="15421" max="15421" width="9.6640625" style="22"/>
    <col min="15422" max="15422" width="11" style="22" customWidth="1"/>
    <col min="15423" max="15423" width="10.77734375" style="22" customWidth="1"/>
    <col min="15424" max="15424" width="11.44140625" style="22" customWidth="1"/>
    <col min="15425" max="15425" width="4" style="22" customWidth="1"/>
    <col min="15426" max="15616" width="9.6640625" style="22"/>
    <col min="15617" max="15617" width="6.44140625" style="22" customWidth="1"/>
    <col min="15618" max="15618" width="13.88671875" style="22" customWidth="1"/>
    <col min="15619" max="15619" width="14.33203125" style="22" customWidth="1"/>
    <col min="15620" max="15636" width="9.6640625" style="22"/>
    <col min="15637" max="15637" width="12" style="22" customWidth="1"/>
    <col min="15638" max="15638" width="12.77734375" style="22" customWidth="1"/>
    <col min="15639" max="15639" width="11.109375" style="22" customWidth="1"/>
    <col min="15640" max="15640" width="12" style="22" customWidth="1"/>
    <col min="15641" max="15641" width="9.6640625" style="22"/>
    <col min="15642" max="15642" width="15.33203125" style="22" customWidth="1"/>
    <col min="15643" max="15643" width="15.21875" style="22" customWidth="1"/>
    <col min="15644" max="15644" width="21.44140625" style="22" customWidth="1"/>
    <col min="15645" max="15660" width="9.6640625" style="22"/>
    <col min="15661" max="15662" width="13.44140625" style="22" customWidth="1"/>
    <col min="15663" max="15663" width="9.6640625" style="22"/>
    <col min="15664" max="15664" width="13.88671875" style="22" customWidth="1"/>
    <col min="15665" max="15665" width="10.6640625" style="22" customWidth="1"/>
    <col min="15666" max="15666" width="17.33203125" style="22" customWidth="1"/>
    <col min="15667" max="15668" width="12.6640625" style="22" customWidth="1"/>
    <col min="15669" max="15669" width="11.21875" style="22" customWidth="1"/>
    <col min="15670" max="15670" width="18.33203125" style="22" customWidth="1"/>
    <col min="15671" max="15671" width="12.88671875" style="22" customWidth="1"/>
    <col min="15672" max="15673" width="13.21875" style="22" customWidth="1"/>
    <col min="15674" max="15674" width="10.88671875" style="22" customWidth="1"/>
    <col min="15675" max="15675" width="11.109375" style="22" customWidth="1"/>
    <col min="15676" max="15676" width="15.21875" style="22" customWidth="1"/>
    <col min="15677" max="15677" width="9.6640625" style="22"/>
    <col min="15678" max="15678" width="11" style="22" customWidth="1"/>
    <col min="15679" max="15679" width="10.77734375" style="22" customWidth="1"/>
    <col min="15680" max="15680" width="11.44140625" style="22" customWidth="1"/>
    <col min="15681" max="15681" width="4" style="22" customWidth="1"/>
    <col min="15682" max="15872" width="9.6640625" style="22"/>
    <col min="15873" max="15873" width="6.44140625" style="22" customWidth="1"/>
    <col min="15874" max="15874" width="13.88671875" style="22" customWidth="1"/>
    <col min="15875" max="15875" width="14.33203125" style="22" customWidth="1"/>
    <col min="15876" max="15892" width="9.6640625" style="22"/>
    <col min="15893" max="15893" width="12" style="22" customWidth="1"/>
    <col min="15894" max="15894" width="12.77734375" style="22" customWidth="1"/>
    <col min="15895" max="15895" width="11.109375" style="22" customWidth="1"/>
    <col min="15896" max="15896" width="12" style="22" customWidth="1"/>
    <col min="15897" max="15897" width="9.6640625" style="22"/>
    <col min="15898" max="15898" width="15.33203125" style="22" customWidth="1"/>
    <col min="15899" max="15899" width="15.21875" style="22" customWidth="1"/>
    <col min="15900" max="15900" width="21.44140625" style="22" customWidth="1"/>
    <col min="15901" max="15916" width="9.6640625" style="22"/>
    <col min="15917" max="15918" width="13.44140625" style="22" customWidth="1"/>
    <col min="15919" max="15919" width="9.6640625" style="22"/>
    <col min="15920" max="15920" width="13.88671875" style="22" customWidth="1"/>
    <col min="15921" max="15921" width="10.6640625" style="22" customWidth="1"/>
    <col min="15922" max="15922" width="17.33203125" style="22" customWidth="1"/>
    <col min="15923" max="15924" width="12.6640625" style="22" customWidth="1"/>
    <col min="15925" max="15925" width="11.21875" style="22" customWidth="1"/>
    <col min="15926" max="15926" width="18.33203125" style="22" customWidth="1"/>
    <col min="15927" max="15927" width="12.88671875" style="22" customWidth="1"/>
    <col min="15928" max="15929" width="13.21875" style="22" customWidth="1"/>
    <col min="15930" max="15930" width="10.88671875" style="22" customWidth="1"/>
    <col min="15931" max="15931" width="11.109375" style="22" customWidth="1"/>
    <col min="15932" max="15932" width="15.21875" style="22" customWidth="1"/>
    <col min="15933" max="15933" width="9.6640625" style="22"/>
    <col min="15934" max="15934" width="11" style="22" customWidth="1"/>
    <col min="15935" max="15935" width="10.77734375" style="22" customWidth="1"/>
    <col min="15936" max="15936" width="11.44140625" style="22" customWidth="1"/>
    <col min="15937" max="15937" width="4" style="22" customWidth="1"/>
    <col min="15938" max="16128" width="9.6640625" style="22"/>
    <col min="16129" max="16129" width="6.44140625" style="22" customWidth="1"/>
    <col min="16130" max="16130" width="13.88671875" style="22" customWidth="1"/>
    <col min="16131" max="16131" width="14.33203125" style="22" customWidth="1"/>
    <col min="16132" max="16148" width="9.6640625" style="22"/>
    <col min="16149" max="16149" width="12" style="22" customWidth="1"/>
    <col min="16150" max="16150" width="12.77734375" style="22" customWidth="1"/>
    <col min="16151" max="16151" width="11.109375" style="22" customWidth="1"/>
    <col min="16152" max="16152" width="12" style="22" customWidth="1"/>
    <col min="16153" max="16153" width="9.6640625" style="22"/>
    <col min="16154" max="16154" width="15.33203125" style="22" customWidth="1"/>
    <col min="16155" max="16155" width="15.21875" style="22" customWidth="1"/>
    <col min="16156" max="16156" width="21.44140625" style="22" customWidth="1"/>
    <col min="16157" max="16172" width="9.6640625" style="22"/>
    <col min="16173" max="16174" width="13.44140625" style="22" customWidth="1"/>
    <col min="16175" max="16175" width="9.6640625" style="22"/>
    <col min="16176" max="16176" width="13.88671875" style="22" customWidth="1"/>
    <col min="16177" max="16177" width="10.6640625" style="22" customWidth="1"/>
    <col min="16178" max="16178" width="17.33203125" style="22" customWidth="1"/>
    <col min="16179" max="16180" width="12.6640625" style="22" customWidth="1"/>
    <col min="16181" max="16181" width="11.21875" style="22" customWidth="1"/>
    <col min="16182" max="16182" width="18.33203125" style="22" customWidth="1"/>
    <col min="16183" max="16183" width="12.88671875" style="22" customWidth="1"/>
    <col min="16184" max="16185" width="13.21875" style="22" customWidth="1"/>
    <col min="16186" max="16186" width="10.88671875" style="22" customWidth="1"/>
    <col min="16187" max="16187" width="11.109375" style="22" customWidth="1"/>
    <col min="16188" max="16188" width="15.21875" style="22" customWidth="1"/>
    <col min="16189" max="16189" width="9.6640625" style="22"/>
    <col min="16190" max="16190" width="11" style="22" customWidth="1"/>
    <col min="16191" max="16191" width="10.77734375" style="22" customWidth="1"/>
    <col min="16192" max="16192" width="11.44140625" style="22" customWidth="1"/>
    <col min="16193" max="16193" width="4" style="22" customWidth="1"/>
    <col min="16194" max="16384" width="9.6640625" style="22"/>
  </cols>
  <sheetData>
    <row r="1" spans="1:106" ht="13.2" x14ac:dyDescent="0.2">
      <c r="A1" s="21" t="s">
        <v>31</v>
      </c>
    </row>
    <row r="2" spans="1:106" x14ac:dyDescent="0.2">
      <c r="C2" s="24" t="s">
        <v>32</v>
      </c>
    </row>
    <row r="3" spans="1:106" s="23" customFormat="1" x14ac:dyDescent="0.2">
      <c r="A3" s="25"/>
      <c r="B3" s="26" t="s">
        <v>33</v>
      </c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27"/>
      <c r="AN3" s="27"/>
      <c r="AO3" s="27"/>
      <c r="AP3" s="27"/>
      <c r="AQ3" s="27"/>
      <c r="AR3" s="27"/>
      <c r="AS3" s="27"/>
      <c r="AT3" s="27"/>
      <c r="AU3" s="27"/>
      <c r="AV3" s="27"/>
      <c r="AW3" s="27"/>
      <c r="AX3" s="27"/>
      <c r="AY3" s="27"/>
      <c r="AZ3" s="27"/>
      <c r="BA3" s="27"/>
      <c r="BB3" s="27"/>
      <c r="BC3" s="27"/>
      <c r="BD3" s="27"/>
      <c r="BE3" s="27"/>
      <c r="BF3" s="27"/>
      <c r="BG3" s="27"/>
      <c r="BH3" s="27"/>
      <c r="BI3" s="27"/>
      <c r="BJ3" s="27"/>
      <c r="BK3" s="27"/>
      <c r="BL3" s="27"/>
      <c r="BM3" s="27"/>
      <c r="BN3" s="27"/>
      <c r="BO3" s="27"/>
      <c r="BP3" s="27"/>
      <c r="BQ3" s="27"/>
      <c r="BR3" s="27"/>
      <c r="BS3" s="27"/>
      <c r="BT3" s="27"/>
      <c r="BU3" s="27"/>
      <c r="BV3" s="27"/>
      <c r="BW3" s="27"/>
      <c r="BX3" s="27"/>
      <c r="BY3" s="27"/>
      <c r="BZ3" s="27"/>
      <c r="CA3" s="27"/>
      <c r="CB3" s="27"/>
      <c r="CC3" s="27"/>
      <c r="CD3" s="27"/>
      <c r="CE3" s="27"/>
      <c r="CF3" s="27"/>
      <c r="CG3" s="27"/>
      <c r="CH3" s="27"/>
      <c r="CI3" s="27"/>
      <c r="CJ3" s="27"/>
      <c r="CK3" s="27"/>
      <c r="CL3" s="27"/>
      <c r="CM3" s="27"/>
      <c r="CN3" s="27"/>
      <c r="CO3" s="27"/>
      <c r="CP3" s="28"/>
      <c r="CQ3" s="28"/>
      <c r="CR3" s="28"/>
      <c r="CS3" s="28"/>
      <c r="CT3" s="28"/>
      <c r="CU3" s="28"/>
      <c r="CV3" s="28"/>
      <c r="CW3" s="28"/>
      <c r="CX3" s="28"/>
      <c r="CY3" s="28"/>
      <c r="CZ3" s="28"/>
      <c r="DA3" s="28"/>
      <c r="DB3" s="28"/>
    </row>
    <row r="4" spans="1:106" s="23" customFormat="1" x14ac:dyDescent="0.2">
      <c r="A4" s="25"/>
      <c r="B4" s="29" t="s">
        <v>34</v>
      </c>
      <c r="C4" s="27" t="s">
        <v>205</v>
      </c>
      <c r="D4" s="27" t="s">
        <v>204</v>
      </c>
      <c r="E4" s="27" t="s">
        <v>196</v>
      </c>
      <c r="F4" s="27" t="s">
        <v>203</v>
      </c>
      <c r="G4" s="27" t="s">
        <v>205</v>
      </c>
      <c r="H4" s="27" t="s">
        <v>202</v>
      </c>
      <c r="I4" s="27" t="s">
        <v>200</v>
      </c>
      <c r="J4" s="27" t="s">
        <v>198</v>
      </c>
      <c r="K4" s="27" t="s">
        <v>195</v>
      </c>
      <c r="L4" s="27" t="s">
        <v>195</v>
      </c>
      <c r="M4" s="27" t="s">
        <v>198</v>
      </c>
      <c r="N4" s="27" t="s">
        <v>204</v>
      </c>
      <c r="O4" s="27" t="s">
        <v>205</v>
      </c>
      <c r="P4" s="27" t="s">
        <v>205</v>
      </c>
      <c r="Q4" s="27" t="s">
        <v>205</v>
      </c>
      <c r="R4" s="27" t="s">
        <v>200</v>
      </c>
      <c r="S4" s="27" t="s">
        <v>196</v>
      </c>
      <c r="T4" s="27" t="s">
        <v>199</v>
      </c>
      <c r="U4" s="27" t="s">
        <v>199</v>
      </c>
      <c r="V4" s="27" t="s">
        <v>199</v>
      </c>
      <c r="W4" s="27" t="s">
        <v>205</v>
      </c>
      <c r="X4" s="27" t="s">
        <v>200</v>
      </c>
      <c r="Y4" s="27" t="s">
        <v>198</v>
      </c>
      <c r="Z4" s="27" t="s">
        <v>200</v>
      </c>
      <c r="AA4" s="27" t="s">
        <v>195</v>
      </c>
      <c r="AB4" s="27" t="s">
        <v>200</v>
      </c>
      <c r="AC4" s="27" t="s">
        <v>205</v>
      </c>
      <c r="AD4" s="27" t="s">
        <v>205</v>
      </c>
      <c r="AE4" s="27" t="s">
        <v>201</v>
      </c>
      <c r="AF4" s="27" t="s">
        <v>195</v>
      </c>
      <c r="AG4" s="27" t="s">
        <v>199</v>
      </c>
      <c r="AH4" s="27" t="s">
        <v>200</v>
      </c>
      <c r="AI4" s="27" t="s">
        <v>200</v>
      </c>
      <c r="AJ4" s="27" t="s">
        <v>200</v>
      </c>
      <c r="AK4" s="27" t="s">
        <v>200</v>
      </c>
      <c r="AL4" s="27" t="s">
        <v>196</v>
      </c>
      <c r="AM4" s="27" t="s">
        <v>205</v>
      </c>
      <c r="AN4" s="27" t="s">
        <v>198</v>
      </c>
      <c r="AO4" s="27" t="s">
        <v>196</v>
      </c>
      <c r="AP4" s="27" t="s">
        <v>196</v>
      </c>
      <c r="AQ4" s="27" t="s">
        <v>205</v>
      </c>
      <c r="AR4" s="27" t="s">
        <v>199</v>
      </c>
      <c r="AS4" s="27" t="s">
        <v>210</v>
      </c>
      <c r="AT4" s="27" t="s">
        <v>205</v>
      </c>
      <c r="AU4" s="27" t="s">
        <v>205</v>
      </c>
      <c r="AV4" s="27" t="s">
        <v>205</v>
      </c>
      <c r="AW4" s="27" t="s">
        <v>205</v>
      </c>
      <c r="AX4" s="27" t="s">
        <v>205</v>
      </c>
      <c r="AY4" s="27" t="s">
        <v>205</v>
      </c>
      <c r="AZ4" s="27" t="s">
        <v>205</v>
      </c>
      <c r="BA4" s="27" t="s">
        <v>195</v>
      </c>
      <c r="BB4" s="27" t="s">
        <v>205</v>
      </c>
      <c r="BC4" s="27" t="s">
        <v>197</v>
      </c>
      <c r="BD4" s="27" t="s">
        <v>205</v>
      </c>
      <c r="BE4" s="27" t="s">
        <v>205</v>
      </c>
      <c r="BF4" s="27" t="s">
        <v>205</v>
      </c>
      <c r="BG4" s="27" t="s">
        <v>195</v>
      </c>
      <c r="BH4" s="27"/>
      <c r="BI4" s="27"/>
      <c r="BJ4" s="27"/>
      <c r="BK4" s="27"/>
      <c r="BL4" s="27"/>
      <c r="BM4" s="27"/>
      <c r="BN4" s="27"/>
      <c r="BO4" s="27"/>
      <c r="BP4" s="27"/>
      <c r="BQ4" s="27"/>
      <c r="BR4" s="27"/>
      <c r="BS4" s="27"/>
      <c r="BT4" s="27"/>
      <c r="BU4" s="27"/>
      <c r="BV4" s="27"/>
      <c r="BW4" s="27"/>
      <c r="BX4" s="27"/>
      <c r="BY4" s="27"/>
      <c r="BZ4" s="27"/>
      <c r="CA4" s="27"/>
      <c r="CB4" s="27"/>
      <c r="CC4" s="27"/>
      <c r="CD4" s="27"/>
      <c r="CE4" s="27"/>
      <c r="CF4" s="27"/>
      <c r="CG4" s="27"/>
      <c r="CH4" s="27"/>
      <c r="CI4" s="27"/>
      <c r="CJ4" s="27"/>
      <c r="CK4" s="27"/>
      <c r="CL4" s="27"/>
      <c r="CM4" s="27"/>
      <c r="CN4" s="27"/>
      <c r="CO4" s="27"/>
      <c r="CP4" s="28"/>
      <c r="CQ4" s="28"/>
      <c r="CR4" s="28"/>
      <c r="CS4" s="28"/>
      <c r="CT4" s="28"/>
      <c r="CU4" s="28"/>
      <c r="CV4" s="28"/>
      <c r="CW4" s="28"/>
      <c r="CX4" s="28"/>
      <c r="CY4" s="28"/>
      <c r="CZ4" s="28"/>
      <c r="DA4" s="28"/>
      <c r="DB4" s="28"/>
    </row>
    <row r="5" spans="1:106" s="23" customFormat="1" x14ac:dyDescent="0.2">
      <c r="A5" s="25"/>
      <c r="B5" s="26" t="s">
        <v>35</v>
      </c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27"/>
      <c r="AJ5" s="27"/>
      <c r="AK5" s="27"/>
      <c r="AL5" s="27"/>
      <c r="AM5" s="27"/>
      <c r="AN5" s="27"/>
      <c r="AO5" s="27"/>
      <c r="AP5" s="27"/>
      <c r="AQ5" s="27"/>
      <c r="AR5" s="27"/>
      <c r="AS5" s="27"/>
      <c r="AT5" s="27"/>
      <c r="AU5" s="31"/>
      <c r="AV5" s="27"/>
      <c r="AW5" s="27"/>
      <c r="AX5" s="27"/>
      <c r="AY5" s="27"/>
      <c r="AZ5" s="27"/>
      <c r="BA5" s="27"/>
      <c r="BB5" s="27"/>
      <c r="BC5" s="27"/>
      <c r="BD5" s="27"/>
      <c r="BE5" s="27"/>
      <c r="BF5" s="27"/>
      <c r="BG5" s="27"/>
      <c r="BH5" s="27"/>
      <c r="BI5" s="27"/>
      <c r="BJ5" s="27"/>
      <c r="BK5" s="27"/>
      <c r="BL5" s="27"/>
      <c r="BM5" s="27"/>
      <c r="BN5" s="27"/>
      <c r="BO5" s="27"/>
      <c r="BP5" s="27"/>
      <c r="BQ5" s="27"/>
      <c r="BR5" s="27"/>
      <c r="BS5" s="27"/>
      <c r="BT5" s="27"/>
      <c r="BU5" s="27"/>
      <c r="BV5" s="27"/>
      <c r="BW5" s="27"/>
      <c r="BX5" s="27"/>
      <c r="BY5" s="27"/>
      <c r="BZ5" s="27"/>
      <c r="CA5" s="27"/>
      <c r="CB5" s="27"/>
      <c r="CC5" s="27"/>
      <c r="CD5" s="27"/>
      <c r="CE5" s="27"/>
      <c r="CF5" s="27"/>
      <c r="CG5" s="27"/>
      <c r="CH5" s="27"/>
      <c r="CI5" s="27"/>
      <c r="CJ5" s="27"/>
      <c r="CK5" s="27"/>
      <c r="CL5" s="27"/>
      <c r="CM5" s="27"/>
      <c r="CN5" s="27"/>
      <c r="CO5" s="27"/>
      <c r="CP5" s="28"/>
      <c r="CQ5" s="28"/>
      <c r="CR5" s="28"/>
      <c r="CS5" s="28"/>
      <c r="CT5" s="28"/>
      <c r="CU5" s="28"/>
      <c r="CV5" s="28"/>
      <c r="CW5" s="28"/>
      <c r="CX5" s="28"/>
      <c r="CY5" s="28"/>
      <c r="CZ5" s="28"/>
      <c r="DA5" s="28"/>
      <c r="DB5" s="28"/>
    </row>
    <row r="6" spans="1:106" s="32" customFormat="1" x14ac:dyDescent="0.2">
      <c r="A6" s="30"/>
      <c r="B6" s="26" t="s">
        <v>36</v>
      </c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  <c r="AG6" s="31"/>
      <c r="AH6" s="31"/>
      <c r="AI6" s="31"/>
      <c r="AJ6" s="31"/>
      <c r="AK6" s="31"/>
      <c r="AL6" s="31"/>
      <c r="AM6" s="31"/>
      <c r="AN6" s="31"/>
      <c r="AO6" s="31"/>
      <c r="AP6" s="31"/>
      <c r="AQ6" s="31"/>
      <c r="AR6" s="31"/>
      <c r="AS6" s="31"/>
      <c r="AT6" s="31" t="s">
        <v>209</v>
      </c>
      <c r="AU6" s="31"/>
      <c r="AV6" s="31"/>
      <c r="AW6" s="31"/>
      <c r="AX6" s="31"/>
      <c r="AY6" s="31"/>
      <c r="AZ6" s="31"/>
      <c r="BA6" s="31"/>
      <c r="BB6" s="31"/>
      <c r="BC6" s="31"/>
      <c r="BD6" s="31"/>
      <c r="BE6" s="31"/>
      <c r="BF6" s="31"/>
      <c r="BG6" s="31"/>
      <c r="BH6" s="31"/>
      <c r="BI6" s="31"/>
      <c r="BJ6" s="31"/>
      <c r="BK6" s="31"/>
      <c r="BL6" s="31"/>
      <c r="BM6" s="31"/>
      <c r="BN6" s="31"/>
      <c r="BO6" s="31"/>
      <c r="BP6" s="31"/>
      <c r="BQ6" s="31"/>
      <c r="BR6" s="31"/>
      <c r="BS6" s="31"/>
      <c r="BT6" s="31"/>
      <c r="BU6" s="31"/>
      <c r="BV6" s="31"/>
      <c r="BW6" s="31"/>
      <c r="BX6" s="31"/>
      <c r="BY6" s="31"/>
      <c r="BZ6" s="31"/>
      <c r="CA6" s="31"/>
      <c r="CB6" s="31"/>
      <c r="CC6" s="31"/>
      <c r="CD6" s="31"/>
      <c r="CE6" s="31"/>
      <c r="CF6" s="31"/>
      <c r="CG6" s="31"/>
      <c r="CH6" s="31"/>
      <c r="CI6" s="31"/>
      <c r="CJ6" s="31"/>
      <c r="CK6" s="31"/>
      <c r="CL6" s="31"/>
      <c r="CM6" s="31"/>
      <c r="CN6" s="31"/>
      <c r="CO6" s="31"/>
      <c r="CP6" s="30"/>
      <c r="CQ6" s="30"/>
      <c r="CR6" s="30"/>
      <c r="CS6" s="30"/>
      <c r="CT6" s="30"/>
      <c r="CU6" s="30"/>
      <c r="CV6" s="30"/>
      <c r="CW6" s="30"/>
      <c r="CX6" s="30"/>
      <c r="CY6" s="30"/>
      <c r="CZ6" s="30"/>
      <c r="DA6" s="30"/>
      <c r="DB6" s="30"/>
    </row>
    <row r="7" spans="1:106" s="75" customFormat="1" ht="28.2" customHeight="1" x14ac:dyDescent="0.2">
      <c r="A7" s="71"/>
      <c r="B7" s="29" t="s">
        <v>37</v>
      </c>
      <c r="C7" s="29" t="s">
        <v>100</v>
      </c>
      <c r="D7" s="29" t="s">
        <v>99</v>
      </c>
      <c r="E7" s="29" t="s">
        <v>123</v>
      </c>
      <c r="F7" s="29" t="s">
        <v>123</v>
      </c>
      <c r="G7" s="29" t="s">
        <v>123</v>
      </c>
      <c r="H7" s="29" t="s">
        <v>102</v>
      </c>
      <c r="I7" s="29" t="s">
        <v>17</v>
      </c>
      <c r="J7" s="29" t="s">
        <v>108</v>
      </c>
      <c r="K7" s="29" t="s">
        <v>255</v>
      </c>
      <c r="L7" s="29" t="s">
        <v>105</v>
      </c>
      <c r="M7" s="29" t="s">
        <v>53</v>
      </c>
      <c r="N7" s="29" t="s">
        <v>5</v>
      </c>
      <c r="O7" s="29" t="s">
        <v>5</v>
      </c>
      <c r="P7" s="29" t="s">
        <v>254</v>
      </c>
      <c r="Q7" s="29" t="s">
        <v>124</v>
      </c>
      <c r="R7" s="29" t="s">
        <v>106</v>
      </c>
      <c r="S7" s="29" t="s">
        <v>106</v>
      </c>
      <c r="T7" s="29" t="s">
        <v>106</v>
      </c>
      <c r="U7" s="29" t="s">
        <v>256</v>
      </c>
      <c r="V7" s="29" t="s">
        <v>109</v>
      </c>
      <c r="W7" s="29" t="s">
        <v>110</v>
      </c>
      <c r="X7" s="29" t="s">
        <v>258</v>
      </c>
      <c r="Y7" s="29" t="s">
        <v>258</v>
      </c>
      <c r="Z7" s="29" t="s">
        <v>257</v>
      </c>
      <c r="AA7" s="29" t="s">
        <v>257</v>
      </c>
      <c r="AB7" s="29" t="s">
        <v>94</v>
      </c>
      <c r="AC7" s="29" t="s">
        <v>20</v>
      </c>
      <c r="AD7" s="29" t="s">
        <v>138</v>
      </c>
      <c r="AE7" s="29" t="s">
        <v>19</v>
      </c>
      <c r="AF7" s="29" t="s">
        <v>111</v>
      </c>
      <c r="AG7" s="29" t="s">
        <v>10</v>
      </c>
      <c r="AH7" s="29" t="s">
        <v>125</v>
      </c>
      <c r="AI7" s="29" t="s">
        <v>259</v>
      </c>
      <c r="AJ7" s="29" t="s">
        <v>113</v>
      </c>
      <c r="AK7" s="29" t="s">
        <v>107</v>
      </c>
      <c r="AL7" s="29" t="s">
        <v>126</v>
      </c>
      <c r="AM7" s="29" t="s">
        <v>126</v>
      </c>
      <c r="AN7" s="29" t="s">
        <v>126</v>
      </c>
      <c r="AO7" s="29" t="s">
        <v>129</v>
      </c>
      <c r="AP7" s="29" t="s">
        <v>115</v>
      </c>
      <c r="AQ7" s="29" t="s">
        <v>115</v>
      </c>
      <c r="AR7" s="29" t="s">
        <v>127</v>
      </c>
      <c r="AS7" s="29" t="s">
        <v>116</v>
      </c>
      <c r="AT7" s="29" t="s">
        <v>208</v>
      </c>
      <c r="AU7" s="29" t="s">
        <v>134</v>
      </c>
      <c r="AV7" s="29" t="s">
        <v>18</v>
      </c>
      <c r="AW7" s="29" t="s">
        <v>117</v>
      </c>
      <c r="AX7" s="29" t="s">
        <v>131</v>
      </c>
      <c r="AY7" s="29" t="s">
        <v>130</v>
      </c>
      <c r="AZ7" s="29" t="s">
        <v>118</v>
      </c>
      <c r="BA7" s="29" t="s">
        <v>121</v>
      </c>
      <c r="BB7" s="29" t="s">
        <v>121</v>
      </c>
      <c r="BC7" s="29" t="s">
        <v>119</v>
      </c>
      <c r="BD7" s="29" t="s">
        <v>119</v>
      </c>
      <c r="BE7" s="29" t="s">
        <v>112</v>
      </c>
      <c r="BF7" s="29" t="s">
        <v>96</v>
      </c>
      <c r="BG7" s="29" t="s">
        <v>96</v>
      </c>
      <c r="BH7" s="29"/>
      <c r="BI7" s="29"/>
      <c r="BJ7" s="29"/>
      <c r="BK7" s="29"/>
      <c r="BL7" s="29"/>
      <c r="BM7" s="29"/>
      <c r="BN7" s="29"/>
      <c r="BO7" s="29"/>
      <c r="BP7" s="29"/>
      <c r="BQ7" s="29"/>
      <c r="BR7" s="29"/>
      <c r="BS7" s="29"/>
      <c r="BT7" s="29"/>
      <c r="BU7" s="29"/>
      <c r="BV7" s="29"/>
      <c r="BW7" s="29"/>
      <c r="BX7" s="29"/>
      <c r="BY7" s="29"/>
      <c r="BZ7" s="29"/>
      <c r="CA7" s="29"/>
      <c r="CB7" s="29"/>
      <c r="CC7" s="29"/>
      <c r="CD7" s="72"/>
      <c r="CE7" s="72"/>
      <c r="CF7" s="72"/>
      <c r="CG7" s="72"/>
      <c r="CH7" s="72"/>
      <c r="CI7" s="72"/>
      <c r="CJ7" s="72"/>
      <c r="CK7" s="72"/>
      <c r="CL7" s="72"/>
      <c r="CM7" s="72"/>
      <c r="CN7" s="72"/>
      <c r="CO7" s="72"/>
      <c r="CP7" s="73"/>
      <c r="CQ7" s="74"/>
      <c r="CR7" s="74"/>
      <c r="CS7" s="74"/>
      <c r="CT7" s="74"/>
      <c r="CU7" s="74"/>
      <c r="CV7" s="74"/>
      <c r="CW7" s="74"/>
      <c r="CX7" s="74"/>
      <c r="CY7" s="74"/>
      <c r="CZ7" s="74"/>
      <c r="DA7" s="74"/>
      <c r="DB7" s="74"/>
    </row>
    <row r="8" spans="1:106" x14ac:dyDescent="0.2">
      <c r="A8" s="33" t="s">
        <v>38</v>
      </c>
      <c r="B8" s="34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  <c r="AJ8" s="35"/>
      <c r="AK8" s="35"/>
      <c r="AL8" s="35"/>
      <c r="AM8" s="35"/>
      <c r="AN8" s="35"/>
      <c r="AO8" s="35"/>
      <c r="AP8" s="35"/>
      <c r="AQ8" s="35"/>
      <c r="AR8" s="35"/>
      <c r="AS8" s="35"/>
      <c r="AT8" s="35"/>
      <c r="AU8" s="35"/>
      <c r="AV8" s="35"/>
      <c r="AW8" s="35"/>
      <c r="AX8" s="35"/>
      <c r="AY8" s="35"/>
      <c r="AZ8" s="35"/>
      <c r="BA8" s="35"/>
      <c r="BB8" s="35"/>
      <c r="BC8" s="35"/>
      <c r="BD8" s="35"/>
      <c r="BE8" s="35"/>
      <c r="BF8" s="35"/>
      <c r="BG8" s="35"/>
      <c r="BH8" s="35"/>
      <c r="BI8" s="35"/>
      <c r="BJ8" s="35"/>
      <c r="BK8" s="35"/>
      <c r="BL8" s="35"/>
      <c r="BM8" s="35"/>
      <c r="BN8" s="35"/>
      <c r="BO8" s="35"/>
      <c r="BP8" s="35"/>
      <c r="BQ8" s="35"/>
      <c r="BR8" s="35"/>
      <c r="BS8" s="35"/>
      <c r="BT8" s="35"/>
      <c r="BU8" s="35"/>
      <c r="BV8" s="35"/>
      <c r="BW8" s="35"/>
      <c r="BX8" s="35"/>
      <c r="BY8" s="35"/>
      <c r="BZ8" s="35"/>
      <c r="CA8" s="35"/>
      <c r="CB8" s="35"/>
      <c r="CC8" s="35"/>
      <c r="CD8" s="35"/>
      <c r="CE8" s="35"/>
      <c r="CF8" s="35"/>
      <c r="CG8" s="35"/>
      <c r="CH8" s="35"/>
      <c r="CI8" s="35"/>
      <c r="CJ8" s="35"/>
      <c r="CK8" s="35"/>
      <c r="CL8" s="35"/>
      <c r="CM8" s="35"/>
      <c r="CN8" s="35"/>
      <c r="CO8" s="35"/>
      <c r="CP8" s="35"/>
    </row>
    <row r="9" spans="1:106" x14ac:dyDescent="0.2">
      <c r="A9" s="36" t="s">
        <v>184</v>
      </c>
      <c r="B9" s="35"/>
      <c r="C9" s="37" t="s">
        <v>39</v>
      </c>
      <c r="D9" s="37" t="s">
        <v>39</v>
      </c>
      <c r="E9" s="37"/>
      <c r="F9" s="37"/>
      <c r="G9" s="37" t="s">
        <v>39</v>
      </c>
      <c r="H9" s="37" t="s">
        <v>39</v>
      </c>
      <c r="I9" s="37">
        <v>0.54778869778869788</v>
      </c>
      <c r="J9" s="37" t="s">
        <v>39</v>
      </c>
      <c r="K9" s="37" t="s">
        <v>39</v>
      </c>
      <c r="L9" s="37" t="s">
        <v>39</v>
      </c>
      <c r="M9" s="37" t="s">
        <v>39</v>
      </c>
      <c r="N9" s="37"/>
      <c r="O9" s="37">
        <v>5.5090392833583506</v>
      </c>
      <c r="P9" s="37" t="s">
        <v>39</v>
      </c>
      <c r="Q9" s="37" t="s">
        <v>39</v>
      </c>
      <c r="R9" s="37"/>
      <c r="S9" s="37"/>
      <c r="T9" s="37" t="s">
        <v>39</v>
      </c>
      <c r="U9" s="37" t="s">
        <v>39</v>
      </c>
      <c r="V9" s="37" t="s">
        <v>39</v>
      </c>
      <c r="W9" s="37">
        <v>0.15385113981882675</v>
      </c>
      <c r="X9" s="37"/>
      <c r="Y9" s="37">
        <v>1.3905405405405409</v>
      </c>
      <c r="Z9" s="37"/>
      <c r="AA9" s="37">
        <v>0.77252252252252263</v>
      </c>
      <c r="AB9" s="37">
        <v>14.045864045864048</v>
      </c>
      <c r="AC9" s="37">
        <v>9.4388206388206406</v>
      </c>
      <c r="AD9" s="37" t="s">
        <v>39</v>
      </c>
      <c r="AE9" s="37">
        <v>5.9304759304759314E-2</v>
      </c>
      <c r="AF9" s="37" t="s">
        <v>39</v>
      </c>
      <c r="AG9" s="37" t="s">
        <v>39</v>
      </c>
      <c r="AH9" s="37" t="s">
        <v>39</v>
      </c>
      <c r="AI9" s="37">
        <v>7.0229320229320233</v>
      </c>
      <c r="AJ9" s="37" t="s">
        <v>39</v>
      </c>
      <c r="AK9" s="37" t="s">
        <v>39</v>
      </c>
      <c r="AL9" s="37"/>
      <c r="AM9" s="37"/>
      <c r="AN9" s="37">
        <v>4.5074454619909172</v>
      </c>
      <c r="AO9" s="37" t="s">
        <v>39</v>
      </c>
      <c r="AP9" s="37"/>
      <c r="AQ9" s="37">
        <v>1.45129655994142</v>
      </c>
      <c r="AR9" s="37" t="s">
        <v>39</v>
      </c>
      <c r="AS9" s="37" t="s">
        <v>39</v>
      </c>
      <c r="AT9" s="37">
        <v>1.2585094185094188</v>
      </c>
      <c r="AU9" s="37">
        <v>1.1228976212776931</v>
      </c>
      <c r="AV9" s="37">
        <v>6.1282910009024674</v>
      </c>
      <c r="AW9" s="37" t="s">
        <v>39</v>
      </c>
      <c r="AX9" s="37" t="s">
        <v>39</v>
      </c>
      <c r="AY9" s="37" t="s">
        <v>39</v>
      </c>
      <c r="AZ9" s="37" t="s">
        <v>39</v>
      </c>
      <c r="BA9" s="37">
        <v>0.47755937755937766</v>
      </c>
      <c r="BB9" s="37"/>
      <c r="BC9" s="37"/>
      <c r="BD9" s="37" t="s">
        <v>39</v>
      </c>
      <c r="BE9" s="37" t="s">
        <v>39</v>
      </c>
      <c r="BF9" s="37" t="s">
        <v>39</v>
      </c>
      <c r="BG9" s="37" t="s">
        <v>39</v>
      </c>
      <c r="BH9" s="37"/>
      <c r="BI9" s="37"/>
      <c r="BJ9" s="37"/>
      <c r="BK9" s="37"/>
      <c r="BL9" s="37"/>
      <c r="BM9" s="37"/>
      <c r="BN9" s="37"/>
      <c r="BO9" s="37"/>
      <c r="BP9" s="37"/>
      <c r="BQ9" s="37"/>
      <c r="BR9" s="37"/>
      <c r="BS9" s="37"/>
      <c r="BT9" s="37"/>
      <c r="BU9" s="37"/>
      <c r="BV9" s="37"/>
      <c r="BW9" s="37"/>
      <c r="BX9" s="37"/>
      <c r="BY9" s="37"/>
      <c r="BZ9" s="37"/>
      <c r="CA9" s="37"/>
      <c r="CB9" s="37"/>
      <c r="CC9" s="37"/>
      <c r="CD9" s="35"/>
      <c r="CE9" s="35"/>
      <c r="CF9" s="35"/>
      <c r="CG9" s="35"/>
      <c r="CH9" s="35"/>
      <c r="CI9" s="35"/>
      <c r="CJ9" s="38"/>
      <c r="CK9" s="38"/>
      <c r="CL9" s="38"/>
      <c r="CM9" s="38"/>
      <c r="CN9" s="35"/>
      <c r="CO9" s="35"/>
      <c r="CP9" s="35"/>
    </row>
    <row r="10" spans="1:106" x14ac:dyDescent="0.2">
      <c r="A10" s="36" t="s">
        <v>185</v>
      </c>
      <c r="C10" s="37" t="s">
        <v>39</v>
      </c>
      <c r="D10" s="37" t="s">
        <v>39</v>
      </c>
      <c r="E10" s="37"/>
      <c r="F10" s="37"/>
      <c r="G10" s="37" t="s">
        <v>39</v>
      </c>
      <c r="H10" s="37" t="s">
        <v>39</v>
      </c>
      <c r="I10" s="37">
        <v>0.48945536445536447</v>
      </c>
      <c r="J10" s="37" t="s">
        <v>39</v>
      </c>
      <c r="K10" s="37" t="s">
        <v>39</v>
      </c>
      <c r="L10" s="37" t="s">
        <v>39</v>
      </c>
      <c r="M10" s="37" t="s">
        <v>39</v>
      </c>
      <c r="N10" s="37"/>
      <c r="O10" s="37">
        <v>3.1366965946405201</v>
      </c>
      <c r="P10" s="37" t="s">
        <v>39</v>
      </c>
      <c r="Q10" s="37" t="s">
        <v>39</v>
      </c>
      <c r="R10" s="37"/>
      <c r="S10" s="37"/>
      <c r="T10" s="37" t="s">
        <v>39</v>
      </c>
      <c r="U10" s="37" t="s">
        <v>39</v>
      </c>
      <c r="V10" s="37" t="s">
        <v>39</v>
      </c>
      <c r="W10" s="37">
        <v>0.15317832142311757</v>
      </c>
      <c r="X10" s="37"/>
      <c r="Y10" s="37">
        <v>1.3844594594594597</v>
      </c>
      <c r="Z10" s="37"/>
      <c r="AA10" s="37">
        <v>0.76914414414414423</v>
      </c>
      <c r="AB10" s="37">
        <v>13.984438984438986</v>
      </c>
      <c r="AC10" s="37">
        <v>9.3975429975429989</v>
      </c>
      <c r="AD10" s="37" t="s">
        <v>39</v>
      </c>
      <c r="AE10" s="37">
        <v>5.5937755937755941E-2</v>
      </c>
      <c r="AF10" s="37" t="s">
        <v>39</v>
      </c>
      <c r="AG10" s="37" t="s">
        <v>39</v>
      </c>
      <c r="AH10" s="37" t="s">
        <v>39</v>
      </c>
      <c r="AI10" s="37">
        <v>6.9922194922194931</v>
      </c>
      <c r="AJ10" s="37" t="s">
        <v>39</v>
      </c>
      <c r="AK10" s="37" t="s">
        <v>39</v>
      </c>
      <c r="AL10" s="37"/>
      <c r="AM10" s="37"/>
      <c r="AN10" s="37">
        <v>4.4877336013699649</v>
      </c>
      <c r="AO10" s="37" t="s">
        <v>39</v>
      </c>
      <c r="AP10" s="37"/>
      <c r="AQ10" s="37">
        <v>1.441759336077518</v>
      </c>
      <c r="AR10" s="37" t="s">
        <v>39</v>
      </c>
      <c r="AS10" s="37" t="s">
        <v>39</v>
      </c>
      <c r="AT10" s="37">
        <v>1.4096314496314497</v>
      </c>
      <c r="AU10" s="37">
        <v>1.1666076356623813</v>
      </c>
      <c r="AV10" s="37">
        <v>5.1390902825329059</v>
      </c>
      <c r="AW10" s="37" t="s">
        <v>39</v>
      </c>
      <c r="AX10" s="37" t="s">
        <v>39</v>
      </c>
      <c r="AY10" s="37" t="s">
        <v>39</v>
      </c>
      <c r="AZ10" s="37" t="s">
        <v>39</v>
      </c>
      <c r="BA10" s="37">
        <v>0.47547092547092551</v>
      </c>
      <c r="BB10" s="37"/>
      <c r="BC10" s="37"/>
      <c r="BD10" s="37" t="s">
        <v>39</v>
      </c>
      <c r="BE10" s="37" t="s">
        <v>39</v>
      </c>
      <c r="BF10" s="37" t="s">
        <v>39</v>
      </c>
      <c r="BG10" s="37" t="s">
        <v>39</v>
      </c>
      <c r="BH10" s="37"/>
      <c r="BI10" s="37"/>
      <c r="BJ10" s="37"/>
      <c r="BK10" s="37"/>
      <c r="BL10" s="37"/>
      <c r="BM10" s="37"/>
      <c r="BN10" s="37"/>
      <c r="BO10" s="37"/>
      <c r="BP10" s="37"/>
      <c r="BQ10" s="37"/>
      <c r="BR10" s="37"/>
      <c r="BS10" s="37"/>
      <c r="BT10" s="37"/>
      <c r="BU10" s="37"/>
      <c r="BV10" s="37"/>
      <c r="BW10" s="37"/>
      <c r="BX10" s="37"/>
      <c r="BY10" s="37"/>
      <c r="BZ10" s="37"/>
      <c r="CA10" s="37"/>
      <c r="CB10" s="37"/>
      <c r="CC10" s="37"/>
    </row>
    <row r="11" spans="1:106" x14ac:dyDescent="0.2">
      <c r="A11" s="36" t="s">
        <v>186</v>
      </c>
      <c r="C11" s="37" t="s">
        <v>39</v>
      </c>
      <c r="D11" s="37" t="s">
        <v>39</v>
      </c>
      <c r="E11" s="37"/>
      <c r="F11" s="37"/>
      <c r="G11" s="37" t="s">
        <v>39</v>
      </c>
      <c r="H11" s="37" t="s">
        <v>39</v>
      </c>
      <c r="I11" s="37">
        <v>0.62571662571662567</v>
      </c>
      <c r="J11" s="37" t="s">
        <v>39</v>
      </c>
      <c r="K11" s="37" t="s">
        <v>39</v>
      </c>
      <c r="L11" s="37" t="s">
        <v>39</v>
      </c>
      <c r="M11" s="37" t="s">
        <v>39</v>
      </c>
      <c r="N11" s="37"/>
      <c r="O11" s="37">
        <v>4.1641386650143222</v>
      </c>
      <c r="P11" s="37" t="s">
        <v>39</v>
      </c>
      <c r="Q11" s="37" t="s">
        <v>39</v>
      </c>
      <c r="R11" s="37"/>
      <c r="S11" s="37"/>
      <c r="T11" s="37" t="s">
        <v>39</v>
      </c>
      <c r="U11" s="37" t="s">
        <v>39</v>
      </c>
      <c r="V11" s="37" t="s">
        <v>39</v>
      </c>
      <c r="W11" s="37">
        <v>0.21154025710273677</v>
      </c>
      <c r="X11" s="37"/>
      <c r="Y11" s="37">
        <v>4.6271744471744469</v>
      </c>
      <c r="Z11" s="37"/>
      <c r="AA11" s="37">
        <v>0.62571662571662567</v>
      </c>
      <c r="AB11" s="37">
        <v>15.642915642915641</v>
      </c>
      <c r="AC11" s="37">
        <v>13.444315221374994</v>
      </c>
      <c r="AD11" s="37" t="s">
        <v>39</v>
      </c>
      <c r="AE11" s="37">
        <v>5.2143052143052142E-2</v>
      </c>
      <c r="AF11" s="37" t="s">
        <v>39</v>
      </c>
      <c r="AG11" s="37" t="s">
        <v>39</v>
      </c>
      <c r="AH11" s="37" t="s">
        <v>39</v>
      </c>
      <c r="AI11" s="37">
        <v>7.8214578214578214</v>
      </c>
      <c r="AJ11" s="37" t="s">
        <v>39</v>
      </c>
      <c r="AK11" s="37" t="s">
        <v>39</v>
      </c>
      <c r="AL11" s="37"/>
      <c r="AM11" s="37"/>
      <c r="AN11" s="37">
        <v>11.287927927927926</v>
      </c>
      <c r="AO11" s="37" t="s">
        <v>39</v>
      </c>
      <c r="AP11" s="37"/>
      <c r="AQ11" s="37">
        <v>2.5242324364275581</v>
      </c>
      <c r="AR11" s="37" t="s">
        <v>39</v>
      </c>
      <c r="AS11" s="37" t="s">
        <v>39</v>
      </c>
      <c r="AT11" s="37">
        <v>1.2045141406176294</v>
      </c>
      <c r="AU11" s="37">
        <v>1.7289588467670658</v>
      </c>
      <c r="AV11" s="37">
        <v>5.8208112418638729</v>
      </c>
      <c r="AW11" s="37" t="s">
        <v>39</v>
      </c>
      <c r="AX11" s="37" t="s">
        <v>39</v>
      </c>
      <c r="AY11" s="37" t="s">
        <v>39</v>
      </c>
      <c r="AZ11" s="37" t="s">
        <v>39</v>
      </c>
      <c r="BA11" s="37">
        <v>0.48493038493038487</v>
      </c>
      <c r="BB11" s="37"/>
      <c r="BC11" s="37"/>
      <c r="BD11" s="37" t="s">
        <v>39</v>
      </c>
      <c r="BE11" s="37" t="s">
        <v>39</v>
      </c>
      <c r="BF11" s="37">
        <v>1.2260418521288086</v>
      </c>
      <c r="BG11" s="37"/>
      <c r="BH11" s="37"/>
      <c r="BI11" s="37"/>
      <c r="BJ11" s="37"/>
      <c r="BK11" s="37"/>
      <c r="BL11" s="37"/>
      <c r="BM11" s="37"/>
      <c r="BN11" s="37"/>
      <c r="BO11" s="37"/>
      <c r="BP11" s="37"/>
      <c r="BQ11" s="37"/>
      <c r="BR11" s="37"/>
      <c r="BS11" s="37"/>
      <c r="BT11" s="37"/>
      <c r="BU11" s="37"/>
      <c r="BV11" s="37"/>
      <c r="BW11" s="37"/>
      <c r="BX11" s="37"/>
      <c r="BY11" s="37"/>
      <c r="BZ11" s="37"/>
      <c r="CA11" s="37"/>
      <c r="CB11" s="37"/>
      <c r="CC11" s="37"/>
    </row>
    <row r="12" spans="1:106" x14ac:dyDescent="0.2">
      <c r="A12" s="36" t="s">
        <v>187</v>
      </c>
      <c r="C12" s="37" t="s">
        <v>39</v>
      </c>
      <c r="D12" s="37" t="s">
        <v>39</v>
      </c>
      <c r="E12" s="37"/>
      <c r="F12" s="37"/>
      <c r="G12" s="37" t="s">
        <v>39</v>
      </c>
      <c r="H12" s="37" t="s">
        <v>39</v>
      </c>
      <c r="I12" s="37">
        <v>0.54621212121212115</v>
      </c>
      <c r="J12" s="37" t="s">
        <v>39</v>
      </c>
      <c r="K12" s="37" t="s">
        <v>39</v>
      </c>
      <c r="L12" s="37" t="s">
        <v>39</v>
      </c>
      <c r="M12" s="37" t="s">
        <v>39</v>
      </c>
      <c r="N12" s="37"/>
      <c r="O12" s="37">
        <v>3.4735270029387681</v>
      </c>
      <c r="P12" s="37" t="s">
        <v>39</v>
      </c>
      <c r="Q12" s="37" t="s">
        <v>39</v>
      </c>
      <c r="R12" s="37"/>
      <c r="S12" s="37"/>
      <c r="T12" s="37" t="s">
        <v>39</v>
      </c>
      <c r="U12" s="37" t="s">
        <v>39</v>
      </c>
      <c r="V12" s="37" t="s">
        <v>39</v>
      </c>
      <c r="W12" s="37">
        <v>0.33261150356881813</v>
      </c>
      <c r="X12" s="37"/>
      <c r="Y12" s="37">
        <v>3.6906224406224406</v>
      </c>
      <c r="Z12" s="37"/>
      <c r="AA12" s="37">
        <v>0.44287469287469289</v>
      </c>
      <c r="AB12" s="37">
        <v>8.8574938574938589</v>
      </c>
      <c r="AC12" s="37">
        <v>11.183704365522548</v>
      </c>
      <c r="AD12" s="37" t="s">
        <v>39</v>
      </c>
      <c r="AE12" s="37">
        <v>7.8733278733278747E-2</v>
      </c>
      <c r="AF12" s="37" t="s">
        <v>39</v>
      </c>
      <c r="AG12" s="37" t="s">
        <v>39</v>
      </c>
      <c r="AH12" s="37" t="s">
        <v>39</v>
      </c>
      <c r="AI12" s="37">
        <v>3.8382473382473381</v>
      </c>
      <c r="AJ12" s="37" t="s">
        <v>39</v>
      </c>
      <c r="AK12" s="37" t="s">
        <v>39</v>
      </c>
      <c r="AL12" s="37"/>
      <c r="AM12" s="37"/>
      <c r="AN12" s="37">
        <v>2.7300494766248193</v>
      </c>
      <c r="AO12" s="37" t="s">
        <v>39</v>
      </c>
      <c r="AP12" s="37"/>
      <c r="AQ12" s="37">
        <v>2.973749865780714</v>
      </c>
      <c r="AR12" s="37" t="s">
        <v>39</v>
      </c>
      <c r="AS12" s="37" t="s">
        <v>39</v>
      </c>
      <c r="AT12" s="37">
        <v>1.0333742833742834</v>
      </c>
      <c r="AU12" s="37">
        <v>1.1809991809991811</v>
      </c>
      <c r="AV12" s="37">
        <v>6.8830108517608517</v>
      </c>
      <c r="AW12" s="37" t="s">
        <v>39</v>
      </c>
      <c r="AX12" s="37" t="s">
        <v>39</v>
      </c>
      <c r="AY12" s="37" t="s">
        <v>39</v>
      </c>
      <c r="AZ12" s="37" t="s">
        <v>39</v>
      </c>
      <c r="BA12" s="37"/>
      <c r="BB12" s="37">
        <v>1.6687081020414356</v>
      </c>
      <c r="BC12" s="37"/>
      <c r="BD12" s="37" t="s">
        <v>39</v>
      </c>
      <c r="BE12" s="37" t="s">
        <v>39</v>
      </c>
      <c r="BF12" s="37"/>
      <c r="BG12" s="37"/>
      <c r="BH12" s="37"/>
      <c r="BI12" s="37"/>
      <c r="BJ12" s="37"/>
      <c r="BK12" s="37"/>
      <c r="BL12" s="37"/>
      <c r="BM12" s="37"/>
      <c r="BN12" s="37"/>
      <c r="BO12" s="37"/>
      <c r="BP12" s="37"/>
      <c r="BQ12" s="37"/>
      <c r="BR12" s="37"/>
      <c r="BS12" s="37"/>
      <c r="BT12" s="37"/>
      <c r="BU12" s="37"/>
      <c r="BV12" s="37"/>
      <c r="BW12" s="37"/>
      <c r="BX12" s="37"/>
      <c r="BY12" s="37"/>
      <c r="BZ12" s="37"/>
      <c r="CA12" s="37"/>
      <c r="CB12" s="37"/>
      <c r="CC12" s="37"/>
    </row>
    <row r="13" spans="1:106" x14ac:dyDescent="0.2">
      <c r="A13" s="36" t="s">
        <v>188</v>
      </c>
      <c r="C13" s="37" t="s">
        <v>39</v>
      </c>
      <c r="D13" s="37" t="s">
        <v>39</v>
      </c>
      <c r="E13" s="37"/>
      <c r="F13" s="37"/>
      <c r="G13" s="37" t="s">
        <v>39</v>
      </c>
      <c r="H13" s="37" t="s">
        <v>39</v>
      </c>
      <c r="I13" s="37">
        <v>0.52088452088452086</v>
      </c>
      <c r="J13" s="37" t="s">
        <v>39</v>
      </c>
      <c r="K13" s="37" t="s">
        <v>39</v>
      </c>
      <c r="L13" s="37" t="s">
        <v>39</v>
      </c>
      <c r="M13" s="37" t="s">
        <v>39</v>
      </c>
      <c r="N13" s="37">
        <v>1.7362817362817362</v>
      </c>
      <c r="P13" s="37" t="s">
        <v>39</v>
      </c>
      <c r="Q13" s="37">
        <v>4.3407043407043409</v>
      </c>
      <c r="R13" s="37"/>
      <c r="S13" s="37"/>
      <c r="T13" s="37">
        <v>1.3022113022113022</v>
      </c>
      <c r="U13" s="37" t="s">
        <v>39</v>
      </c>
      <c r="V13" s="37" t="s">
        <v>39</v>
      </c>
      <c r="W13" s="37">
        <v>0.40461547398374653</v>
      </c>
      <c r="X13" s="37"/>
      <c r="Y13" s="37">
        <v>5.2088452088452089</v>
      </c>
      <c r="Z13" s="37"/>
      <c r="AA13" s="37" t="s">
        <v>39</v>
      </c>
      <c r="AB13" s="37">
        <v>5.2088452088452089</v>
      </c>
      <c r="AC13" s="37">
        <v>7.8533358533358539</v>
      </c>
      <c r="AD13" s="37" t="s">
        <v>39</v>
      </c>
      <c r="AE13" s="37">
        <v>4.3407043407043405E-2</v>
      </c>
      <c r="AF13" s="37" t="s">
        <v>39</v>
      </c>
      <c r="AG13" s="37" t="s">
        <v>39</v>
      </c>
      <c r="AH13" s="37" t="s">
        <v>39</v>
      </c>
      <c r="AI13" s="37">
        <v>3.6461916461916464</v>
      </c>
      <c r="AJ13" s="37" t="s">
        <v>39</v>
      </c>
      <c r="AK13" s="37" t="s">
        <v>39</v>
      </c>
      <c r="AL13" s="37"/>
      <c r="AM13" s="37"/>
      <c r="AN13" s="37">
        <v>3.2555282555282554</v>
      </c>
      <c r="AO13" s="37" t="s">
        <v>39</v>
      </c>
      <c r="AP13" s="37">
        <v>1.8230958230958232</v>
      </c>
      <c r="AQ13" s="37"/>
      <c r="AR13" s="37" t="s">
        <v>39</v>
      </c>
      <c r="AS13" s="37" t="s">
        <v>39</v>
      </c>
      <c r="AT13" s="37">
        <v>1.0417690417690419</v>
      </c>
      <c r="AU13" s="37">
        <v>0.83341523341523349</v>
      </c>
      <c r="AV13" s="37">
        <v>5.3031229501817743</v>
      </c>
      <c r="AW13" s="37" t="s">
        <v>39</v>
      </c>
      <c r="AX13" s="37" t="s">
        <v>39</v>
      </c>
      <c r="AY13" s="37" t="s">
        <v>39</v>
      </c>
      <c r="AZ13" s="37" t="s">
        <v>39</v>
      </c>
      <c r="BA13" s="37"/>
      <c r="BB13" s="37">
        <v>1.3022113022113022</v>
      </c>
      <c r="BC13" s="37"/>
      <c r="BD13" s="37" t="s">
        <v>39</v>
      </c>
      <c r="BE13" s="37" t="s">
        <v>39</v>
      </c>
      <c r="BF13" s="37" t="s">
        <v>39</v>
      </c>
      <c r="BG13" s="37"/>
      <c r="BH13" s="37"/>
      <c r="BI13" s="37"/>
      <c r="BJ13" s="37"/>
      <c r="BK13" s="37"/>
      <c r="BL13" s="37"/>
      <c r="BM13" s="37"/>
      <c r="BN13" s="37"/>
      <c r="BO13" s="37"/>
      <c r="BP13" s="37"/>
      <c r="BQ13" s="37"/>
      <c r="BR13" s="37"/>
      <c r="BS13" s="37"/>
      <c r="BT13" s="37"/>
      <c r="BU13" s="37"/>
      <c r="BV13" s="37"/>
      <c r="BW13" s="37"/>
      <c r="BX13" s="37"/>
      <c r="BY13" s="37"/>
      <c r="BZ13" s="37"/>
      <c r="CA13" s="37"/>
      <c r="CB13" s="37"/>
      <c r="CC13" s="37"/>
      <c r="CP13" s="39"/>
    </row>
    <row r="14" spans="1:106" x14ac:dyDescent="0.2">
      <c r="A14" s="36" t="s">
        <v>189</v>
      </c>
      <c r="C14" s="37">
        <v>6.5940588755256737</v>
      </c>
      <c r="D14" s="37">
        <v>1.1000000000000001</v>
      </c>
      <c r="E14" s="37"/>
      <c r="F14" s="37">
        <v>3.7366666666666668</v>
      </c>
      <c r="G14" s="37"/>
      <c r="H14" s="37">
        <v>3.2000000000000001E-2</v>
      </c>
      <c r="I14" s="37">
        <v>0.50539999999999996</v>
      </c>
      <c r="J14" s="37">
        <v>66</v>
      </c>
      <c r="K14" s="37">
        <v>197.78947368421052</v>
      </c>
      <c r="L14" s="37">
        <v>3.7669172932330826</v>
      </c>
      <c r="M14" s="37">
        <v>8.7899999999999991</v>
      </c>
      <c r="N14" s="37">
        <v>3.952</v>
      </c>
      <c r="O14" s="37"/>
      <c r="P14" s="37">
        <v>2.560631067961165</v>
      </c>
      <c r="Q14" s="37">
        <v>3.6629999999999998</v>
      </c>
      <c r="R14" s="37"/>
      <c r="S14" s="37"/>
      <c r="T14" s="37">
        <v>1.5580645161290323</v>
      </c>
      <c r="U14" s="37">
        <v>3.3</v>
      </c>
      <c r="V14" s="37">
        <v>8.6999999999999993</v>
      </c>
      <c r="W14" s="37">
        <v>1.3179994116074054</v>
      </c>
      <c r="X14" s="37"/>
      <c r="Y14" s="37">
        <v>0.76919999999999999</v>
      </c>
      <c r="Z14" s="37">
        <v>40.266666666666666</v>
      </c>
      <c r="AA14" s="37"/>
      <c r="AB14" s="37">
        <v>5.4485999999999999</v>
      </c>
      <c r="AC14" s="37">
        <v>10.413972850678732</v>
      </c>
      <c r="AD14" s="37">
        <v>5.4933333333333334E-2</v>
      </c>
      <c r="AE14" s="37">
        <v>4.1732054636121819E-2</v>
      </c>
      <c r="AF14" s="37">
        <v>11</v>
      </c>
      <c r="AG14" s="37">
        <v>1.1000000000000001</v>
      </c>
      <c r="AH14" s="37" t="s">
        <v>39</v>
      </c>
      <c r="AI14" s="37">
        <v>3.5146666666666668</v>
      </c>
      <c r="AJ14" s="37">
        <v>11</v>
      </c>
      <c r="AK14" s="37">
        <v>0.76500000000000001</v>
      </c>
      <c r="AL14" s="37"/>
      <c r="AM14" s="37"/>
      <c r="AN14" s="37" t="s">
        <v>39</v>
      </c>
      <c r="AO14" s="37" t="s">
        <v>39</v>
      </c>
      <c r="AP14" s="37">
        <v>2.2555263157894738</v>
      </c>
      <c r="AQ14" s="37"/>
      <c r="AR14" s="37" t="s">
        <v>39</v>
      </c>
      <c r="AS14" s="37">
        <v>0.88</v>
      </c>
      <c r="AT14" s="37">
        <v>1.1955961904761905</v>
      </c>
      <c r="AU14" s="37">
        <v>0.84394666666666662</v>
      </c>
      <c r="AV14" s="37" t="s">
        <v>39</v>
      </c>
      <c r="AW14" s="37">
        <v>4.4728506787330318</v>
      </c>
      <c r="AX14" s="37" t="s">
        <v>39</v>
      </c>
      <c r="AY14" s="37" t="s">
        <v>39</v>
      </c>
      <c r="AZ14" s="37">
        <v>5.4660633484162897</v>
      </c>
      <c r="BA14" s="37"/>
      <c r="BB14" s="37">
        <v>2.1966666666666668</v>
      </c>
      <c r="BC14" s="37">
        <v>1.593</v>
      </c>
      <c r="BD14" s="37"/>
      <c r="BE14" s="37">
        <v>5.2512195121951217</v>
      </c>
      <c r="BF14" s="37">
        <v>1.0983333333333334</v>
      </c>
      <c r="BG14" s="37"/>
      <c r="BH14" s="37"/>
      <c r="BI14" s="37"/>
      <c r="BJ14" s="37"/>
      <c r="BK14" s="37"/>
      <c r="BL14" s="37"/>
      <c r="BM14" s="37"/>
      <c r="BN14" s="37"/>
      <c r="BO14" s="37"/>
      <c r="BP14" s="37"/>
      <c r="BQ14" s="37"/>
      <c r="BR14" s="37"/>
      <c r="BS14" s="37"/>
      <c r="BT14" s="37"/>
      <c r="BU14" s="37"/>
      <c r="BV14" s="37"/>
      <c r="BW14" s="37"/>
      <c r="BX14" s="37"/>
      <c r="BY14" s="37"/>
      <c r="BZ14" s="37"/>
      <c r="CA14" s="37"/>
      <c r="CB14" s="37"/>
      <c r="CC14" s="37"/>
    </row>
    <row r="15" spans="1:106" x14ac:dyDescent="0.2">
      <c r="A15" s="36" t="s">
        <v>190</v>
      </c>
      <c r="B15" s="43"/>
      <c r="C15" s="37">
        <v>4.9425441298583026</v>
      </c>
      <c r="D15" s="37">
        <v>3.06</v>
      </c>
      <c r="E15" s="37"/>
      <c r="F15" s="37">
        <v>3.2949999999999999</v>
      </c>
      <c r="G15" s="37"/>
      <c r="H15" s="37" t="s">
        <v>39</v>
      </c>
      <c r="I15" s="37">
        <v>0.50539999999999996</v>
      </c>
      <c r="J15" s="37" t="s">
        <v>39</v>
      </c>
      <c r="K15" s="37" t="s">
        <v>39</v>
      </c>
      <c r="L15" s="37" t="s">
        <v>39</v>
      </c>
      <c r="M15" s="37">
        <v>24.9</v>
      </c>
      <c r="N15" s="37">
        <v>5.48</v>
      </c>
      <c r="O15" s="37"/>
      <c r="P15" s="37">
        <v>2.64</v>
      </c>
      <c r="Q15" s="37">
        <v>2.9240289855072463</v>
      </c>
      <c r="R15" s="37"/>
      <c r="S15" s="37"/>
      <c r="T15" s="37" t="s">
        <v>39</v>
      </c>
      <c r="U15" s="37" t="s">
        <v>39</v>
      </c>
      <c r="V15" s="37">
        <v>0.26400000000000001</v>
      </c>
      <c r="W15" s="37">
        <v>0.13049994174109741</v>
      </c>
      <c r="X15" s="37">
        <v>32.93333333333333</v>
      </c>
      <c r="Y15" s="37"/>
      <c r="Z15" s="37" t="s">
        <v>39</v>
      </c>
      <c r="AA15" s="37"/>
      <c r="AB15" s="37">
        <v>6.59</v>
      </c>
      <c r="AC15" s="37">
        <v>4.7341538461538457</v>
      </c>
      <c r="AD15" s="37">
        <v>0.66359999999999997</v>
      </c>
      <c r="AE15" s="37">
        <v>6.1055555555555557E-2</v>
      </c>
      <c r="AF15" s="37" t="s">
        <v>39</v>
      </c>
      <c r="AG15" s="37" t="s">
        <v>39</v>
      </c>
      <c r="AH15" s="37">
        <v>1.9770000000000001</v>
      </c>
      <c r="AI15" s="37">
        <v>3.5146666666666668</v>
      </c>
      <c r="AJ15" s="37">
        <v>6.6000000000000003E-2</v>
      </c>
      <c r="AK15" s="37">
        <v>1.5333333333333334</v>
      </c>
      <c r="AL15" s="37">
        <v>142.85499999999999</v>
      </c>
      <c r="AM15" s="37"/>
      <c r="AN15" s="37"/>
      <c r="AO15" s="37">
        <v>137.375</v>
      </c>
      <c r="AP15" s="37">
        <v>1.2050000000000001</v>
      </c>
      <c r="AQ15" s="37"/>
      <c r="AR15" s="37">
        <v>2.2000000000000002</v>
      </c>
      <c r="AS15" s="37">
        <v>1.1000000000000001</v>
      </c>
      <c r="AT15" s="37">
        <v>1.2672000000000001</v>
      </c>
      <c r="AU15" s="37">
        <v>0.8448</v>
      </c>
      <c r="AV15" s="37" t="s">
        <v>39</v>
      </c>
      <c r="AW15" s="37">
        <v>3.7296380090497738</v>
      </c>
      <c r="AX15" s="37">
        <v>6.2175716440422324</v>
      </c>
      <c r="AY15" s="37">
        <v>3.4615384615384617</v>
      </c>
      <c r="AZ15" s="37">
        <v>6.2160633484162888</v>
      </c>
      <c r="BA15" s="37"/>
      <c r="BB15" s="37">
        <v>2.198</v>
      </c>
      <c r="BC15" s="37">
        <v>1.9533333333333334</v>
      </c>
      <c r="BD15" s="37"/>
      <c r="BE15" s="37" t="s">
        <v>39</v>
      </c>
      <c r="BF15" s="37" t="s">
        <v>39</v>
      </c>
      <c r="BG15" s="37" t="s">
        <v>39</v>
      </c>
      <c r="BH15" s="37"/>
      <c r="BI15" s="37"/>
      <c r="BJ15" s="37"/>
      <c r="BK15" s="37"/>
      <c r="BL15" s="37"/>
      <c r="BM15" s="37"/>
      <c r="BN15" s="37"/>
      <c r="BO15" s="37"/>
      <c r="BP15" s="37"/>
      <c r="BQ15" s="37"/>
      <c r="BR15" s="37"/>
      <c r="BS15" s="37"/>
      <c r="BT15" s="37"/>
      <c r="BU15" s="37"/>
      <c r="BV15" s="37"/>
      <c r="BW15" s="37"/>
      <c r="BX15" s="37"/>
      <c r="BY15" s="37"/>
      <c r="BZ15" s="37"/>
      <c r="CA15" s="37"/>
      <c r="CB15" s="37"/>
      <c r="CC15" s="37"/>
    </row>
    <row r="16" spans="1:106" x14ac:dyDescent="0.2">
      <c r="A16" s="36" t="s">
        <v>248</v>
      </c>
      <c r="B16" s="43"/>
      <c r="C16" s="37">
        <v>7.3728658291591884</v>
      </c>
      <c r="D16" s="37"/>
      <c r="E16" s="37">
        <v>3.1120000000000001</v>
      </c>
      <c r="F16" s="37"/>
      <c r="G16" s="37"/>
      <c r="H16" s="37"/>
      <c r="I16" s="37">
        <v>0.66666666666666663</v>
      </c>
      <c r="J16" s="37"/>
      <c r="K16" s="37"/>
      <c r="L16" s="37"/>
      <c r="M16" s="37"/>
      <c r="N16" s="37">
        <v>3.3333333333333335</v>
      </c>
      <c r="O16" s="37"/>
      <c r="P16" s="37">
        <v>3.1111</v>
      </c>
      <c r="Q16" s="37">
        <v>4.833649717514124</v>
      </c>
      <c r="R16" s="37"/>
      <c r="S16" s="37">
        <v>2.4882758620689653</v>
      </c>
      <c r="T16" s="37"/>
      <c r="U16" s="37"/>
      <c r="V16" s="37"/>
      <c r="W16" s="37">
        <v>0.79987464291310573</v>
      </c>
      <c r="X16" s="37">
        <v>30.55</v>
      </c>
      <c r="Y16" s="37"/>
      <c r="Z16" s="37"/>
      <c r="AA16" s="37"/>
      <c r="AB16" s="37">
        <v>3.8310344827586209</v>
      </c>
      <c r="AC16" s="37">
        <v>5.1692307692307686</v>
      </c>
      <c r="AD16" s="37">
        <v>0.66649999999999998</v>
      </c>
      <c r="AE16" s="37">
        <v>6.172222222222222E-2</v>
      </c>
      <c r="AF16" s="37"/>
      <c r="AG16" s="37"/>
      <c r="AH16" s="37"/>
      <c r="AI16" s="37">
        <v>3.778</v>
      </c>
      <c r="AJ16" s="37"/>
      <c r="AK16" s="37"/>
      <c r="AL16" s="37"/>
      <c r="AM16" s="37"/>
      <c r="AN16" s="37"/>
      <c r="AO16" s="37"/>
      <c r="AP16" s="37"/>
      <c r="AQ16" s="37"/>
      <c r="AR16" s="37"/>
      <c r="AS16" s="37"/>
      <c r="AT16" s="37">
        <v>1.28</v>
      </c>
      <c r="AU16" s="37">
        <v>0.78221714285714283</v>
      </c>
      <c r="AV16" s="37">
        <v>5.0277149321266972</v>
      </c>
      <c r="AW16" s="37"/>
      <c r="AX16" s="37"/>
      <c r="AY16" s="37"/>
      <c r="AZ16" s="37"/>
      <c r="BA16" s="37"/>
      <c r="BB16" s="37">
        <v>2.2225000000000001</v>
      </c>
      <c r="BC16" s="37">
        <v>3.3333333333333335</v>
      </c>
      <c r="BD16" s="37"/>
      <c r="BE16" s="37">
        <v>5.5182557280118258</v>
      </c>
      <c r="BF16" s="37"/>
      <c r="BG16" s="37"/>
      <c r="BH16" s="37"/>
      <c r="BI16" s="37"/>
      <c r="BJ16" s="37"/>
      <c r="BK16" s="37"/>
      <c r="BL16" s="37"/>
      <c r="BM16" s="37"/>
      <c r="BN16" s="37"/>
      <c r="BO16" s="37"/>
      <c r="BP16" s="37"/>
      <c r="BQ16" s="37"/>
      <c r="BR16" s="37"/>
      <c r="BS16" s="37"/>
      <c r="BT16" s="37"/>
      <c r="BU16" s="37"/>
      <c r="BV16" s="37"/>
      <c r="BW16" s="37"/>
      <c r="BX16" s="37"/>
      <c r="BY16" s="37"/>
      <c r="BZ16" s="37"/>
      <c r="CA16" s="37"/>
      <c r="CB16" s="37"/>
      <c r="CC16" s="37"/>
    </row>
    <row r="17" spans="1:81" x14ac:dyDescent="0.2">
      <c r="A17" s="36" t="s">
        <v>249</v>
      </c>
      <c r="B17" s="43"/>
      <c r="C17" s="37">
        <v>8.3340744113786727</v>
      </c>
      <c r="D17" s="37"/>
      <c r="E17" s="37"/>
      <c r="F17" s="37"/>
      <c r="G17" s="37">
        <v>1.8520000000000001</v>
      </c>
      <c r="H17" s="37"/>
      <c r="I17" s="37">
        <v>0.59270270270270276</v>
      </c>
      <c r="J17" s="37"/>
      <c r="K17" s="37"/>
      <c r="L17" s="37"/>
      <c r="M17" s="37"/>
      <c r="N17" s="37"/>
      <c r="O17" s="37">
        <v>1.85</v>
      </c>
      <c r="P17" s="37">
        <v>2.3148235294117647</v>
      </c>
      <c r="Q17" s="37">
        <v>3.3950646766169155</v>
      </c>
      <c r="R17" s="37">
        <v>9.26</v>
      </c>
      <c r="S17" s="37"/>
      <c r="T17" s="37"/>
      <c r="U17" s="37"/>
      <c r="V17" s="37"/>
      <c r="W17" s="37">
        <v>0.83799962589302401</v>
      </c>
      <c r="X17" s="37">
        <v>48.3</v>
      </c>
      <c r="Y17" s="37"/>
      <c r="Z17" s="37">
        <v>18.52</v>
      </c>
      <c r="AA17" s="37"/>
      <c r="AB17" s="37">
        <v>9.2608695652173907</v>
      </c>
      <c r="AC17" s="37">
        <v>7.9771834319526622</v>
      </c>
      <c r="AD17" s="37">
        <v>0.64800000000000002</v>
      </c>
      <c r="AE17" s="37">
        <v>6.1740740740740742E-2</v>
      </c>
      <c r="AF17" s="37"/>
      <c r="AG17" s="37"/>
      <c r="AH17" s="37"/>
      <c r="AI17" s="37">
        <v>2.7777777777777777</v>
      </c>
      <c r="AJ17" s="37"/>
      <c r="AK17" s="37"/>
      <c r="AL17" s="37"/>
      <c r="AM17" s="37">
        <v>8.5726636999364274</v>
      </c>
      <c r="AN17" s="37"/>
      <c r="AO17" s="37"/>
      <c r="AP17" s="37"/>
      <c r="AQ17" s="37">
        <v>1.2963333333333333</v>
      </c>
      <c r="AR17" s="37"/>
      <c r="AS17" s="37"/>
      <c r="AT17" s="37">
        <v>0.96295454545454551</v>
      </c>
      <c r="AU17" s="37">
        <v>0.83333333333333337</v>
      </c>
      <c r="AV17" s="37">
        <v>3.7707390648567118</v>
      </c>
      <c r="AW17" s="37"/>
      <c r="AX17" s="37"/>
      <c r="AY17" s="37"/>
      <c r="AZ17" s="37"/>
      <c r="BA17" s="37"/>
      <c r="BB17" s="37">
        <v>2.1608333333333332</v>
      </c>
      <c r="BC17" s="37">
        <v>2.2233333333333332</v>
      </c>
      <c r="BD17" s="37"/>
      <c r="BE17" s="37">
        <v>3.1619512195121953</v>
      </c>
      <c r="BF17" s="37"/>
      <c r="BG17" s="37"/>
      <c r="BI17" s="37"/>
      <c r="BJ17" s="37"/>
      <c r="BK17" s="37"/>
      <c r="BL17" s="37"/>
      <c r="BM17" s="37"/>
      <c r="BN17" s="37"/>
      <c r="BO17" s="37"/>
      <c r="BP17" s="37"/>
      <c r="BQ17" s="37"/>
      <c r="BR17" s="37"/>
      <c r="BS17" s="37"/>
      <c r="BT17" s="37"/>
      <c r="BU17" s="37"/>
      <c r="BV17" s="37"/>
      <c r="BW17" s="37"/>
      <c r="BX17" s="37"/>
      <c r="BY17" s="37"/>
      <c r="BZ17" s="37"/>
      <c r="CA17" s="37"/>
      <c r="CB17" s="37"/>
      <c r="CC17" s="37"/>
    </row>
    <row r="18" spans="1:81" x14ac:dyDescent="0.2">
      <c r="A18" s="36" t="s">
        <v>250</v>
      </c>
      <c r="B18" s="43"/>
      <c r="C18" s="37">
        <v>8.8260788042750367</v>
      </c>
      <c r="D18" s="37"/>
      <c r="E18" s="37"/>
      <c r="F18" s="37"/>
      <c r="G18" s="37">
        <v>2.94</v>
      </c>
      <c r="H18" s="37"/>
      <c r="I18" s="37">
        <v>0.53933333333333333</v>
      </c>
      <c r="J18" s="37"/>
      <c r="K18" s="37"/>
      <c r="L18" s="37"/>
      <c r="M18" s="37"/>
      <c r="N18" s="37"/>
      <c r="O18" s="37">
        <v>1.96</v>
      </c>
      <c r="P18" s="37">
        <v>2.9411999999999998</v>
      </c>
      <c r="Q18" s="37">
        <v>3.2679809523809524</v>
      </c>
      <c r="R18" s="37">
        <v>9.8000000000000007</v>
      </c>
      <c r="S18" s="37"/>
      <c r="T18" s="37"/>
      <c r="U18" s="37"/>
      <c r="V18" s="37"/>
      <c r="W18" s="37">
        <v>0.88199960625017571</v>
      </c>
      <c r="X18" s="37">
        <v>39.200000000000003</v>
      </c>
      <c r="Y18" s="37"/>
      <c r="Z18" s="37">
        <v>19.600000000000001</v>
      </c>
      <c r="AA18" s="37"/>
      <c r="AB18" s="37">
        <v>5.8849999999999998</v>
      </c>
      <c r="AC18" s="37">
        <v>8.4459487179487169</v>
      </c>
      <c r="AD18" s="37">
        <v>0.70599999999999996</v>
      </c>
      <c r="AE18" s="37">
        <v>6.0999999999999999E-2</v>
      </c>
      <c r="AF18" s="37"/>
      <c r="AG18" s="37"/>
      <c r="AH18" s="37"/>
      <c r="AI18" s="37">
        <v>3.53</v>
      </c>
      <c r="AJ18" s="37"/>
      <c r="AK18" s="37"/>
      <c r="AL18" s="37"/>
      <c r="AM18" s="37">
        <v>11.2</v>
      </c>
      <c r="AN18" s="37"/>
      <c r="AO18" s="37"/>
      <c r="AP18" s="37"/>
      <c r="AQ18" s="37">
        <v>1.9607843137254901</v>
      </c>
      <c r="AR18" s="37"/>
      <c r="AS18" s="37"/>
      <c r="AT18" s="37">
        <v>0.98038888888888887</v>
      </c>
      <c r="AU18" s="37">
        <v>0.62746666666666662</v>
      </c>
      <c r="AV18" s="37">
        <v>3.7707390648567118</v>
      </c>
      <c r="AW18" s="37"/>
      <c r="AX18" s="37"/>
      <c r="AY18" s="37"/>
      <c r="AZ18" s="37"/>
      <c r="BA18" s="37"/>
      <c r="BB18" s="37">
        <v>2.6138888888888889</v>
      </c>
      <c r="BC18" s="37">
        <v>3.922857142857143</v>
      </c>
      <c r="BD18" s="37"/>
      <c r="BE18" s="37">
        <v>3.4665365853658536</v>
      </c>
      <c r="BF18" s="37"/>
      <c r="BG18" s="37">
        <v>4.8365181235142805</v>
      </c>
      <c r="BH18" s="37"/>
      <c r="BI18" s="37"/>
      <c r="BJ18" s="37"/>
      <c r="BK18" s="37"/>
      <c r="BL18" s="37"/>
      <c r="BM18" s="37"/>
      <c r="BN18" s="37"/>
      <c r="BO18" s="37"/>
      <c r="BP18" s="37"/>
      <c r="BQ18" s="37"/>
      <c r="BR18" s="37"/>
      <c r="BS18" s="37"/>
      <c r="BT18" s="37"/>
      <c r="BU18" s="37"/>
      <c r="BV18" s="37"/>
      <c r="BW18" s="37"/>
      <c r="BX18" s="37"/>
      <c r="BY18" s="37"/>
      <c r="BZ18" s="37"/>
      <c r="CA18" s="37"/>
      <c r="CB18" s="37"/>
      <c r="CC18" s="37"/>
    </row>
    <row r="19" spans="1:81" x14ac:dyDescent="0.2">
      <c r="A19" s="36" t="s">
        <v>191</v>
      </c>
      <c r="B19" s="43"/>
      <c r="C19" s="37">
        <v>8.2027892482412206</v>
      </c>
      <c r="D19" s="37" t="s">
        <v>39</v>
      </c>
      <c r="E19" s="37"/>
      <c r="F19" s="37"/>
      <c r="G19" s="37">
        <v>3.5811872952497947</v>
      </c>
      <c r="H19" s="37" t="s">
        <v>39</v>
      </c>
      <c r="I19" s="37">
        <v>0.43335746460746455</v>
      </c>
      <c r="J19" s="37" t="s">
        <v>39</v>
      </c>
      <c r="K19" s="37" t="s">
        <v>39</v>
      </c>
      <c r="L19" s="37" t="s">
        <v>39</v>
      </c>
      <c r="M19" s="37" t="s">
        <v>39</v>
      </c>
      <c r="N19" s="37"/>
      <c r="O19" s="37">
        <v>1.9067381756756754</v>
      </c>
      <c r="P19" s="37">
        <v>3.0335022522522515</v>
      </c>
      <c r="Q19" s="37">
        <v>2.874732114927427</v>
      </c>
      <c r="R19" s="37">
        <v>5.2003053337428327</v>
      </c>
      <c r="S19" s="37"/>
      <c r="T19" s="37"/>
      <c r="U19" s="37" t="s">
        <v>39</v>
      </c>
      <c r="V19" s="37" t="s">
        <v>39</v>
      </c>
      <c r="W19" s="37">
        <v>0.91005026940323375</v>
      </c>
      <c r="X19" s="37">
        <v>34.668211961961958</v>
      </c>
      <c r="Y19" s="37"/>
      <c r="Z19" s="37">
        <v>30.577702702702698</v>
      </c>
      <c r="AA19" s="37"/>
      <c r="AB19" s="37">
        <v>5.1424739114114111</v>
      </c>
      <c r="AC19" s="37">
        <v>6.51832375361787</v>
      </c>
      <c r="AD19" s="37">
        <v>0.73887014358108105</v>
      </c>
      <c r="AE19" s="37">
        <v>5.7780353269936593E-2</v>
      </c>
      <c r="AF19" s="37" t="s">
        <v>39</v>
      </c>
      <c r="AG19" s="37" t="s">
        <v>39</v>
      </c>
      <c r="AH19" s="37" t="s">
        <v>39</v>
      </c>
      <c r="AI19" s="37">
        <v>3.4668597168597164</v>
      </c>
      <c r="AJ19" s="37" t="s">
        <v>39</v>
      </c>
      <c r="AK19" s="37" t="s">
        <v>39</v>
      </c>
      <c r="AL19" s="37"/>
      <c r="AM19" s="37">
        <v>17.334298584298583</v>
      </c>
      <c r="AN19" s="37"/>
      <c r="AO19" s="37" t="s">
        <v>39</v>
      </c>
      <c r="AP19" s="37"/>
      <c r="AQ19" s="37">
        <v>2.0801144967082466</v>
      </c>
      <c r="AR19" s="37" t="s">
        <v>39</v>
      </c>
      <c r="AS19" s="37" t="s">
        <v>39</v>
      </c>
      <c r="AT19" s="37">
        <v>0.88751485485485471</v>
      </c>
      <c r="AU19" s="37">
        <v>0.66152819486152814</v>
      </c>
      <c r="AV19" s="37">
        <v>3.5296091260590337</v>
      </c>
      <c r="AW19" s="37" t="s">
        <v>39</v>
      </c>
      <c r="AX19" s="37" t="s">
        <v>39</v>
      </c>
      <c r="AY19" s="37" t="s">
        <v>39</v>
      </c>
      <c r="AZ19" s="37" t="s">
        <v>39</v>
      </c>
      <c r="BA19" s="37"/>
      <c r="BB19" s="37">
        <v>2.6001563438438433</v>
      </c>
      <c r="BC19" s="37"/>
      <c r="BD19" s="37">
        <v>2.4434371367335075</v>
      </c>
      <c r="BE19" s="37">
        <v>3.0819872621780733</v>
      </c>
      <c r="BF19" s="37">
        <v>5.7006371125931885</v>
      </c>
      <c r="BG19" s="37"/>
      <c r="BH19" s="37"/>
      <c r="BI19" s="37"/>
      <c r="BJ19" s="37"/>
      <c r="BK19" s="37"/>
      <c r="BL19" s="37"/>
      <c r="BM19" s="37"/>
      <c r="BN19" s="37"/>
      <c r="BO19" s="37"/>
      <c r="BP19" s="37"/>
      <c r="BQ19" s="37"/>
      <c r="BR19" s="37"/>
      <c r="BS19" s="37"/>
      <c r="BT19" s="37"/>
      <c r="BU19" s="37"/>
      <c r="BV19" s="37"/>
      <c r="BW19" s="37"/>
      <c r="BX19" s="37"/>
      <c r="BY19" s="37"/>
      <c r="BZ19" s="37"/>
      <c r="CA19" s="37"/>
      <c r="CB19" s="37"/>
      <c r="CC19" s="37"/>
    </row>
    <row r="20" spans="1:81" x14ac:dyDescent="0.2">
      <c r="A20" s="36" t="s">
        <v>192</v>
      </c>
      <c r="C20" s="37">
        <v>9.5251074502307258</v>
      </c>
      <c r="D20" s="37" t="s">
        <v>39</v>
      </c>
      <c r="E20" s="37"/>
      <c r="F20" s="37"/>
      <c r="G20" s="37">
        <v>3.1059855667266816</v>
      </c>
      <c r="H20" s="37" t="s">
        <v>39</v>
      </c>
      <c r="I20" s="37">
        <v>0.44371222381809738</v>
      </c>
      <c r="J20" s="37" t="s">
        <v>39</v>
      </c>
      <c r="K20" s="37" t="s">
        <v>39</v>
      </c>
      <c r="L20" s="37" t="s">
        <v>39</v>
      </c>
      <c r="M20" s="37" t="s">
        <v>39</v>
      </c>
      <c r="N20" s="37"/>
      <c r="O20" s="37">
        <v>3.5496977905447791</v>
      </c>
      <c r="P20" s="37">
        <v>3.105985566726682</v>
      </c>
      <c r="Q20" s="37">
        <v>2.6894339093362376</v>
      </c>
      <c r="R20" s="37">
        <v>4.4371222381809732</v>
      </c>
      <c r="S20" s="37"/>
      <c r="T20" s="37"/>
      <c r="U20" s="37" t="s">
        <v>39</v>
      </c>
      <c r="V20" s="37" t="s">
        <v>39</v>
      </c>
      <c r="W20" s="37">
        <v>1.8635905080759605</v>
      </c>
      <c r="X20" s="37">
        <v>24.847884533813453</v>
      </c>
      <c r="Y20" s="37"/>
      <c r="Z20" s="37">
        <v>13.31136671454292</v>
      </c>
      <c r="AA20" s="37"/>
      <c r="AB20" s="37">
        <v>6.2119711334533632</v>
      </c>
      <c r="AC20" s="37">
        <v>5.7341272001107964</v>
      </c>
      <c r="AD20" s="37">
        <v>1.2423942266906727</v>
      </c>
      <c r="AE20" s="37">
        <v>5.2258207160176422E-2</v>
      </c>
      <c r="AF20" s="37" t="s">
        <v>39</v>
      </c>
      <c r="AG20" s="37" t="s">
        <v>39</v>
      </c>
      <c r="AH20" s="37" t="s">
        <v>39</v>
      </c>
      <c r="AI20" s="37">
        <v>3.5496977905447791</v>
      </c>
      <c r="AJ20" s="37" t="s">
        <v>39</v>
      </c>
      <c r="AK20" s="37" t="s">
        <v>39</v>
      </c>
      <c r="AL20" s="37"/>
      <c r="AM20" s="37">
        <v>18.635913400360089</v>
      </c>
      <c r="AN20" s="37"/>
      <c r="AO20" s="37" t="s">
        <v>39</v>
      </c>
      <c r="AP20" s="37"/>
      <c r="AQ20" s="37">
        <v>1.5179278410442423</v>
      </c>
      <c r="AR20" s="37" t="s">
        <v>39</v>
      </c>
      <c r="AS20" s="37" t="s">
        <v>39</v>
      </c>
      <c r="AT20" s="37">
        <v>1.022308230746509</v>
      </c>
      <c r="AU20" s="37">
        <v>0.88032505205510514</v>
      </c>
      <c r="AV20" s="37">
        <v>4.918981666761713</v>
      </c>
      <c r="AW20" s="37" t="s">
        <v>39</v>
      </c>
      <c r="AX20" s="37" t="s">
        <v>39</v>
      </c>
      <c r="AY20" s="37" t="s">
        <v>39</v>
      </c>
      <c r="AZ20" s="37" t="s">
        <v>39</v>
      </c>
      <c r="BA20" s="37"/>
      <c r="BB20" s="37">
        <v>2.0706570444844545</v>
      </c>
      <c r="BC20" s="37"/>
      <c r="BD20" s="37">
        <v>3.7271826800720178</v>
      </c>
      <c r="BE20" s="37">
        <v>2.4241838569574101</v>
      </c>
      <c r="BF20" s="37">
        <v>2.9184345586415041</v>
      </c>
      <c r="BG20" s="37"/>
      <c r="BH20" s="37"/>
      <c r="BI20" s="37"/>
      <c r="BJ20" s="37"/>
      <c r="BK20" s="37"/>
      <c r="BL20" s="37"/>
      <c r="BM20" s="37"/>
      <c r="BN20" s="37"/>
      <c r="BO20" s="37"/>
      <c r="BP20" s="37"/>
    </row>
    <row r="21" spans="1:81" x14ac:dyDescent="0.2">
      <c r="A21" s="36" t="s">
        <v>193</v>
      </c>
      <c r="C21" s="37" t="s">
        <v>39</v>
      </c>
      <c r="D21" s="37" t="s">
        <v>39</v>
      </c>
      <c r="E21" s="37"/>
      <c r="F21" s="37"/>
      <c r="G21" s="37">
        <v>4.3745108109201745</v>
      </c>
      <c r="H21" s="37" t="s">
        <v>39</v>
      </c>
      <c r="I21" s="37">
        <v>0.4436564722728269</v>
      </c>
      <c r="J21" s="37" t="s">
        <v>39</v>
      </c>
      <c r="K21" s="37" t="s">
        <v>39</v>
      </c>
      <c r="L21" s="37" t="s">
        <v>39</v>
      </c>
      <c r="M21" s="37" t="s">
        <v>39</v>
      </c>
      <c r="N21" s="37"/>
      <c r="O21" s="37">
        <v>3.8749864865833619</v>
      </c>
      <c r="P21" s="37">
        <v>3.9353281854265689</v>
      </c>
      <c r="Q21" s="37">
        <v>3.4980654306342784</v>
      </c>
      <c r="R21" s="37">
        <v>2.9655264395570997</v>
      </c>
      <c r="S21" s="37"/>
      <c r="T21" s="37"/>
      <c r="U21" s="37" t="s">
        <v>39</v>
      </c>
      <c r="V21" s="37" t="s">
        <v>39</v>
      </c>
      <c r="W21" s="37">
        <v>3.9356686308825513</v>
      </c>
      <c r="X21" s="37">
        <v>26.231148649304433</v>
      </c>
      <c r="Y21" s="37"/>
      <c r="Z21" s="37">
        <v>14.009768340118587</v>
      </c>
      <c r="AA21" s="37"/>
      <c r="AB21" s="37">
        <v>6.9951770272019074</v>
      </c>
      <c r="AC21" s="37">
        <v>6.0272655498632908</v>
      </c>
      <c r="AD21" s="37">
        <v>1.3116530828030619</v>
      </c>
      <c r="AE21" s="37">
        <v>5.4410413355891266E-2</v>
      </c>
      <c r="AF21" s="37" t="s">
        <v>39</v>
      </c>
      <c r="AG21" s="37" t="s">
        <v>39</v>
      </c>
      <c r="AH21" s="37" t="s">
        <v>39</v>
      </c>
      <c r="AI21" s="37">
        <v>3.8497347973935416</v>
      </c>
      <c r="AJ21" s="37" t="s">
        <v>39</v>
      </c>
      <c r="AK21" s="37" t="s">
        <v>39</v>
      </c>
      <c r="AL21" s="37"/>
      <c r="AM21" s="37" t="s">
        <v>39</v>
      </c>
      <c r="AN21" s="37"/>
      <c r="AO21" s="37" t="s">
        <v>39</v>
      </c>
      <c r="AP21" s="37">
        <v>2.623449641112884</v>
      </c>
      <c r="AQ21" s="37"/>
      <c r="AR21" s="37" t="s">
        <v>39</v>
      </c>
      <c r="AS21" s="37" t="s">
        <v>39</v>
      </c>
      <c r="AT21" s="37">
        <v>0.89550019461698227</v>
      </c>
      <c r="AU21" s="37">
        <v>1.119413333361319</v>
      </c>
      <c r="AV21" s="37">
        <v>4.9463256696846223</v>
      </c>
      <c r="AW21" s="37" t="s">
        <v>39</v>
      </c>
      <c r="AX21" s="37" t="s">
        <v>39</v>
      </c>
      <c r="AY21" s="37" t="s">
        <v>39</v>
      </c>
      <c r="AZ21" s="37" t="s">
        <v>39</v>
      </c>
      <c r="BA21" s="37"/>
      <c r="BB21" s="37">
        <v>2.3320463321046336</v>
      </c>
      <c r="BC21" s="37"/>
      <c r="BD21" s="37">
        <v>2.6904527027699645</v>
      </c>
      <c r="BE21" s="37">
        <v>2.9862688695538928</v>
      </c>
      <c r="BF21" s="37">
        <v>3.451239072690361</v>
      </c>
      <c r="BG21" s="37"/>
      <c r="BH21" s="37"/>
      <c r="BI21" s="37"/>
      <c r="BJ21" s="37"/>
      <c r="BK21" s="37"/>
      <c r="BL21" s="37"/>
      <c r="BM21" s="37"/>
      <c r="BN21" s="37"/>
      <c r="BO21" s="37"/>
      <c r="BP21" s="37"/>
    </row>
    <row r="22" spans="1:81" x14ac:dyDescent="0.2">
      <c r="A22" s="36" t="s">
        <v>40</v>
      </c>
      <c r="C22" s="37" t="s">
        <v>39</v>
      </c>
      <c r="D22" s="37" t="s">
        <v>39</v>
      </c>
      <c r="E22" s="37"/>
      <c r="F22" s="37"/>
      <c r="G22" s="37">
        <v>5.0203542051354502</v>
      </c>
      <c r="H22" s="37" t="s">
        <v>39</v>
      </c>
      <c r="I22" s="37">
        <v>0.60243548314184125</v>
      </c>
      <c r="J22" s="37" t="s">
        <v>39</v>
      </c>
      <c r="K22" s="37" t="s">
        <v>39</v>
      </c>
      <c r="L22" s="37" t="s">
        <v>39</v>
      </c>
      <c r="M22" s="37" t="s">
        <v>39</v>
      </c>
      <c r="N22" s="37"/>
      <c r="O22" s="37">
        <v>4.8681918331361631</v>
      </c>
      <c r="P22" s="37">
        <v>4.4872729142173471</v>
      </c>
      <c r="Q22" s="37">
        <v>3.3469028034236334</v>
      </c>
      <c r="R22" s="37">
        <v>6.3895417156269358</v>
      </c>
      <c r="S22" s="37"/>
      <c r="T22" s="37"/>
      <c r="U22" s="37" t="s">
        <v>39</v>
      </c>
      <c r="V22" s="37" t="s">
        <v>39</v>
      </c>
      <c r="W22" s="37">
        <v>3.4229398643803517</v>
      </c>
      <c r="X22" s="37">
        <v>36.409312573433112</v>
      </c>
      <c r="Y22" s="37"/>
      <c r="Z22" s="37">
        <v>27.383019976490797</v>
      </c>
      <c r="AA22" s="37"/>
      <c r="AB22" s="37">
        <v>8.2150674129484749</v>
      </c>
      <c r="AC22" s="37">
        <v>7.0776409653781727</v>
      </c>
      <c r="AD22" s="37">
        <v>1.0953378378375402</v>
      </c>
      <c r="AE22" s="37">
        <v>6.085235120702575E-2</v>
      </c>
      <c r="AF22" s="37" t="s">
        <v>39</v>
      </c>
      <c r="AG22" s="37" t="s">
        <v>39</v>
      </c>
      <c r="AH22" s="37" t="s">
        <v>39</v>
      </c>
      <c r="AI22" s="37">
        <v>4.563958368304954</v>
      </c>
      <c r="AJ22" s="37" t="s">
        <v>39</v>
      </c>
      <c r="AK22" s="37" t="s">
        <v>39</v>
      </c>
      <c r="AL22" s="37"/>
      <c r="AM22" s="37" t="s">
        <v>39</v>
      </c>
      <c r="AN22" s="37"/>
      <c r="AO22" s="37" t="s">
        <v>39</v>
      </c>
      <c r="AP22" s="37">
        <v>2.9209267172302713</v>
      </c>
      <c r="AQ22" s="37"/>
      <c r="AR22" s="37" t="s">
        <v>39</v>
      </c>
      <c r="AS22" s="37" t="s">
        <v>39</v>
      </c>
      <c r="AT22" s="37">
        <v>0.93469867382885463</v>
      </c>
      <c r="AU22" s="37">
        <v>0.81786133960024776</v>
      </c>
      <c r="AV22" s="37">
        <v>4.5327279179451692</v>
      </c>
      <c r="AW22" s="37" t="s">
        <v>39</v>
      </c>
      <c r="AX22" s="37" t="s">
        <v>39</v>
      </c>
      <c r="AY22" s="37" t="s">
        <v>39</v>
      </c>
      <c r="AZ22" s="37" t="s">
        <v>39</v>
      </c>
      <c r="BA22" s="37"/>
      <c r="BB22" s="37">
        <v>2.7383701527607132</v>
      </c>
      <c r="BC22" s="37"/>
      <c r="BD22" s="37">
        <v>3.0304318448875431</v>
      </c>
      <c r="BE22" s="37">
        <v>2.992165658765058</v>
      </c>
      <c r="BF22" s="37">
        <v>5.2532526589834889</v>
      </c>
      <c r="BG22" s="37"/>
      <c r="BH22" s="37"/>
      <c r="BI22" s="37"/>
      <c r="BJ22" s="37"/>
      <c r="BK22" s="37"/>
      <c r="BL22" s="37"/>
      <c r="BM22" s="37"/>
      <c r="BN22" s="37"/>
      <c r="BO22" s="37"/>
      <c r="BP22" s="37"/>
    </row>
    <row r="23" spans="1:81" x14ac:dyDescent="0.2">
      <c r="A23" s="36" t="s">
        <v>251</v>
      </c>
      <c r="C23" s="37"/>
      <c r="D23" s="37"/>
      <c r="E23" s="37"/>
      <c r="F23" s="37"/>
      <c r="G23" s="37">
        <v>4.7336</v>
      </c>
      <c r="H23" s="37"/>
      <c r="I23" s="37">
        <v>0.66662721893491128</v>
      </c>
      <c r="J23" s="37"/>
      <c r="K23" s="37"/>
      <c r="L23" s="37"/>
      <c r="M23" s="37"/>
      <c r="N23" s="37"/>
      <c r="O23" s="37">
        <v>5.6659340659340662</v>
      </c>
      <c r="P23" s="37">
        <v>4.7333333333333334</v>
      </c>
      <c r="Q23" s="37">
        <v>0.37875268817204299</v>
      </c>
      <c r="R23" s="37">
        <v>5.3331428571428567</v>
      </c>
      <c r="S23" s="37"/>
      <c r="T23" s="37"/>
      <c r="U23" s="37"/>
      <c r="V23" s="37"/>
      <c r="W23" s="37">
        <v>0.63995971430369891</v>
      </c>
      <c r="X23" s="37">
        <v>28.4</v>
      </c>
      <c r="Y23" s="37"/>
      <c r="Z23" s="37">
        <v>28.678571428571427</v>
      </c>
      <c r="AA23" s="37"/>
      <c r="AB23" s="37">
        <v>12.333164556962025</v>
      </c>
      <c r="AC23" s="37">
        <v>8.8935164624526308</v>
      </c>
      <c r="AD23" s="37">
        <v>1.3333333333333333</v>
      </c>
      <c r="AE23" s="37">
        <v>5.8534278959810872E-2</v>
      </c>
      <c r="AF23" s="37"/>
      <c r="AG23" s="37"/>
      <c r="AH23" s="37"/>
      <c r="AI23" s="37">
        <v>4.2014814814814816</v>
      </c>
      <c r="AJ23" s="37"/>
      <c r="AK23" s="37"/>
      <c r="AL23" s="37"/>
      <c r="AM23" s="37"/>
      <c r="AN23" s="37"/>
      <c r="AO23" s="37"/>
      <c r="AP23" s="37">
        <v>6.666666666666667</v>
      </c>
      <c r="AQ23" s="37"/>
      <c r="AR23" s="37"/>
      <c r="AS23" s="37"/>
      <c r="AT23" s="37">
        <v>0.66400000000000003</v>
      </c>
      <c r="AU23" s="37">
        <v>0.82133818181818186</v>
      </c>
      <c r="AV23" s="37">
        <v>5.3136847254494315</v>
      </c>
      <c r="AW23" s="37"/>
      <c r="AX23" s="37"/>
      <c r="AY23" s="37"/>
      <c r="AZ23" s="37"/>
      <c r="BA23" s="37"/>
      <c r="BB23" s="37">
        <v>2.8888888888888888</v>
      </c>
      <c r="BC23" s="37"/>
      <c r="BD23" s="37"/>
      <c r="BE23" s="37">
        <v>4.5528455284552845</v>
      </c>
      <c r="BF23" s="37">
        <v>6.2758536394195961</v>
      </c>
      <c r="BG23" s="37"/>
    </row>
    <row r="24" spans="1:81" x14ac:dyDescent="0.2">
      <c r="A24" s="11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</row>
  </sheetData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O27"/>
  <sheetViews>
    <sheetView zoomScaleNormal="100" workbookViewId="0">
      <pane xSplit="2" ySplit="7" topLeftCell="X8" activePane="bottomRight" state="frozen"/>
      <selection pane="topRight" activeCell="C1" sqref="C1"/>
      <selection pane="bottomLeft" activeCell="A8" sqref="A8"/>
      <selection pane="bottomRight" activeCell="Z26" sqref="Z26"/>
    </sheetView>
  </sheetViews>
  <sheetFormatPr defaultColWidth="9.6640625" defaultRowHeight="12" x14ac:dyDescent="0.2"/>
  <cols>
    <col min="1" max="1" width="6.44140625" style="23" customWidth="1"/>
    <col min="2" max="2" width="13.88671875" style="22" customWidth="1"/>
    <col min="3" max="3" width="11.88671875" style="22" customWidth="1"/>
    <col min="4" max="4" width="9.88671875" style="22" customWidth="1"/>
    <col min="5" max="5" width="11.77734375" style="22" customWidth="1"/>
    <col min="6" max="6" width="13.109375" style="22" customWidth="1"/>
    <col min="7" max="7" width="11.5546875" style="22" customWidth="1"/>
    <col min="8" max="8" width="10.6640625" style="22" customWidth="1"/>
    <col min="9" max="9" width="9.6640625" style="22"/>
    <col min="10" max="10" width="10.6640625" style="22" customWidth="1"/>
    <col min="11" max="11" width="9.88671875" style="22" customWidth="1"/>
    <col min="12" max="13" width="14.109375" style="22" customWidth="1"/>
    <col min="14" max="14" width="12.88671875" style="22" customWidth="1"/>
    <col min="15" max="16" width="9.6640625" style="22"/>
    <col min="17" max="17" width="18.77734375" style="22" customWidth="1"/>
    <col min="18" max="18" width="16.5546875" style="22" customWidth="1"/>
    <col min="19" max="19" width="15.21875" style="22" customWidth="1"/>
    <col min="20" max="21" width="9.6640625" style="22"/>
    <col min="22" max="22" width="13.21875" style="22" customWidth="1"/>
    <col min="23" max="23" width="18.6640625" style="22" customWidth="1"/>
    <col min="24" max="25" width="12.77734375" style="22" customWidth="1"/>
    <col min="26" max="26" width="11.109375" style="22" customWidth="1"/>
    <col min="27" max="27" width="12" style="22" customWidth="1"/>
    <col min="28" max="28" width="9.6640625" style="22"/>
    <col min="29" max="30" width="15.33203125" style="22" customWidth="1"/>
    <col min="31" max="31" width="15.21875" style="22" customWidth="1"/>
    <col min="32" max="32" width="21.44140625" style="22" customWidth="1"/>
    <col min="33" max="39" width="9.6640625" style="22"/>
    <col min="40" max="40" width="13.44140625" style="22" customWidth="1"/>
    <col min="41" max="41" width="12.77734375" style="22" bestFit="1" customWidth="1"/>
    <col min="42" max="42" width="12.77734375" style="22" customWidth="1"/>
    <col min="43" max="44" width="9.6640625" style="22"/>
    <col min="45" max="45" width="17.33203125" style="22" customWidth="1"/>
    <col min="46" max="46" width="13.21875" style="22" bestFit="1" customWidth="1"/>
    <col min="47" max="49" width="9.6640625" style="22"/>
    <col min="50" max="51" width="13.44140625" style="22" customWidth="1"/>
    <col min="52" max="52" width="9.6640625" style="22"/>
    <col min="53" max="53" width="13.88671875" style="22" customWidth="1"/>
    <col min="54" max="54" width="10.6640625" style="22" customWidth="1"/>
    <col min="55" max="55" width="17.33203125" style="22" customWidth="1"/>
    <col min="56" max="57" width="12.6640625" style="22" customWidth="1"/>
    <col min="58" max="58" width="11.21875" style="22" customWidth="1"/>
    <col min="59" max="59" width="18.33203125" style="22" customWidth="1"/>
    <col min="60" max="60" width="12.88671875" style="22" customWidth="1"/>
    <col min="61" max="62" width="13.21875" style="22" customWidth="1"/>
    <col min="63" max="63" width="10.88671875" style="22" customWidth="1"/>
    <col min="64" max="64" width="11.109375" style="22" customWidth="1"/>
    <col min="65" max="65" width="15.21875" style="22" customWidth="1"/>
    <col min="66" max="66" width="9.6640625" style="22"/>
    <col min="67" max="67" width="11" style="22" customWidth="1"/>
    <col min="68" max="68" width="10.77734375" style="22" customWidth="1"/>
    <col min="69" max="69" width="11.44140625" style="22" customWidth="1"/>
    <col min="70" max="70" width="4" style="22" customWidth="1"/>
    <col min="71" max="261" width="9.6640625" style="22"/>
    <col min="262" max="262" width="6.44140625" style="22" customWidth="1"/>
    <col min="263" max="263" width="13.88671875" style="22" customWidth="1"/>
    <col min="264" max="264" width="11.88671875" style="22" customWidth="1"/>
    <col min="265" max="267" width="9.6640625" style="22"/>
    <col min="268" max="268" width="15.44140625" style="22" customWidth="1"/>
    <col min="269" max="269" width="16.21875" style="22" customWidth="1"/>
    <col min="270" max="281" width="9.6640625" style="22"/>
    <col min="282" max="282" width="12" style="22" customWidth="1"/>
    <col min="283" max="283" width="12.77734375" style="22" customWidth="1"/>
    <col min="284" max="284" width="11.109375" style="22" customWidth="1"/>
    <col min="285" max="285" width="12" style="22" customWidth="1"/>
    <col min="286" max="286" width="9.6640625" style="22"/>
    <col min="287" max="287" width="15.33203125" style="22" customWidth="1"/>
    <col min="288" max="288" width="15.21875" style="22" customWidth="1"/>
    <col min="289" max="289" width="21.44140625" style="22" customWidth="1"/>
    <col min="290" max="305" width="9.6640625" style="22"/>
    <col min="306" max="307" width="13.44140625" style="22" customWidth="1"/>
    <col min="308" max="308" width="9.6640625" style="22"/>
    <col min="309" max="309" width="13.88671875" style="22" customWidth="1"/>
    <col min="310" max="310" width="10.6640625" style="22" customWidth="1"/>
    <col min="311" max="311" width="17.33203125" style="22" customWidth="1"/>
    <col min="312" max="313" width="12.6640625" style="22" customWidth="1"/>
    <col min="314" max="314" width="11.21875" style="22" customWidth="1"/>
    <col min="315" max="315" width="18.33203125" style="22" customWidth="1"/>
    <col min="316" max="316" width="12.88671875" style="22" customWidth="1"/>
    <col min="317" max="318" width="13.21875" style="22" customWidth="1"/>
    <col min="319" max="319" width="10.88671875" style="22" customWidth="1"/>
    <col min="320" max="320" width="11.109375" style="22" customWidth="1"/>
    <col min="321" max="321" width="15.21875" style="22" customWidth="1"/>
    <col min="322" max="322" width="9.6640625" style="22"/>
    <col min="323" max="323" width="11" style="22" customWidth="1"/>
    <col min="324" max="324" width="10.77734375" style="22" customWidth="1"/>
    <col min="325" max="325" width="11.44140625" style="22" customWidth="1"/>
    <col min="326" max="326" width="4" style="22" customWidth="1"/>
    <col min="327" max="517" width="9.6640625" style="22"/>
    <col min="518" max="518" width="6.44140625" style="22" customWidth="1"/>
    <col min="519" max="519" width="13.88671875" style="22" customWidth="1"/>
    <col min="520" max="520" width="11.88671875" style="22" customWidth="1"/>
    <col min="521" max="523" width="9.6640625" style="22"/>
    <col min="524" max="524" width="15.44140625" style="22" customWidth="1"/>
    <col min="525" max="525" width="16.21875" style="22" customWidth="1"/>
    <col min="526" max="537" width="9.6640625" style="22"/>
    <col min="538" max="538" width="12" style="22" customWidth="1"/>
    <col min="539" max="539" width="12.77734375" style="22" customWidth="1"/>
    <col min="540" max="540" width="11.109375" style="22" customWidth="1"/>
    <col min="541" max="541" width="12" style="22" customWidth="1"/>
    <col min="542" max="542" width="9.6640625" style="22"/>
    <col min="543" max="543" width="15.33203125" style="22" customWidth="1"/>
    <col min="544" max="544" width="15.21875" style="22" customWidth="1"/>
    <col min="545" max="545" width="21.44140625" style="22" customWidth="1"/>
    <col min="546" max="561" width="9.6640625" style="22"/>
    <col min="562" max="563" width="13.44140625" style="22" customWidth="1"/>
    <col min="564" max="564" width="9.6640625" style="22"/>
    <col min="565" max="565" width="13.88671875" style="22" customWidth="1"/>
    <col min="566" max="566" width="10.6640625" style="22" customWidth="1"/>
    <col min="567" max="567" width="17.33203125" style="22" customWidth="1"/>
    <col min="568" max="569" width="12.6640625" style="22" customWidth="1"/>
    <col min="570" max="570" width="11.21875" style="22" customWidth="1"/>
    <col min="571" max="571" width="18.33203125" style="22" customWidth="1"/>
    <col min="572" max="572" width="12.88671875" style="22" customWidth="1"/>
    <col min="573" max="574" width="13.21875" style="22" customWidth="1"/>
    <col min="575" max="575" width="10.88671875" style="22" customWidth="1"/>
    <col min="576" max="576" width="11.109375" style="22" customWidth="1"/>
    <col min="577" max="577" width="15.21875" style="22" customWidth="1"/>
    <col min="578" max="578" width="9.6640625" style="22"/>
    <col min="579" max="579" width="11" style="22" customWidth="1"/>
    <col min="580" max="580" width="10.77734375" style="22" customWidth="1"/>
    <col min="581" max="581" width="11.44140625" style="22" customWidth="1"/>
    <col min="582" max="582" width="4" style="22" customWidth="1"/>
    <col min="583" max="773" width="9.6640625" style="22"/>
    <col min="774" max="774" width="6.44140625" style="22" customWidth="1"/>
    <col min="775" max="775" width="13.88671875" style="22" customWidth="1"/>
    <col min="776" max="776" width="11.88671875" style="22" customWidth="1"/>
    <col min="777" max="779" width="9.6640625" style="22"/>
    <col min="780" max="780" width="15.44140625" style="22" customWidth="1"/>
    <col min="781" max="781" width="16.21875" style="22" customWidth="1"/>
    <col min="782" max="793" width="9.6640625" style="22"/>
    <col min="794" max="794" width="12" style="22" customWidth="1"/>
    <col min="795" max="795" width="12.77734375" style="22" customWidth="1"/>
    <col min="796" max="796" width="11.109375" style="22" customWidth="1"/>
    <col min="797" max="797" width="12" style="22" customWidth="1"/>
    <col min="798" max="798" width="9.6640625" style="22"/>
    <col min="799" max="799" width="15.33203125" style="22" customWidth="1"/>
    <col min="800" max="800" width="15.21875" style="22" customWidth="1"/>
    <col min="801" max="801" width="21.44140625" style="22" customWidth="1"/>
    <col min="802" max="817" width="9.6640625" style="22"/>
    <col min="818" max="819" width="13.44140625" style="22" customWidth="1"/>
    <col min="820" max="820" width="9.6640625" style="22"/>
    <col min="821" max="821" width="13.88671875" style="22" customWidth="1"/>
    <col min="822" max="822" width="10.6640625" style="22" customWidth="1"/>
    <col min="823" max="823" width="17.33203125" style="22" customWidth="1"/>
    <col min="824" max="825" width="12.6640625" style="22" customWidth="1"/>
    <col min="826" max="826" width="11.21875" style="22" customWidth="1"/>
    <col min="827" max="827" width="18.33203125" style="22" customWidth="1"/>
    <col min="828" max="828" width="12.88671875" style="22" customWidth="1"/>
    <col min="829" max="830" width="13.21875" style="22" customWidth="1"/>
    <col min="831" max="831" width="10.88671875" style="22" customWidth="1"/>
    <col min="832" max="832" width="11.109375" style="22" customWidth="1"/>
    <col min="833" max="833" width="15.21875" style="22" customWidth="1"/>
    <col min="834" max="834" width="9.6640625" style="22"/>
    <col min="835" max="835" width="11" style="22" customWidth="1"/>
    <col min="836" max="836" width="10.77734375" style="22" customWidth="1"/>
    <col min="837" max="837" width="11.44140625" style="22" customWidth="1"/>
    <col min="838" max="838" width="4" style="22" customWidth="1"/>
    <col min="839" max="1029" width="9.6640625" style="22"/>
    <col min="1030" max="1030" width="6.44140625" style="22" customWidth="1"/>
    <col min="1031" max="1031" width="13.88671875" style="22" customWidth="1"/>
    <col min="1032" max="1032" width="11.88671875" style="22" customWidth="1"/>
    <col min="1033" max="1035" width="9.6640625" style="22"/>
    <col min="1036" max="1036" width="15.44140625" style="22" customWidth="1"/>
    <col min="1037" max="1037" width="16.21875" style="22" customWidth="1"/>
    <col min="1038" max="1049" width="9.6640625" style="22"/>
    <col min="1050" max="1050" width="12" style="22" customWidth="1"/>
    <col min="1051" max="1051" width="12.77734375" style="22" customWidth="1"/>
    <col min="1052" max="1052" width="11.109375" style="22" customWidth="1"/>
    <col min="1053" max="1053" width="12" style="22" customWidth="1"/>
    <col min="1054" max="1054" width="9.6640625" style="22"/>
    <col min="1055" max="1055" width="15.33203125" style="22" customWidth="1"/>
    <col min="1056" max="1056" width="15.21875" style="22" customWidth="1"/>
    <col min="1057" max="1057" width="21.44140625" style="22" customWidth="1"/>
    <col min="1058" max="1073" width="9.6640625" style="22"/>
    <col min="1074" max="1075" width="13.44140625" style="22" customWidth="1"/>
    <col min="1076" max="1076" width="9.6640625" style="22"/>
    <col min="1077" max="1077" width="13.88671875" style="22" customWidth="1"/>
    <col min="1078" max="1078" width="10.6640625" style="22" customWidth="1"/>
    <col min="1079" max="1079" width="17.33203125" style="22" customWidth="1"/>
    <col min="1080" max="1081" width="12.6640625" style="22" customWidth="1"/>
    <col min="1082" max="1082" width="11.21875" style="22" customWidth="1"/>
    <col min="1083" max="1083" width="18.33203125" style="22" customWidth="1"/>
    <col min="1084" max="1084" width="12.88671875" style="22" customWidth="1"/>
    <col min="1085" max="1086" width="13.21875" style="22" customWidth="1"/>
    <col min="1087" max="1087" width="10.88671875" style="22" customWidth="1"/>
    <col min="1088" max="1088" width="11.109375" style="22" customWidth="1"/>
    <col min="1089" max="1089" width="15.21875" style="22" customWidth="1"/>
    <col min="1090" max="1090" width="9.6640625" style="22"/>
    <col min="1091" max="1091" width="11" style="22" customWidth="1"/>
    <col min="1092" max="1092" width="10.77734375" style="22" customWidth="1"/>
    <col min="1093" max="1093" width="11.44140625" style="22" customWidth="1"/>
    <col min="1094" max="1094" width="4" style="22" customWidth="1"/>
    <col min="1095" max="1285" width="9.6640625" style="22"/>
    <col min="1286" max="1286" width="6.44140625" style="22" customWidth="1"/>
    <col min="1287" max="1287" width="13.88671875" style="22" customWidth="1"/>
    <col min="1288" max="1288" width="11.88671875" style="22" customWidth="1"/>
    <col min="1289" max="1291" width="9.6640625" style="22"/>
    <col min="1292" max="1292" width="15.44140625" style="22" customWidth="1"/>
    <col min="1293" max="1293" width="16.21875" style="22" customWidth="1"/>
    <col min="1294" max="1305" width="9.6640625" style="22"/>
    <col min="1306" max="1306" width="12" style="22" customWidth="1"/>
    <col min="1307" max="1307" width="12.77734375" style="22" customWidth="1"/>
    <col min="1308" max="1308" width="11.109375" style="22" customWidth="1"/>
    <col min="1309" max="1309" width="12" style="22" customWidth="1"/>
    <col min="1310" max="1310" width="9.6640625" style="22"/>
    <col min="1311" max="1311" width="15.33203125" style="22" customWidth="1"/>
    <col min="1312" max="1312" width="15.21875" style="22" customWidth="1"/>
    <col min="1313" max="1313" width="21.44140625" style="22" customWidth="1"/>
    <col min="1314" max="1329" width="9.6640625" style="22"/>
    <col min="1330" max="1331" width="13.44140625" style="22" customWidth="1"/>
    <col min="1332" max="1332" width="9.6640625" style="22"/>
    <col min="1333" max="1333" width="13.88671875" style="22" customWidth="1"/>
    <col min="1334" max="1334" width="10.6640625" style="22" customWidth="1"/>
    <col min="1335" max="1335" width="17.33203125" style="22" customWidth="1"/>
    <col min="1336" max="1337" width="12.6640625" style="22" customWidth="1"/>
    <col min="1338" max="1338" width="11.21875" style="22" customWidth="1"/>
    <col min="1339" max="1339" width="18.33203125" style="22" customWidth="1"/>
    <col min="1340" max="1340" width="12.88671875" style="22" customWidth="1"/>
    <col min="1341" max="1342" width="13.21875" style="22" customWidth="1"/>
    <col min="1343" max="1343" width="10.88671875" style="22" customWidth="1"/>
    <col min="1344" max="1344" width="11.109375" style="22" customWidth="1"/>
    <col min="1345" max="1345" width="15.21875" style="22" customWidth="1"/>
    <col min="1346" max="1346" width="9.6640625" style="22"/>
    <col min="1347" max="1347" width="11" style="22" customWidth="1"/>
    <col min="1348" max="1348" width="10.77734375" style="22" customWidth="1"/>
    <col min="1349" max="1349" width="11.44140625" style="22" customWidth="1"/>
    <col min="1350" max="1350" width="4" style="22" customWidth="1"/>
    <col min="1351" max="1541" width="9.6640625" style="22"/>
    <col min="1542" max="1542" width="6.44140625" style="22" customWidth="1"/>
    <col min="1543" max="1543" width="13.88671875" style="22" customWidth="1"/>
    <col min="1544" max="1544" width="11.88671875" style="22" customWidth="1"/>
    <col min="1545" max="1547" width="9.6640625" style="22"/>
    <col min="1548" max="1548" width="15.44140625" style="22" customWidth="1"/>
    <col min="1549" max="1549" width="16.21875" style="22" customWidth="1"/>
    <col min="1550" max="1561" width="9.6640625" style="22"/>
    <col min="1562" max="1562" width="12" style="22" customWidth="1"/>
    <col min="1563" max="1563" width="12.77734375" style="22" customWidth="1"/>
    <col min="1564" max="1564" width="11.109375" style="22" customWidth="1"/>
    <col min="1565" max="1565" width="12" style="22" customWidth="1"/>
    <col min="1566" max="1566" width="9.6640625" style="22"/>
    <col min="1567" max="1567" width="15.33203125" style="22" customWidth="1"/>
    <col min="1568" max="1568" width="15.21875" style="22" customWidth="1"/>
    <col min="1569" max="1569" width="21.44140625" style="22" customWidth="1"/>
    <col min="1570" max="1585" width="9.6640625" style="22"/>
    <col min="1586" max="1587" width="13.44140625" style="22" customWidth="1"/>
    <col min="1588" max="1588" width="9.6640625" style="22"/>
    <col min="1589" max="1589" width="13.88671875" style="22" customWidth="1"/>
    <col min="1590" max="1590" width="10.6640625" style="22" customWidth="1"/>
    <col min="1591" max="1591" width="17.33203125" style="22" customWidth="1"/>
    <col min="1592" max="1593" width="12.6640625" style="22" customWidth="1"/>
    <col min="1594" max="1594" width="11.21875" style="22" customWidth="1"/>
    <col min="1595" max="1595" width="18.33203125" style="22" customWidth="1"/>
    <col min="1596" max="1596" width="12.88671875" style="22" customWidth="1"/>
    <col min="1597" max="1598" width="13.21875" style="22" customWidth="1"/>
    <col min="1599" max="1599" width="10.88671875" style="22" customWidth="1"/>
    <col min="1600" max="1600" width="11.109375" style="22" customWidth="1"/>
    <col min="1601" max="1601" width="15.21875" style="22" customWidth="1"/>
    <col min="1602" max="1602" width="9.6640625" style="22"/>
    <col min="1603" max="1603" width="11" style="22" customWidth="1"/>
    <col min="1604" max="1604" width="10.77734375" style="22" customWidth="1"/>
    <col min="1605" max="1605" width="11.44140625" style="22" customWidth="1"/>
    <col min="1606" max="1606" width="4" style="22" customWidth="1"/>
    <col min="1607" max="1797" width="9.6640625" style="22"/>
    <col min="1798" max="1798" width="6.44140625" style="22" customWidth="1"/>
    <col min="1799" max="1799" width="13.88671875" style="22" customWidth="1"/>
    <col min="1800" max="1800" width="11.88671875" style="22" customWidth="1"/>
    <col min="1801" max="1803" width="9.6640625" style="22"/>
    <col min="1804" max="1804" width="15.44140625" style="22" customWidth="1"/>
    <col min="1805" max="1805" width="16.21875" style="22" customWidth="1"/>
    <col min="1806" max="1817" width="9.6640625" style="22"/>
    <col min="1818" max="1818" width="12" style="22" customWidth="1"/>
    <col min="1819" max="1819" width="12.77734375" style="22" customWidth="1"/>
    <col min="1820" max="1820" width="11.109375" style="22" customWidth="1"/>
    <col min="1821" max="1821" width="12" style="22" customWidth="1"/>
    <col min="1822" max="1822" width="9.6640625" style="22"/>
    <col min="1823" max="1823" width="15.33203125" style="22" customWidth="1"/>
    <col min="1824" max="1824" width="15.21875" style="22" customWidth="1"/>
    <col min="1825" max="1825" width="21.44140625" style="22" customWidth="1"/>
    <col min="1826" max="1841" width="9.6640625" style="22"/>
    <col min="1842" max="1843" width="13.44140625" style="22" customWidth="1"/>
    <col min="1844" max="1844" width="9.6640625" style="22"/>
    <col min="1845" max="1845" width="13.88671875" style="22" customWidth="1"/>
    <col min="1846" max="1846" width="10.6640625" style="22" customWidth="1"/>
    <col min="1847" max="1847" width="17.33203125" style="22" customWidth="1"/>
    <col min="1848" max="1849" width="12.6640625" style="22" customWidth="1"/>
    <col min="1850" max="1850" width="11.21875" style="22" customWidth="1"/>
    <col min="1851" max="1851" width="18.33203125" style="22" customWidth="1"/>
    <col min="1852" max="1852" width="12.88671875" style="22" customWidth="1"/>
    <col min="1853" max="1854" width="13.21875" style="22" customWidth="1"/>
    <col min="1855" max="1855" width="10.88671875" style="22" customWidth="1"/>
    <col min="1856" max="1856" width="11.109375" style="22" customWidth="1"/>
    <col min="1857" max="1857" width="15.21875" style="22" customWidth="1"/>
    <col min="1858" max="1858" width="9.6640625" style="22"/>
    <col min="1859" max="1859" width="11" style="22" customWidth="1"/>
    <col min="1860" max="1860" width="10.77734375" style="22" customWidth="1"/>
    <col min="1861" max="1861" width="11.44140625" style="22" customWidth="1"/>
    <col min="1862" max="1862" width="4" style="22" customWidth="1"/>
    <col min="1863" max="2053" width="9.6640625" style="22"/>
    <col min="2054" max="2054" width="6.44140625" style="22" customWidth="1"/>
    <col min="2055" max="2055" width="13.88671875" style="22" customWidth="1"/>
    <col min="2056" max="2056" width="11.88671875" style="22" customWidth="1"/>
    <col min="2057" max="2059" width="9.6640625" style="22"/>
    <col min="2060" max="2060" width="15.44140625" style="22" customWidth="1"/>
    <col min="2061" max="2061" width="16.21875" style="22" customWidth="1"/>
    <col min="2062" max="2073" width="9.6640625" style="22"/>
    <col min="2074" max="2074" width="12" style="22" customWidth="1"/>
    <col min="2075" max="2075" width="12.77734375" style="22" customWidth="1"/>
    <col min="2076" max="2076" width="11.109375" style="22" customWidth="1"/>
    <col min="2077" max="2077" width="12" style="22" customWidth="1"/>
    <col min="2078" max="2078" width="9.6640625" style="22"/>
    <col min="2079" max="2079" width="15.33203125" style="22" customWidth="1"/>
    <col min="2080" max="2080" width="15.21875" style="22" customWidth="1"/>
    <col min="2081" max="2081" width="21.44140625" style="22" customWidth="1"/>
    <col min="2082" max="2097" width="9.6640625" style="22"/>
    <col min="2098" max="2099" width="13.44140625" style="22" customWidth="1"/>
    <col min="2100" max="2100" width="9.6640625" style="22"/>
    <col min="2101" max="2101" width="13.88671875" style="22" customWidth="1"/>
    <col min="2102" max="2102" width="10.6640625" style="22" customWidth="1"/>
    <col min="2103" max="2103" width="17.33203125" style="22" customWidth="1"/>
    <col min="2104" max="2105" width="12.6640625" style="22" customWidth="1"/>
    <col min="2106" max="2106" width="11.21875" style="22" customWidth="1"/>
    <col min="2107" max="2107" width="18.33203125" style="22" customWidth="1"/>
    <col min="2108" max="2108" width="12.88671875" style="22" customWidth="1"/>
    <col min="2109" max="2110" width="13.21875" style="22" customWidth="1"/>
    <col min="2111" max="2111" width="10.88671875" style="22" customWidth="1"/>
    <col min="2112" max="2112" width="11.109375" style="22" customWidth="1"/>
    <col min="2113" max="2113" width="15.21875" style="22" customWidth="1"/>
    <col min="2114" max="2114" width="9.6640625" style="22"/>
    <col min="2115" max="2115" width="11" style="22" customWidth="1"/>
    <col min="2116" max="2116" width="10.77734375" style="22" customWidth="1"/>
    <col min="2117" max="2117" width="11.44140625" style="22" customWidth="1"/>
    <col min="2118" max="2118" width="4" style="22" customWidth="1"/>
    <col min="2119" max="2309" width="9.6640625" style="22"/>
    <col min="2310" max="2310" width="6.44140625" style="22" customWidth="1"/>
    <col min="2311" max="2311" width="13.88671875" style="22" customWidth="1"/>
    <col min="2312" max="2312" width="11.88671875" style="22" customWidth="1"/>
    <col min="2313" max="2315" width="9.6640625" style="22"/>
    <col min="2316" max="2316" width="15.44140625" style="22" customWidth="1"/>
    <col min="2317" max="2317" width="16.21875" style="22" customWidth="1"/>
    <col min="2318" max="2329" width="9.6640625" style="22"/>
    <col min="2330" max="2330" width="12" style="22" customWidth="1"/>
    <col min="2331" max="2331" width="12.77734375" style="22" customWidth="1"/>
    <col min="2332" max="2332" width="11.109375" style="22" customWidth="1"/>
    <col min="2333" max="2333" width="12" style="22" customWidth="1"/>
    <col min="2334" max="2334" width="9.6640625" style="22"/>
    <col min="2335" max="2335" width="15.33203125" style="22" customWidth="1"/>
    <col min="2336" max="2336" width="15.21875" style="22" customWidth="1"/>
    <col min="2337" max="2337" width="21.44140625" style="22" customWidth="1"/>
    <col min="2338" max="2353" width="9.6640625" style="22"/>
    <col min="2354" max="2355" width="13.44140625" style="22" customWidth="1"/>
    <col min="2356" max="2356" width="9.6640625" style="22"/>
    <col min="2357" max="2357" width="13.88671875" style="22" customWidth="1"/>
    <col min="2358" max="2358" width="10.6640625" style="22" customWidth="1"/>
    <col min="2359" max="2359" width="17.33203125" style="22" customWidth="1"/>
    <col min="2360" max="2361" width="12.6640625" style="22" customWidth="1"/>
    <col min="2362" max="2362" width="11.21875" style="22" customWidth="1"/>
    <col min="2363" max="2363" width="18.33203125" style="22" customWidth="1"/>
    <col min="2364" max="2364" width="12.88671875" style="22" customWidth="1"/>
    <col min="2365" max="2366" width="13.21875" style="22" customWidth="1"/>
    <col min="2367" max="2367" width="10.88671875" style="22" customWidth="1"/>
    <col min="2368" max="2368" width="11.109375" style="22" customWidth="1"/>
    <col min="2369" max="2369" width="15.21875" style="22" customWidth="1"/>
    <col min="2370" max="2370" width="9.6640625" style="22"/>
    <col min="2371" max="2371" width="11" style="22" customWidth="1"/>
    <col min="2372" max="2372" width="10.77734375" style="22" customWidth="1"/>
    <col min="2373" max="2373" width="11.44140625" style="22" customWidth="1"/>
    <col min="2374" max="2374" width="4" style="22" customWidth="1"/>
    <col min="2375" max="2565" width="9.6640625" style="22"/>
    <col min="2566" max="2566" width="6.44140625" style="22" customWidth="1"/>
    <col min="2567" max="2567" width="13.88671875" style="22" customWidth="1"/>
    <col min="2568" max="2568" width="11.88671875" style="22" customWidth="1"/>
    <col min="2569" max="2571" width="9.6640625" style="22"/>
    <col min="2572" max="2572" width="15.44140625" style="22" customWidth="1"/>
    <col min="2573" max="2573" width="16.21875" style="22" customWidth="1"/>
    <col min="2574" max="2585" width="9.6640625" style="22"/>
    <col min="2586" max="2586" width="12" style="22" customWidth="1"/>
    <col min="2587" max="2587" width="12.77734375" style="22" customWidth="1"/>
    <col min="2588" max="2588" width="11.109375" style="22" customWidth="1"/>
    <col min="2589" max="2589" width="12" style="22" customWidth="1"/>
    <col min="2590" max="2590" width="9.6640625" style="22"/>
    <col min="2591" max="2591" width="15.33203125" style="22" customWidth="1"/>
    <col min="2592" max="2592" width="15.21875" style="22" customWidth="1"/>
    <col min="2593" max="2593" width="21.44140625" style="22" customWidth="1"/>
    <col min="2594" max="2609" width="9.6640625" style="22"/>
    <col min="2610" max="2611" width="13.44140625" style="22" customWidth="1"/>
    <col min="2612" max="2612" width="9.6640625" style="22"/>
    <col min="2613" max="2613" width="13.88671875" style="22" customWidth="1"/>
    <col min="2614" max="2614" width="10.6640625" style="22" customWidth="1"/>
    <col min="2615" max="2615" width="17.33203125" style="22" customWidth="1"/>
    <col min="2616" max="2617" width="12.6640625" style="22" customWidth="1"/>
    <col min="2618" max="2618" width="11.21875" style="22" customWidth="1"/>
    <col min="2619" max="2619" width="18.33203125" style="22" customWidth="1"/>
    <col min="2620" max="2620" width="12.88671875" style="22" customWidth="1"/>
    <col min="2621" max="2622" width="13.21875" style="22" customWidth="1"/>
    <col min="2623" max="2623" width="10.88671875" style="22" customWidth="1"/>
    <col min="2624" max="2624" width="11.109375" style="22" customWidth="1"/>
    <col min="2625" max="2625" width="15.21875" style="22" customWidth="1"/>
    <col min="2626" max="2626" width="9.6640625" style="22"/>
    <col min="2627" max="2627" width="11" style="22" customWidth="1"/>
    <col min="2628" max="2628" width="10.77734375" style="22" customWidth="1"/>
    <col min="2629" max="2629" width="11.44140625" style="22" customWidth="1"/>
    <col min="2630" max="2630" width="4" style="22" customWidth="1"/>
    <col min="2631" max="2821" width="9.6640625" style="22"/>
    <col min="2822" max="2822" width="6.44140625" style="22" customWidth="1"/>
    <col min="2823" max="2823" width="13.88671875" style="22" customWidth="1"/>
    <col min="2824" max="2824" width="11.88671875" style="22" customWidth="1"/>
    <col min="2825" max="2827" width="9.6640625" style="22"/>
    <col min="2828" max="2828" width="15.44140625" style="22" customWidth="1"/>
    <col min="2829" max="2829" width="16.21875" style="22" customWidth="1"/>
    <col min="2830" max="2841" width="9.6640625" style="22"/>
    <col min="2842" max="2842" width="12" style="22" customWidth="1"/>
    <col min="2843" max="2843" width="12.77734375" style="22" customWidth="1"/>
    <col min="2844" max="2844" width="11.109375" style="22" customWidth="1"/>
    <col min="2845" max="2845" width="12" style="22" customWidth="1"/>
    <col min="2846" max="2846" width="9.6640625" style="22"/>
    <col min="2847" max="2847" width="15.33203125" style="22" customWidth="1"/>
    <col min="2848" max="2848" width="15.21875" style="22" customWidth="1"/>
    <col min="2849" max="2849" width="21.44140625" style="22" customWidth="1"/>
    <col min="2850" max="2865" width="9.6640625" style="22"/>
    <col min="2866" max="2867" width="13.44140625" style="22" customWidth="1"/>
    <col min="2868" max="2868" width="9.6640625" style="22"/>
    <col min="2869" max="2869" width="13.88671875" style="22" customWidth="1"/>
    <col min="2870" max="2870" width="10.6640625" style="22" customWidth="1"/>
    <col min="2871" max="2871" width="17.33203125" style="22" customWidth="1"/>
    <col min="2872" max="2873" width="12.6640625" style="22" customWidth="1"/>
    <col min="2874" max="2874" width="11.21875" style="22" customWidth="1"/>
    <col min="2875" max="2875" width="18.33203125" style="22" customWidth="1"/>
    <col min="2876" max="2876" width="12.88671875" style="22" customWidth="1"/>
    <col min="2877" max="2878" width="13.21875" style="22" customWidth="1"/>
    <col min="2879" max="2879" width="10.88671875" style="22" customWidth="1"/>
    <col min="2880" max="2880" width="11.109375" style="22" customWidth="1"/>
    <col min="2881" max="2881" width="15.21875" style="22" customWidth="1"/>
    <col min="2882" max="2882" width="9.6640625" style="22"/>
    <col min="2883" max="2883" width="11" style="22" customWidth="1"/>
    <col min="2884" max="2884" width="10.77734375" style="22" customWidth="1"/>
    <col min="2885" max="2885" width="11.44140625" style="22" customWidth="1"/>
    <col min="2886" max="2886" width="4" style="22" customWidth="1"/>
    <col min="2887" max="3077" width="9.6640625" style="22"/>
    <col min="3078" max="3078" width="6.44140625" style="22" customWidth="1"/>
    <col min="3079" max="3079" width="13.88671875" style="22" customWidth="1"/>
    <col min="3080" max="3080" width="11.88671875" style="22" customWidth="1"/>
    <col min="3081" max="3083" width="9.6640625" style="22"/>
    <col min="3084" max="3084" width="15.44140625" style="22" customWidth="1"/>
    <col min="3085" max="3085" width="16.21875" style="22" customWidth="1"/>
    <col min="3086" max="3097" width="9.6640625" style="22"/>
    <col min="3098" max="3098" width="12" style="22" customWidth="1"/>
    <col min="3099" max="3099" width="12.77734375" style="22" customWidth="1"/>
    <col min="3100" max="3100" width="11.109375" style="22" customWidth="1"/>
    <col min="3101" max="3101" width="12" style="22" customWidth="1"/>
    <col min="3102" max="3102" width="9.6640625" style="22"/>
    <col min="3103" max="3103" width="15.33203125" style="22" customWidth="1"/>
    <col min="3104" max="3104" width="15.21875" style="22" customWidth="1"/>
    <col min="3105" max="3105" width="21.44140625" style="22" customWidth="1"/>
    <col min="3106" max="3121" width="9.6640625" style="22"/>
    <col min="3122" max="3123" width="13.44140625" style="22" customWidth="1"/>
    <col min="3124" max="3124" width="9.6640625" style="22"/>
    <col min="3125" max="3125" width="13.88671875" style="22" customWidth="1"/>
    <col min="3126" max="3126" width="10.6640625" style="22" customWidth="1"/>
    <col min="3127" max="3127" width="17.33203125" style="22" customWidth="1"/>
    <col min="3128" max="3129" width="12.6640625" style="22" customWidth="1"/>
    <col min="3130" max="3130" width="11.21875" style="22" customWidth="1"/>
    <col min="3131" max="3131" width="18.33203125" style="22" customWidth="1"/>
    <col min="3132" max="3132" width="12.88671875" style="22" customWidth="1"/>
    <col min="3133" max="3134" width="13.21875" style="22" customWidth="1"/>
    <col min="3135" max="3135" width="10.88671875" style="22" customWidth="1"/>
    <col min="3136" max="3136" width="11.109375" style="22" customWidth="1"/>
    <col min="3137" max="3137" width="15.21875" style="22" customWidth="1"/>
    <col min="3138" max="3138" width="9.6640625" style="22"/>
    <col min="3139" max="3139" width="11" style="22" customWidth="1"/>
    <col min="3140" max="3140" width="10.77734375" style="22" customWidth="1"/>
    <col min="3141" max="3141" width="11.44140625" style="22" customWidth="1"/>
    <col min="3142" max="3142" width="4" style="22" customWidth="1"/>
    <col min="3143" max="3333" width="9.6640625" style="22"/>
    <col min="3334" max="3334" width="6.44140625" style="22" customWidth="1"/>
    <col min="3335" max="3335" width="13.88671875" style="22" customWidth="1"/>
    <col min="3336" max="3336" width="11.88671875" style="22" customWidth="1"/>
    <col min="3337" max="3339" width="9.6640625" style="22"/>
    <col min="3340" max="3340" width="15.44140625" style="22" customWidth="1"/>
    <col min="3341" max="3341" width="16.21875" style="22" customWidth="1"/>
    <col min="3342" max="3353" width="9.6640625" style="22"/>
    <col min="3354" max="3354" width="12" style="22" customWidth="1"/>
    <col min="3355" max="3355" width="12.77734375" style="22" customWidth="1"/>
    <col min="3356" max="3356" width="11.109375" style="22" customWidth="1"/>
    <col min="3357" max="3357" width="12" style="22" customWidth="1"/>
    <col min="3358" max="3358" width="9.6640625" style="22"/>
    <col min="3359" max="3359" width="15.33203125" style="22" customWidth="1"/>
    <col min="3360" max="3360" width="15.21875" style="22" customWidth="1"/>
    <col min="3361" max="3361" width="21.44140625" style="22" customWidth="1"/>
    <col min="3362" max="3377" width="9.6640625" style="22"/>
    <col min="3378" max="3379" width="13.44140625" style="22" customWidth="1"/>
    <col min="3380" max="3380" width="9.6640625" style="22"/>
    <col min="3381" max="3381" width="13.88671875" style="22" customWidth="1"/>
    <col min="3382" max="3382" width="10.6640625" style="22" customWidth="1"/>
    <col min="3383" max="3383" width="17.33203125" style="22" customWidth="1"/>
    <col min="3384" max="3385" width="12.6640625" style="22" customWidth="1"/>
    <col min="3386" max="3386" width="11.21875" style="22" customWidth="1"/>
    <col min="3387" max="3387" width="18.33203125" style="22" customWidth="1"/>
    <col min="3388" max="3388" width="12.88671875" style="22" customWidth="1"/>
    <col min="3389" max="3390" width="13.21875" style="22" customWidth="1"/>
    <col min="3391" max="3391" width="10.88671875" style="22" customWidth="1"/>
    <col min="3392" max="3392" width="11.109375" style="22" customWidth="1"/>
    <col min="3393" max="3393" width="15.21875" style="22" customWidth="1"/>
    <col min="3394" max="3394" width="9.6640625" style="22"/>
    <col min="3395" max="3395" width="11" style="22" customWidth="1"/>
    <col min="3396" max="3396" width="10.77734375" style="22" customWidth="1"/>
    <col min="3397" max="3397" width="11.44140625" style="22" customWidth="1"/>
    <col min="3398" max="3398" width="4" style="22" customWidth="1"/>
    <col min="3399" max="3589" width="9.6640625" style="22"/>
    <col min="3590" max="3590" width="6.44140625" style="22" customWidth="1"/>
    <col min="3591" max="3591" width="13.88671875" style="22" customWidth="1"/>
    <col min="3592" max="3592" width="11.88671875" style="22" customWidth="1"/>
    <col min="3593" max="3595" width="9.6640625" style="22"/>
    <col min="3596" max="3596" width="15.44140625" style="22" customWidth="1"/>
    <col min="3597" max="3597" width="16.21875" style="22" customWidth="1"/>
    <col min="3598" max="3609" width="9.6640625" style="22"/>
    <col min="3610" max="3610" width="12" style="22" customWidth="1"/>
    <col min="3611" max="3611" width="12.77734375" style="22" customWidth="1"/>
    <col min="3612" max="3612" width="11.109375" style="22" customWidth="1"/>
    <col min="3613" max="3613" width="12" style="22" customWidth="1"/>
    <col min="3614" max="3614" width="9.6640625" style="22"/>
    <col min="3615" max="3615" width="15.33203125" style="22" customWidth="1"/>
    <col min="3616" max="3616" width="15.21875" style="22" customWidth="1"/>
    <col min="3617" max="3617" width="21.44140625" style="22" customWidth="1"/>
    <col min="3618" max="3633" width="9.6640625" style="22"/>
    <col min="3634" max="3635" width="13.44140625" style="22" customWidth="1"/>
    <col min="3636" max="3636" width="9.6640625" style="22"/>
    <col min="3637" max="3637" width="13.88671875" style="22" customWidth="1"/>
    <col min="3638" max="3638" width="10.6640625" style="22" customWidth="1"/>
    <col min="3639" max="3639" width="17.33203125" style="22" customWidth="1"/>
    <col min="3640" max="3641" width="12.6640625" style="22" customWidth="1"/>
    <col min="3642" max="3642" width="11.21875" style="22" customWidth="1"/>
    <col min="3643" max="3643" width="18.33203125" style="22" customWidth="1"/>
    <col min="3644" max="3644" width="12.88671875" style="22" customWidth="1"/>
    <col min="3645" max="3646" width="13.21875" style="22" customWidth="1"/>
    <col min="3647" max="3647" width="10.88671875" style="22" customWidth="1"/>
    <col min="3648" max="3648" width="11.109375" style="22" customWidth="1"/>
    <col min="3649" max="3649" width="15.21875" style="22" customWidth="1"/>
    <col min="3650" max="3650" width="9.6640625" style="22"/>
    <col min="3651" max="3651" width="11" style="22" customWidth="1"/>
    <col min="3652" max="3652" width="10.77734375" style="22" customWidth="1"/>
    <col min="3653" max="3653" width="11.44140625" style="22" customWidth="1"/>
    <col min="3654" max="3654" width="4" style="22" customWidth="1"/>
    <col min="3655" max="3845" width="9.6640625" style="22"/>
    <col min="3846" max="3846" width="6.44140625" style="22" customWidth="1"/>
    <col min="3847" max="3847" width="13.88671875" style="22" customWidth="1"/>
    <col min="3848" max="3848" width="11.88671875" style="22" customWidth="1"/>
    <col min="3849" max="3851" width="9.6640625" style="22"/>
    <col min="3852" max="3852" width="15.44140625" style="22" customWidth="1"/>
    <col min="3853" max="3853" width="16.21875" style="22" customWidth="1"/>
    <col min="3854" max="3865" width="9.6640625" style="22"/>
    <col min="3866" max="3866" width="12" style="22" customWidth="1"/>
    <col min="3867" max="3867" width="12.77734375" style="22" customWidth="1"/>
    <col min="3868" max="3868" width="11.109375" style="22" customWidth="1"/>
    <col min="3869" max="3869" width="12" style="22" customWidth="1"/>
    <col min="3870" max="3870" width="9.6640625" style="22"/>
    <col min="3871" max="3871" width="15.33203125" style="22" customWidth="1"/>
    <col min="3872" max="3872" width="15.21875" style="22" customWidth="1"/>
    <col min="3873" max="3873" width="21.44140625" style="22" customWidth="1"/>
    <col min="3874" max="3889" width="9.6640625" style="22"/>
    <col min="3890" max="3891" width="13.44140625" style="22" customWidth="1"/>
    <col min="3892" max="3892" width="9.6640625" style="22"/>
    <col min="3893" max="3893" width="13.88671875" style="22" customWidth="1"/>
    <col min="3894" max="3894" width="10.6640625" style="22" customWidth="1"/>
    <col min="3895" max="3895" width="17.33203125" style="22" customWidth="1"/>
    <col min="3896" max="3897" width="12.6640625" style="22" customWidth="1"/>
    <col min="3898" max="3898" width="11.21875" style="22" customWidth="1"/>
    <col min="3899" max="3899" width="18.33203125" style="22" customWidth="1"/>
    <col min="3900" max="3900" width="12.88671875" style="22" customWidth="1"/>
    <col min="3901" max="3902" width="13.21875" style="22" customWidth="1"/>
    <col min="3903" max="3903" width="10.88671875" style="22" customWidth="1"/>
    <col min="3904" max="3904" width="11.109375" style="22" customWidth="1"/>
    <col min="3905" max="3905" width="15.21875" style="22" customWidth="1"/>
    <col min="3906" max="3906" width="9.6640625" style="22"/>
    <col min="3907" max="3907" width="11" style="22" customWidth="1"/>
    <col min="3908" max="3908" width="10.77734375" style="22" customWidth="1"/>
    <col min="3909" max="3909" width="11.44140625" style="22" customWidth="1"/>
    <col min="3910" max="3910" width="4" style="22" customWidth="1"/>
    <col min="3911" max="4101" width="9.6640625" style="22"/>
    <col min="4102" max="4102" width="6.44140625" style="22" customWidth="1"/>
    <col min="4103" max="4103" width="13.88671875" style="22" customWidth="1"/>
    <col min="4104" max="4104" width="11.88671875" style="22" customWidth="1"/>
    <col min="4105" max="4107" width="9.6640625" style="22"/>
    <col min="4108" max="4108" width="15.44140625" style="22" customWidth="1"/>
    <col min="4109" max="4109" width="16.21875" style="22" customWidth="1"/>
    <col min="4110" max="4121" width="9.6640625" style="22"/>
    <col min="4122" max="4122" width="12" style="22" customWidth="1"/>
    <col min="4123" max="4123" width="12.77734375" style="22" customWidth="1"/>
    <col min="4124" max="4124" width="11.109375" style="22" customWidth="1"/>
    <col min="4125" max="4125" width="12" style="22" customWidth="1"/>
    <col min="4126" max="4126" width="9.6640625" style="22"/>
    <col min="4127" max="4127" width="15.33203125" style="22" customWidth="1"/>
    <col min="4128" max="4128" width="15.21875" style="22" customWidth="1"/>
    <col min="4129" max="4129" width="21.44140625" style="22" customWidth="1"/>
    <col min="4130" max="4145" width="9.6640625" style="22"/>
    <col min="4146" max="4147" width="13.44140625" style="22" customWidth="1"/>
    <col min="4148" max="4148" width="9.6640625" style="22"/>
    <col min="4149" max="4149" width="13.88671875" style="22" customWidth="1"/>
    <col min="4150" max="4150" width="10.6640625" style="22" customWidth="1"/>
    <col min="4151" max="4151" width="17.33203125" style="22" customWidth="1"/>
    <col min="4152" max="4153" width="12.6640625" style="22" customWidth="1"/>
    <col min="4154" max="4154" width="11.21875" style="22" customWidth="1"/>
    <col min="4155" max="4155" width="18.33203125" style="22" customWidth="1"/>
    <col min="4156" max="4156" width="12.88671875" style="22" customWidth="1"/>
    <col min="4157" max="4158" width="13.21875" style="22" customWidth="1"/>
    <col min="4159" max="4159" width="10.88671875" style="22" customWidth="1"/>
    <col min="4160" max="4160" width="11.109375" style="22" customWidth="1"/>
    <col min="4161" max="4161" width="15.21875" style="22" customWidth="1"/>
    <col min="4162" max="4162" width="9.6640625" style="22"/>
    <col min="4163" max="4163" width="11" style="22" customWidth="1"/>
    <col min="4164" max="4164" width="10.77734375" style="22" customWidth="1"/>
    <col min="4165" max="4165" width="11.44140625" style="22" customWidth="1"/>
    <col min="4166" max="4166" width="4" style="22" customWidth="1"/>
    <col min="4167" max="4357" width="9.6640625" style="22"/>
    <col min="4358" max="4358" width="6.44140625" style="22" customWidth="1"/>
    <col min="4359" max="4359" width="13.88671875" style="22" customWidth="1"/>
    <col min="4360" max="4360" width="11.88671875" style="22" customWidth="1"/>
    <col min="4361" max="4363" width="9.6640625" style="22"/>
    <col min="4364" max="4364" width="15.44140625" style="22" customWidth="1"/>
    <col min="4365" max="4365" width="16.21875" style="22" customWidth="1"/>
    <col min="4366" max="4377" width="9.6640625" style="22"/>
    <col min="4378" max="4378" width="12" style="22" customWidth="1"/>
    <col min="4379" max="4379" width="12.77734375" style="22" customWidth="1"/>
    <col min="4380" max="4380" width="11.109375" style="22" customWidth="1"/>
    <col min="4381" max="4381" width="12" style="22" customWidth="1"/>
    <col min="4382" max="4382" width="9.6640625" style="22"/>
    <col min="4383" max="4383" width="15.33203125" style="22" customWidth="1"/>
    <col min="4384" max="4384" width="15.21875" style="22" customWidth="1"/>
    <col min="4385" max="4385" width="21.44140625" style="22" customWidth="1"/>
    <col min="4386" max="4401" width="9.6640625" style="22"/>
    <col min="4402" max="4403" width="13.44140625" style="22" customWidth="1"/>
    <col min="4404" max="4404" width="9.6640625" style="22"/>
    <col min="4405" max="4405" width="13.88671875" style="22" customWidth="1"/>
    <col min="4406" max="4406" width="10.6640625" style="22" customWidth="1"/>
    <col min="4407" max="4407" width="17.33203125" style="22" customWidth="1"/>
    <col min="4408" max="4409" width="12.6640625" style="22" customWidth="1"/>
    <col min="4410" max="4410" width="11.21875" style="22" customWidth="1"/>
    <col min="4411" max="4411" width="18.33203125" style="22" customWidth="1"/>
    <col min="4412" max="4412" width="12.88671875" style="22" customWidth="1"/>
    <col min="4413" max="4414" width="13.21875" style="22" customWidth="1"/>
    <col min="4415" max="4415" width="10.88671875" style="22" customWidth="1"/>
    <col min="4416" max="4416" width="11.109375" style="22" customWidth="1"/>
    <col min="4417" max="4417" width="15.21875" style="22" customWidth="1"/>
    <col min="4418" max="4418" width="9.6640625" style="22"/>
    <col min="4419" max="4419" width="11" style="22" customWidth="1"/>
    <col min="4420" max="4420" width="10.77734375" style="22" customWidth="1"/>
    <col min="4421" max="4421" width="11.44140625" style="22" customWidth="1"/>
    <col min="4422" max="4422" width="4" style="22" customWidth="1"/>
    <col min="4423" max="4613" width="9.6640625" style="22"/>
    <col min="4614" max="4614" width="6.44140625" style="22" customWidth="1"/>
    <col min="4615" max="4615" width="13.88671875" style="22" customWidth="1"/>
    <col min="4616" max="4616" width="11.88671875" style="22" customWidth="1"/>
    <col min="4617" max="4619" width="9.6640625" style="22"/>
    <col min="4620" max="4620" width="15.44140625" style="22" customWidth="1"/>
    <col min="4621" max="4621" width="16.21875" style="22" customWidth="1"/>
    <col min="4622" max="4633" width="9.6640625" style="22"/>
    <col min="4634" max="4634" width="12" style="22" customWidth="1"/>
    <col min="4635" max="4635" width="12.77734375" style="22" customWidth="1"/>
    <col min="4636" max="4636" width="11.109375" style="22" customWidth="1"/>
    <col min="4637" max="4637" width="12" style="22" customWidth="1"/>
    <col min="4638" max="4638" width="9.6640625" style="22"/>
    <col min="4639" max="4639" width="15.33203125" style="22" customWidth="1"/>
    <col min="4640" max="4640" width="15.21875" style="22" customWidth="1"/>
    <col min="4641" max="4641" width="21.44140625" style="22" customWidth="1"/>
    <col min="4642" max="4657" width="9.6640625" style="22"/>
    <col min="4658" max="4659" width="13.44140625" style="22" customWidth="1"/>
    <col min="4660" max="4660" width="9.6640625" style="22"/>
    <col min="4661" max="4661" width="13.88671875" style="22" customWidth="1"/>
    <col min="4662" max="4662" width="10.6640625" style="22" customWidth="1"/>
    <col min="4663" max="4663" width="17.33203125" style="22" customWidth="1"/>
    <col min="4664" max="4665" width="12.6640625" style="22" customWidth="1"/>
    <col min="4666" max="4666" width="11.21875" style="22" customWidth="1"/>
    <col min="4667" max="4667" width="18.33203125" style="22" customWidth="1"/>
    <col min="4668" max="4668" width="12.88671875" style="22" customWidth="1"/>
    <col min="4669" max="4670" width="13.21875" style="22" customWidth="1"/>
    <col min="4671" max="4671" width="10.88671875" style="22" customWidth="1"/>
    <col min="4672" max="4672" width="11.109375" style="22" customWidth="1"/>
    <col min="4673" max="4673" width="15.21875" style="22" customWidth="1"/>
    <col min="4674" max="4674" width="9.6640625" style="22"/>
    <col min="4675" max="4675" width="11" style="22" customWidth="1"/>
    <col min="4676" max="4676" width="10.77734375" style="22" customWidth="1"/>
    <col min="4677" max="4677" width="11.44140625" style="22" customWidth="1"/>
    <col min="4678" max="4678" width="4" style="22" customWidth="1"/>
    <col min="4679" max="4869" width="9.6640625" style="22"/>
    <col min="4870" max="4870" width="6.44140625" style="22" customWidth="1"/>
    <col min="4871" max="4871" width="13.88671875" style="22" customWidth="1"/>
    <col min="4872" max="4872" width="11.88671875" style="22" customWidth="1"/>
    <col min="4873" max="4875" width="9.6640625" style="22"/>
    <col min="4876" max="4876" width="15.44140625" style="22" customWidth="1"/>
    <col min="4877" max="4877" width="16.21875" style="22" customWidth="1"/>
    <col min="4878" max="4889" width="9.6640625" style="22"/>
    <col min="4890" max="4890" width="12" style="22" customWidth="1"/>
    <col min="4891" max="4891" width="12.77734375" style="22" customWidth="1"/>
    <col min="4892" max="4892" width="11.109375" style="22" customWidth="1"/>
    <col min="4893" max="4893" width="12" style="22" customWidth="1"/>
    <col min="4894" max="4894" width="9.6640625" style="22"/>
    <col min="4895" max="4895" width="15.33203125" style="22" customWidth="1"/>
    <col min="4896" max="4896" width="15.21875" style="22" customWidth="1"/>
    <col min="4897" max="4897" width="21.44140625" style="22" customWidth="1"/>
    <col min="4898" max="4913" width="9.6640625" style="22"/>
    <col min="4914" max="4915" width="13.44140625" style="22" customWidth="1"/>
    <col min="4916" max="4916" width="9.6640625" style="22"/>
    <col min="4917" max="4917" width="13.88671875" style="22" customWidth="1"/>
    <col min="4918" max="4918" width="10.6640625" style="22" customWidth="1"/>
    <col min="4919" max="4919" width="17.33203125" style="22" customWidth="1"/>
    <col min="4920" max="4921" width="12.6640625" style="22" customWidth="1"/>
    <col min="4922" max="4922" width="11.21875" style="22" customWidth="1"/>
    <col min="4923" max="4923" width="18.33203125" style="22" customWidth="1"/>
    <col min="4924" max="4924" width="12.88671875" style="22" customWidth="1"/>
    <col min="4925" max="4926" width="13.21875" style="22" customWidth="1"/>
    <col min="4927" max="4927" width="10.88671875" style="22" customWidth="1"/>
    <col min="4928" max="4928" width="11.109375" style="22" customWidth="1"/>
    <col min="4929" max="4929" width="15.21875" style="22" customWidth="1"/>
    <col min="4930" max="4930" width="9.6640625" style="22"/>
    <col min="4931" max="4931" width="11" style="22" customWidth="1"/>
    <col min="4932" max="4932" width="10.77734375" style="22" customWidth="1"/>
    <col min="4933" max="4933" width="11.44140625" style="22" customWidth="1"/>
    <col min="4934" max="4934" width="4" style="22" customWidth="1"/>
    <col min="4935" max="5125" width="9.6640625" style="22"/>
    <col min="5126" max="5126" width="6.44140625" style="22" customWidth="1"/>
    <col min="5127" max="5127" width="13.88671875" style="22" customWidth="1"/>
    <col min="5128" max="5128" width="11.88671875" style="22" customWidth="1"/>
    <col min="5129" max="5131" width="9.6640625" style="22"/>
    <col min="5132" max="5132" width="15.44140625" style="22" customWidth="1"/>
    <col min="5133" max="5133" width="16.21875" style="22" customWidth="1"/>
    <col min="5134" max="5145" width="9.6640625" style="22"/>
    <col min="5146" max="5146" width="12" style="22" customWidth="1"/>
    <col min="5147" max="5147" width="12.77734375" style="22" customWidth="1"/>
    <col min="5148" max="5148" width="11.109375" style="22" customWidth="1"/>
    <col min="5149" max="5149" width="12" style="22" customWidth="1"/>
    <col min="5150" max="5150" width="9.6640625" style="22"/>
    <col min="5151" max="5151" width="15.33203125" style="22" customWidth="1"/>
    <col min="5152" max="5152" width="15.21875" style="22" customWidth="1"/>
    <col min="5153" max="5153" width="21.44140625" style="22" customWidth="1"/>
    <col min="5154" max="5169" width="9.6640625" style="22"/>
    <col min="5170" max="5171" width="13.44140625" style="22" customWidth="1"/>
    <col min="5172" max="5172" width="9.6640625" style="22"/>
    <col min="5173" max="5173" width="13.88671875" style="22" customWidth="1"/>
    <col min="5174" max="5174" width="10.6640625" style="22" customWidth="1"/>
    <col min="5175" max="5175" width="17.33203125" style="22" customWidth="1"/>
    <col min="5176" max="5177" width="12.6640625" style="22" customWidth="1"/>
    <col min="5178" max="5178" width="11.21875" style="22" customWidth="1"/>
    <col min="5179" max="5179" width="18.33203125" style="22" customWidth="1"/>
    <col min="5180" max="5180" width="12.88671875" style="22" customWidth="1"/>
    <col min="5181" max="5182" width="13.21875" style="22" customWidth="1"/>
    <col min="5183" max="5183" width="10.88671875" style="22" customWidth="1"/>
    <col min="5184" max="5184" width="11.109375" style="22" customWidth="1"/>
    <col min="5185" max="5185" width="15.21875" style="22" customWidth="1"/>
    <col min="5186" max="5186" width="9.6640625" style="22"/>
    <col min="5187" max="5187" width="11" style="22" customWidth="1"/>
    <col min="5188" max="5188" width="10.77734375" style="22" customWidth="1"/>
    <col min="5189" max="5189" width="11.44140625" style="22" customWidth="1"/>
    <col min="5190" max="5190" width="4" style="22" customWidth="1"/>
    <col min="5191" max="5381" width="9.6640625" style="22"/>
    <col min="5382" max="5382" width="6.44140625" style="22" customWidth="1"/>
    <col min="5383" max="5383" width="13.88671875" style="22" customWidth="1"/>
    <col min="5384" max="5384" width="11.88671875" style="22" customWidth="1"/>
    <col min="5385" max="5387" width="9.6640625" style="22"/>
    <col min="5388" max="5388" width="15.44140625" style="22" customWidth="1"/>
    <col min="5389" max="5389" width="16.21875" style="22" customWidth="1"/>
    <col min="5390" max="5401" width="9.6640625" style="22"/>
    <col min="5402" max="5402" width="12" style="22" customWidth="1"/>
    <col min="5403" max="5403" width="12.77734375" style="22" customWidth="1"/>
    <col min="5404" max="5404" width="11.109375" style="22" customWidth="1"/>
    <col min="5405" max="5405" width="12" style="22" customWidth="1"/>
    <col min="5406" max="5406" width="9.6640625" style="22"/>
    <col min="5407" max="5407" width="15.33203125" style="22" customWidth="1"/>
    <col min="5408" max="5408" width="15.21875" style="22" customWidth="1"/>
    <col min="5409" max="5409" width="21.44140625" style="22" customWidth="1"/>
    <col min="5410" max="5425" width="9.6640625" style="22"/>
    <col min="5426" max="5427" width="13.44140625" style="22" customWidth="1"/>
    <col min="5428" max="5428" width="9.6640625" style="22"/>
    <col min="5429" max="5429" width="13.88671875" style="22" customWidth="1"/>
    <col min="5430" max="5430" width="10.6640625" style="22" customWidth="1"/>
    <col min="5431" max="5431" width="17.33203125" style="22" customWidth="1"/>
    <col min="5432" max="5433" width="12.6640625" style="22" customWidth="1"/>
    <col min="5434" max="5434" width="11.21875" style="22" customWidth="1"/>
    <col min="5435" max="5435" width="18.33203125" style="22" customWidth="1"/>
    <col min="5436" max="5436" width="12.88671875" style="22" customWidth="1"/>
    <col min="5437" max="5438" width="13.21875" style="22" customWidth="1"/>
    <col min="5439" max="5439" width="10.88671875" style="22" customWidth="1"/>
    <col min="5440" max="5440" width="11.109375" style="22" customWidth="1"/>
    <col min="5441" max="5441" width="15.21875" style="22" customWidth="1"/>
    <col min="5442" max="5442" width="9.6640625" style="22"/>
    <col min="5443" max="5443" width="11" style="22" customWidth="1"/>
    <col min="5444" max="5444" width="10.77734375" style="22" customWidth="1"/>
    <col min="5445" max="5445" width="11.44140625" style="22" customWidth="1"/>
    <col min="5446" max="5446" width="4" style="22" customWidth="1"/>
    <col min="5447" max="5637" width="9.6640625" style="22"/>
    <col min="5638" max="5638" width="6.44140625" style="22" customWidth="1"/>
    <col min="5639" max="5639" width="13.88671875" style="22" customWidth="1"/>
    <col min="5640" max="5640" width="11.88671875" style="22" customWidth="1"/>
    <col min="5641" max="5643" width="9.6640625" style="22"/>
    <col min="5644" max="5644" width="15.44140625" style="22" customWidth="1"/>
    <col min="5645" max="5645" width="16.21875" style="22" customWidth="1"/>
    <col min="5646" max="5657" width="9.6640625" style="22"/>
    <col min="5658" max="5658" width="12" style="22" customWidth="1"/>
    <col min="5659" max="5659" width="12.77734375" style="22" customWidth="1"/>
    <col min="5660" max="5660" width="11.109375" style="22" customWidth="1"/>
    <col min="5661" max="5661" width="12" style="22" customWidth="1"/>
    <col min="5662" max="5662" width="9.6640625" style="22"/>
    <col min="5663" max="5663" width="15.33203125" style="22" customWidth="1"/>
    <col min="5664" max="5664" width="15.21875" style="22" customWidth="1"/>
    <col min="5665" max="5665" width="21.44140625" style="22" customWidth="1"/>
    <col min="5666" max="5681" width="9.6640625" style="22"/>
    <col min="5682" max="5683" width="13.44140625" style="22" customWidth="1"/>
    <col min="5684" max="5684" width="9.6640625" style="22"/>
    <col min="5685" max="5685" width="13.88671875" style="22" customWidth="1"/>
    <col min="5686" max="5686" width="10.6640625" style="22" customWidth="1"/>
    <col min="5687" max="5687" width="17.33203125" style="22" customWidth="1"/>
    <col min="5688" max="5689" width="12.6640625" style="22" customWidth="1"/>
    <col min="5690" max="5690" width="11.21875" style="22" customWidth="1"/>
    <col min="5691" max="5691" width="18.33203125" style="22" customWidth="1"/>
    <col min="5692" max="5692" width="12.88671875" style="22" customWidth="1"/>
    <col min="5693" max="5694" width="13.21875" style="22" customWidth="1"/>
    <col min="5695" max="5695" width="10.88671875" style="22" customWidth="1"/>
    <col min="5696" max="5696" width="11.109375" style="22" customWidth="1"/>
    <col min="5697" max="5697" width="15.21875" style="22" customWidth="1"/>
    <col min="5698" max="5698" width="9.6640625" style="22"/>
    <col min="5699" max="5699" width="11" style="22" customWidth="1"/>
    <col min="5700" max="5700" width="10.77734375" style="22" customWidth="1"/>
    <col min="5701" max="5701" width="11.44140625" style="22" customWidth="1"/>
    <col min="5702" max="5702" width="4" style="22" customWidth="1"/>
    <col min="5703" max="5893" width="9.6640625" style="22"/>
    <col min="5894" max="5894" width="6.44140625" style="22" customWidth="1"/>
    <col min="5895" max="5895" width="13.88671875" style="22" customWidth="1"/>
    <col min="5896" max="5896" width="11.88671875" style="22" customWidth="1"/>
    <col min="5897" max="5899" width="9.6640625" style="22"/>
    <col min="5900" max="5900" width="15.44140625" style="22" customWidth="1"/>
    <col min="5901" max="5901" width="16.21875" style="22" customWidth="1"/>
    <col min="5902" max="5913" width="9.6640625" style="22"/>
    <col min="5914" max="5914" width="12" style="22" customWidth="1"/>
    <col min="5915" max="5915" width="12.77734375" style="22" customWidth="1"/>
    <col min="5916" max="5916" width="11.109375" style="22" customWidth="1"/>
    <col min="5917" max="5917" width="12" style="22" customWidth="1"/>
    <col min="5918" max="5918" width="9.6640625" style="22"/>
    <col min="5919" max="5919" width="15.33203125" style="22" customWidth="1"/>
    <col min="5920" max="5920" width="15.21875" style="22" customWidth="1"/>
    <col min="5921" max="5921" width="21.44140625" style="22" customWidth="1"/>
    <col min="5922" max="5937" width="9.6640625" style="22"/>
    <col min="5938" max="5939" width="13.44140625" style="22" customWidth="1"/>
    <col min="5940" max="5940" width="9.6640625" style="22"/>
    <col min="5941" max="5941" width="13.88671875" style="22" customWidth="1"/>
    <col min="5942" max="5942" width="10.6640625" style="22" customWidth="1"/>
    <col min="5943" max="5943" width="17.33203125" style="22" customWidth="1"/>
    <col min="5944" max="5945" width="12.6640625" style="22" customWidth="1"/>
    <col min="5946" max="5946" width="11.21875" style="22" customWidth="1"/>
    <col min="5947" max="5947" width="18.33203125" style="22" customWidth="1"/>
    <col min="5948" max="5948" width="12.88671875" style="22" customWidth="1"/>
    <col min="5949" max="5950" width="13.21875" style="22" customWidth="1"/>
    <col min="5951" max="5951" width="10.88671875" style="22" customWidth="1"/>
    <col min="5952" max="5952" width="11.109375" style="22" customWidth="1"/>
    <col min="5953" max="5953" width="15.21875" style="22" customWidth="1"/>
    <col min="5954" max="5954" width="9.6640625" style="22"/>
    <col min="5955" max="5955" width="11" style="22" customWidth="1"/>
    <col min="5956" max="5956" width="10.77734375" style="22" customWidth="1"/>
    <col min="5957" max="5957" width="11.44140625" style="22" customWidth="1"/>
    <col min="5958" max="5958" width="4" style="22" customWidth="1"/>
    <col min="5959" max="6149" width="9.6640625" style="22"/>
    <col min="6150" max="6150" width="6.44140625" style="22" customWidth="1"/>
    <col min="6151" max="6151" width="13.88671875" style="22" customWidth="1"/>
    <col min="6152" max="6152" width="11.88671875" style="22" customWidth="1"/>
    <col min="6153" max="6155" width="9.6640625" style="22"/>
    <col min="6156" max="6156" width="15.44140625" style="22" customWidth="1"/>
    <col min="6157" max="6157" width="16.21875" style="22" customWidth="1"/>
    <col min="6158" max="6169" width="9.6640625" style="22"/>
    <col min="6170" max="6170" width="12" style="22" customWidth="1"/>
    <col min="6171" max="6171" width="12.77734375" style="22" customWidth="1"/>
    <col min="6172" max="6172" width="11.109375" style="22" customWidth="1"/>
    <col min="6173" max="6173" width="12" style="22" customWidth="1"/>
    <col min="6174" max="6174" width="9.6640625" style="22"/>
    <col min="6175" max="6175" width="15.33203125" style="22" customWidth="1"/>
    <col min="6176" max="6176" width="15.21875" style="22" customWidth="1"/>
    <col min="6177" max="6177" width="21.44140625" style="22" customWidth="1"/>
    <col min="6178" max="6193" width="9.6640625" style="22"/>
    <col min="6194" max="6195" width="13.44140625" style="22" customWidth="1"/>
    <col min="6196" max="6196" width="9.6640625" style="22"/>
    <col min="6197" max="6197" width="13.88671875" style="22" customWidth="1"/>
    <col min="6198" max="6198" width="10.6640625" style="22" customWidth="1"/>
    <col min="6199" max="6199" width="17.33203125" style="22" customWidth="1"/>
    <col min="6200" max="6201" width="12.6640625" style="22" customWidth="1"/>
    <col min="6202" max="6202" width="11.21875" style="22" customWidth="1"/>
    <col min="6203" max="6203" width="18.33203125" style="22" customWidth="1"/>
    <col min="6204" max="6204" width="12.88671875" style="22" customWidth="1"/>
    <col min="6205" max="6206" width="13.21875" style="22" customWidth="1"/>
    <col min="6207" max="6207" width="10.88671875" style="22" customWidth="1"/>
    <col min="6208" max="6208" width="11.109375" style="22" customWidth="1"/>
    <col min="6209" max="6209" width="15.21875" style="22" customWidth="1"/>
    <col min="6210" max="6210" width="9.6640625" style="22"/>
    <col min="6211" max="6211" width="11" style="22" customWidth="1"/>
    <col min="6212" max="6212" width="10.77734375" style="22" customWidth="1"/>
    <col min="6213" max="6213" width="11.44140625" style="22" customWidth="1"/>
    <col min="6214" max="6214" width="4" style="22" customWidth="1"/>
    <col min="6215" max="6405" width="9.6640625" style="22"/>
    <col min="6406" max="6406" width="6.44140625" style="22" customWidth="1"/>
    <col min="6407" max="6407" width="13.88671875" style="22" customWidth="1"/>
    <col min="6408" max="6408" width="11.88671875" style="22" customWidth="1"/>
    <col min="6409" max="6411" width="9.6640625" style="22"/>
    <col min="6412" max="6412" width="15.44140625" style="22" customWidth="1"/>
    <col min="6413" max="6413" width="16.21875" style="22" customWidth="1"/>
    <col min="6414" max="6425" width="9.6640625" style="22"/>
    <col min="6426" max="6426" width="12" style="22" customWidth="1"/>
    <col min="6427" max="6427" width="12.77734375" style="22" customWidth="1"/>
    <col min="6428" max="6428" width="11.109375" style="22" customWidth="1"/>
    <col min="6429" max="6429" width="12" style="22" customWidth="1"/>
    <col min="6430" max="6430" width="9.6640625" style="22"/>
    <col min="6431" max="6431" width="15.33203125" style="22" customWidth="1"/>
    <col min="6432" max="6432" width="15.21875" style="22" customWidth="1"/>
    <col min="6433" max="6433" width="21.44140625" style="22" customWidth="1"/>
    <col min="6434" max="6449" width="9.6640625" style="22"/>
    <col min="6450" max="6451" width="13.44140625" style="22" customWidth="1"/>
    <col min="6452" max="6452" width="9.6640625" style="22"/>
    <col min="6453" max="6453" width="13.88671875" style="22" customWidth="1"/>
    <col min="6454" max="6454" width="10.6640625" style="22" customWidth="1"/>
    <col min="6455" max="6455" width="17.33203125" style="22" customWidth="1"/>
    <col min="6456" max="6457" width="12.6640625" style="22" customWidth="1"/>
    <col min="6458" max="6458" width="11.21875" style="22" customWidth="1"/>
    <col min="6459" max="6459" width="18.33203125" style="22" customWidth="1"/>
    <col min="6460" max="6460" width="12.88671875" style="22" customWidth="1"/>
    <col min="6461" max="6462" width="13.21875" style="22" customWidth="1"/>
    <col min="6463" max="6463" width="10.88671875" style="22" customWidth="1"/>
    <col min="6464" max="6464" width="11.109375" style="22" customWidth="1"/>
    <col min="6465" max="6465" width="15.21875" style="22" customWidth="1"/>
    <col min="6466" max="6466" width="9.6640625" style="22"/>
    <col min="6467" max="6467" width="11" style="22" customWidth="1"/>
    <col min="6468" max="6468" width="10.77734375" style="22" customWidth="1"/>
    <col min="6469" max="6469" width="11.44140625" style="22" customWidth="1"/>
    <col min="6470" max="6470" width="4" style="22" customWidth="1"/>
    <col min="6471" max="6661" width="9.6640625" style="22"/>
    <col min="6662" max="6662" width="6.44140625" style="22" customWidth="1"/>
    <col min="6663" max="6663" width="13.88671875" style="22" customWidth="1"/>
    <col min="6664" max="6664" width="11.88671875" style="22" customWidth="1"/>
    <col min="6665" max="6667" width="9.6640625" style="22"/>
    <col min="6668" max="6668" width="15.44140625" style="22" customWidth="1"/>
    <col min="6669" max="6669" width="16.21875" style="22" customWidth="1"/>
    <col min="6670" max="6681" width="9.6640625" style="22"/>
    <col min="6682" max="6682" width="12" style="22" customWidth="1"/>
    <col min="6683" max="6683" width="12.77734375" style="22" customWidth="1"/>
    <col min="6684" max="6684" width="11.109375" style="22" customWidth="1"/>
    <col min="6685" max="6685" width="12" style="22" customWidth="1"/>
    <col min="6686" max="6686" width="9.6640625" style="22"/>
    <col min="6687" max="6687" width="15.33203125" style="22" customWidth="1"/>
    <col min="6688" max="6688" width="15.21875" style="22" customWidth="1"/>
    <col min="6689" max="6689" width="21.44140625" style="22" customWidth="1"/>
    <col min="6690" max="6705" width="9.6640625" style="22"/>
    <col min="6706" max="6707" width="13.44140625" style="22" customWidth="1"/>
    <col min="6708" max="6708" width="9.6640625" style="22"/>
    <col min="6709" max="6709" width="13.88671875" style="22" customWidth="1"/>
    <col min="6710" max="6710" width="10.6640625" style="22" customWidth="1"/>
    <col min="6711" max="6711" width="17.33203125" style="22" customWidth="1"/>
    <col min="6712" max="6713" width="12.6640625" style="22" customWidth="1"/>
    <col min="6714" max="6714" width="11.21875" style="22" customWidth="1"/>
    <col min="6715" max="6715" width="18.33203125" style="22" customWidth="1"/>
    <col min="6716" max="6716" width="12.88671875" style="22" customWidth="1"/>
    <col min="6717" max="6718" width="13.21875" style="22" customWidth="1"/>
    <col min="6719" max="6719" width="10.88671875" style="22" customWidth="1"/>
    <col min="6720" max="6720" width="11.109375" style="22" customWidth="1"/>
    <col min="6721" max="6721" width="15.21875" style="22" customWidth="1"/>
    <col min="6722" max="6722" width="9.6640625" style="22"/>
    <col min="6723" max="6723" width="11" style="22" customWidth="1"/>
    <col min="6724" max="6724" width="10.77734375" style="22" customWidth="1"/>
    <col min="6725" max="6725" width="11.44140625" style="22" customWidth="1"/>
    <col min="6726" max="6726" width="4" style="22" customWidth="1"/>
    <col min="6727" max="6917" width="9.6640625" style="22"/>
    <col min="6918" max="6918" width="6.44140625" style="22" customWidth="1"/>
    <col min="6919" max="6919" width="13.88671875" style="22" customWidth="1"/>
    <col min="6920" max="6920" width="11.88671875" style="22" customWidth="1"/>
    <col min="6921" max="6923" width="9.6640625" style="22"/>
    <col min="6924" max="6924" width="15.44140625" style="22" customWidth="1"/>
    <col min="6925" max="6925" width="16.21875" style="22" customWidth="1"/>
    <col min="6926" max="6937" width="9.6640625" style="22"/>
    <col min="6938" max="6938" width="12" style="22" customWidth="1"/>
    <col min="6939" max="6939" width="12.77734375" style="22" customWidth="1"/>
    <col min="6940" max="6940" width="11.109375" style="22" customWidth="1"/>
    <col min="6941" max="6941" width="12" style="22" customWidth="1"/>
    <col min="6942" max="6942" width="9.6640625" style="22"/>
    <col min="6943" max="6943" width="15.33203125" style="22" customWidth="1"/>
    <col min="6944" max="6944" width="15.21875" style="22" customWidth="1"/>
    <col min="6945" max="6945" width="21.44140625" style="22" customWidth="1"/>
    <col min="6946" max="6961" width="9.6640625" style="22"/>
    <col min="6962" max="6963" width="13.44140625" style="22" customWidth="1"/>
    <col min="6964" max="6964" width="9.6640625" style="22"/>
    <col min="6965" max="6965" width="13.88671875" style="22" customWidth="1"/>
    <col min="6966" max="6966" width="10.6640625" style="22" customWidth="1"/>
    <col min="6967" max="6967" width="17.33203125" style="22" customWidth="1"/>
    <col min="6968" max="6969" width="12.6640625" style="22" customWidth="1"/>
    <col min="6970" max="6970" width="11.21875" style="22" customWidth="1"/>
    <col min="6971" max="6971" width="18.33203125" style="22" customWidth="1"/>
    <col min="6972" max="6972" width="12.88671875" style="22" customWidth="1"/>
    <col min="6973" max="6974" width="13.21875" style="22" customWidth="1"/>
    <col min="6975" max="6975" width="10.88671875" style="22" customWidth="1"/>
    <col min="6976" max="6976" width="11.109375" style="22" customWidth="1"/>
    <col min="6977" max="6977" width="15.21875" style="22" customWidth="1"/>
    <col min="6978" max="6978" width="9.6640625" style="22"/>
    <col min="6979" max="6979" width="11" style="22" customWidth="1"/>
    <col min="6980" max="6980" width="10.77734375" style="22" customWidth="1"/>
    <col min="6981" max="6981" width="11.44140625" style="22" customWidth="1"/>
    <col min="6982" max="6982" width="4" style="22" customWidth="1"/>
    <col min="6983" max="7173" width="9.6640625" style="22"/>
    <col min="7174" max="7174" width="6.44140625" style="22" customWidth="1"/>
    <col min="7175" max="7175" width="13.88671875" style="22" customWidth="1"/>
    <col min="7176" max="7176" width="11.88671875" style="22" customWidth="1"/>
    <col min="7177" max="7179" width="9.6640625" style="22"/>
    <col min="7180" max="7180" width="15.44140625" style="22" customWidth="1"/>
    <col min="7181" max="7181" width="16.21875" style="22" customWidth="1"/>
    <col min="7182" max="7193" width="9.6640625" style="22"/>
    <col min="7194" max="7194" width="12" style="22" customWidth="1"/>
    <col min="7195" max="7195" width="12.77734375" style="22" customWidth="1"/>
    <col min="7196" max="7196" width="11.109375" style="22" customWidth="1"/>
    <col min="7197" max="7197" width="12" style="22" customWidth="1"/>
    <col min="7198" max="7198" width="9.6640625" style="22"/>
    <col min="7199" max="7199" width="15.33203125" style="22" customWidth="1"/>
    <col min="7200" max="7200" width="15.21875" style="22" customWidth="1"/>
    <col min="7201" max="7201" width="21.44140625" style="22" customWidth="1"/>
    <col min="7202" max="7217" width="9.6640625" style="22"/>
    <col min="7218" max="7219" width="13.44140625" style="22" customWidth="1"/>
    <col min="7220" max="7220" width="9.6640625" style="22"/>
    <col min="7221" max="7221" width="13.88671875" style="22" customWidth="1"/>
    <col min="7222" max="7222" width="10.6640625" style="22" customWidth="1"/>
    <col min="7223" max="7223" width="17.33203125" style="22" customWidth="1"/>
    <col min="7224" max="7225" width="12.6640625" style="22" customWidth="1"/>
    <col min="7226" max="7226" width="11.21875" style="22" customWidth="1"/>
    <col min="7227" max="7227" width="18.33203125" style="22" customWidth="1"/>
    <col min="7228" max="7228" width="12.88671875" style="22" customWidth="1"/>
    <col min="7229" max="7230" width="13.21875" style="22" customWidth="1"/>
    <col min="7231" max="7231" width="10.88671875" style="22" customWidth="1"/>
    <col min="7232" max="7232" width="11.109375" style="22" customWidth="1"/>
    <col min="7233" max="7233" width="15.21875" style="22" customWidth="1"/>
    <col min="7234" max="7234" width="9.6640625" style="22"/>
    <col min="7235" max="7235" width="11" style="22" customWidth="1"/>
    <col min="7236" max="7236" width="10.77734375" style="22" customWidth="1"/>
    <col min="7237" max="7237" width="11.44140625" style="22" customWidth="1"/>
    <col min="7238" max="7238" width="4" style="22" customWidth="1"/>
    <col min="7239" max="7429" width="9.6640625" style="22"/>
    <col min="7430" max="7430" width="6.44140625" style="22" customWidth="1"/>
    <col min="7431" max="7431" width="13.88671875" style="22" customWidth="1"/>
    <col min="7432" max="7432" width="11.88671875" style="22" customWidth="1"/>
    <col min="7433" max="7435" width="9.6640625" style="22"/>
    <col min="7436" max="7436" width="15.44140625" style="22" customWidth="1"/>
    <col min="7437" max="7437" width="16.21875" style="22" customWidth="1"/>
    <col min="7438" max="7449" width="9.6640625" style="22"/>
    <col min="7450" max="7450" width="12" style="22" customWidth="1"/>
    <col min="7451" max="7451" width="12.77734375" style="22" customWidth="1"/>
    <col min="7452" max="7452" width="11.109375" style="22" customWidth="1"/>
    <col min="7453" max="7453" width="12" style="22" customWidth="1"/>
    <col min="7454" max="7454" width="9.6640625" style="22"/>
    <col min="7455" max="7455" width="15.33203125" style="22" customWidth="1"/>
    <col min="7456" max="7456" width="15.21875" style="22" customWidth="1"/>
    <col min="7457" max="7457" width="21.44140625" style="22" customWidth="1"/>
    <col min="7458" max="7473" width="9.6640625" style="22"/>
    <col min="7474" max="7475" width="13.44140625" style="22" customWidth="1"/>
    <col min="7476" max="7476" width="9.6640625" style="22"/>
    <col min="7477" max="7477" width="13.88671875" style="22" customWidth="1"/>
    <col min="7478" max="7478" width="10.6640625" style="22" customWidth="1"/>
    <col min="7479" max="7479" width="17.33203125" style="22" customWidth="1"/>
    <col min="7480" max="7481" width="12.6640625" style="22" customWidth="1"/>
    <col min="7482" max="7482" width="11.21875" style="22" customWidth="1"/>
    <col min="7483" max="7483" width="18.33203125" style="22" customWidth="1"/>
    <col min="7484" max="7484" width="12.88671875" style="22" customWidth="1"/>
    <col min="7485" max="7486" width="13.21875" style="22" customWidth="1"/>
    <col min="7487" max="7487" width="10.88671875" style="22" customWidth="1"/>
    <col min="7488" max="7488" width="11.109375" style="22" customWidth="1"/>
    <col min="7489" max="7489" width="15.21875" style="22" customWidth="1"/>
    <col min="7490" max="7490" width="9.6640625" style="22"/>
    <col min="7491" max="7491" width="11" style="22" customWidth="1"/>
    <col min="7492" max="7492" width="10.77734375" style="22" customWidth="1"/>
    <col min="7493" max="7493" width="11.44140625" style="22" customWidth="1"/>
    <col min="7494" max="7494" width="4" style="22" customWidth="1"/>
    <col min="7495" max="7685" width="9.6640625" style="22"/>
    <col min="7686" max="7686" width="6.44140625" style="22" customWidth="1"/>
    <col min="7687" max="7687" width="13.88671875" style="22" customWidth="1"/>
    <col min="7688" max="7688" width="11.88671875" style="22" customWidth="1"/>
    <col min="7689" max="7691" width="9.6640625" style="22"/>
    <col min="7692" max="7692" width="15.44140625" style="22" customWidth="1"/>
    <col min="7693" max="7693" width="16.21875" style="22" customWidth="1"/>
    <col min="7694" max="7705" width="9.6640625" style="22"/>
    <col min="7706" max="7706" width="12" style="22" customWidth="1"/>
    <col min="7707" max="7707" width="12.77734375" style="22" customWidth="1"/>
    <col min="7708" max="7708" width="11.109375" style="22" customWidth="1"/>
    <col min="7709" max="7709" width="12" style="22" customWidth="1"/>
    <col min="7710" max="7710" width="9.6640625" style="22"/>
    <col min="7711" max="7711" width="15.33203125" style="22" customWidth="1"/>
    <col min="7712" max="7712" width="15.21875" style="22" customWidth="1"/>
    <col min="7713" max="7713" width="21.44140625" style="22" customWidth="1"/>
    <col min="7714" max="7729" width="9.6640625" style="22"/>
    <col min="7730" max="7731" width="13.44140625" style="22" customWidth="1"/>
    <col min="7732" max="7732" width="9.6640625" style="22"/>
    <col min="7733" max="7733" width="13.88671875" style="22" customWidth="1"/>
    <col min="7734" max="7734" width="10.6640625" style="22" customWidth="1"/>
    <col min="7735" max="7735" width="17.33203125" style="22" customWidth="1"/>
    <col min="7736" max="7737" width="12.6640625" style="22" customWidth="1"/>
    <col min="7738" max="7738" width="11.21875" style="22" customWidth="1"/>
    <col min="7739" max="7739" width="18.33203125" style="22" customWidth="1"/>
    <col min="7740" max="7740" width="12.88671875" style="22" customWidth="1"/>
    <col min="7741" max="7742" width="13.21875" style="22" customWidth="1"/>
    <col min="7743" max="7743" width="10.88671875" style="22" customWidth="1"/>
    <col min="7744" max="7744" width="11.109375" style="22" customWidth="1"/>
    <col min="7745" max="7745" width="15.21875" style="22" customWidth="1"/>
    <col min="7746" max="7746" width="9.6640625" style="22"/>
    <col min="7747" max="7747" width="11" style="22" customWidth="1"/>
    <col min="7748" max="7748" width="10.77734375" style="22" customWidth="1"/>
    <col min="7749" max="7749" width="11.44140625" style="22" customWidth="1"/>
    <col min="7750" max="7750" width="4" style="22" customWidth="1"/>
    <col min="7751" max="7941" width="9.6640625" style="22"/>
    <col min="7942" max="7942" width="6.44140625" style="22" customWidth="1"/>
    <col min="7943" max="7943" width="13.88671875" style="22" customWidth="1"/>
    <col min="7944" max="7944" width="11.88671875" style="22" customWidth="1"/>
    <col min="7945" max="7947" width="9.6640625" style="22"/>
    <col min="7948" max="7948" width="15.44140625" style="22" customWidth="1"/>
    <col min="7949" max="7949" width="16.21875" style="22" customWidth="1"/>
    <col min="7950" max="7961" width="9.6640625" style="22"/>
    <col min="7962" max="7962" width="12" style="22" customWidth="1"/>
    <col min="7963" max="7963" width="12.77734375" style="22" customWidth="1"/>
    <col min="7964" max="7964" width="11.109375" style="22" customWidth="1"/>
    <col min="7965" max="7965" width="12" style="22" customWidth="1"/>
    <col min="7966" max="7966" width="9.6640625" style="22"/>
    <col min="7967" max="7967" width="15.33203125" style="22" customWidth="1"/>
    <col min="7968" max="7968" width="15.21875" style="22" customWidth="1"/>
    <col min="7969" max="7969" width="21.44140625" style="22" customWidth="1"/>
    <col min="7970" max="7985" width="9.6640625" style="22"/>
    <col min="7986" max="7987" width="13.44140625" style="22" customWidth="1"/>
    <col min="7988" max="7988" width="9.6640625" style="22"/>
    <col min="7989" max="7989" width="13.88671875" style="22" customWidth="1"/>
    <col min="7990" max="7990" width="10.6640625" style="22" customWidth="1"/>
    <col min="7991" max="7991" width="17.33203125" style="22" customWidth="1"/>
    <col min="7992" max="7993" width="12.6640625" style="22" customWidth="1"/>
    <col min="7994" max="7994" width="11.21875" style="22" customWidth="1"/>
    <col min="7995" max="7995" width="18.33203125" style="22" customWidth="1"/>
    <col min="7996" max="7996" width="12.88671875" style="22" customWidth="1"/>
    <col min="7997" max="7998" width="13.21875" style="22" customWidth="1"/>
    <col min="7999" max="7999" width="10.88671875" style="22" customWidth="1"/>
    <col min="8000" max="8000" width="11.109375" style="22" customWidth="1"/>
    <col min="8001" max="8001" width="15.21875" style="22" customWidth="1"/>
    <col min="8002" max="8002" width="9.6640625" style="22"/>
    <col min="8003" max="8003" width="11" style="22" customWidth="1"/>
    <col min="8004" max="8004" width="10.77734375" style="22" customWidth="1"/>
    <col min="8005" max="8005" width="11.44140625" style="22" customWidth="1"/>
    <col min="8006" max="8006" width="4" style="22" customWidth="1"/>
    <col min="8007" max="8197" width="9.6640625" style="22"/>
    <col min="8198" max="8198" width="6.44140625" style="22" customWidth="1"/>
    <col min="8199" max="8199" width="13.88671875" style="22" customWidth="1"/>
    <col min="8200" max="8200" width="11.88671875" style="22" customWidth="1"/>
    <col min="8201" max="8203" width="9.6640625" style="22"/>
    <col min="8204" max="8204" width="15.44140625" style="22" customWidth="1"/>
    <col min="8205" max="8205" width="16.21875" style="22" customWidth="1"/>
    <col min="8206" max="8217" width="9.6640625" style="22"/>
    <col min="8218" max="8218" width="12" style="22" customWidth="1"/>
    <col min="8219" max="8219" width="12.77734375" style="22" customWidth="1"/>
    <col min="8220" max="8220" width="11.109375" style="22" customWidth="1"/>
    <col min="8221" max="8221" width="12" style="22" customWidth="1"/>
    <col min="8222" max="8222" width="9.6640625" style="22"/>
    <col min="8223" max="8223" width="15.33203125" style="22" customWidth="1"/>
    <col min="8224" max="8224" width="15.21875" style="22" customWidth="1"/>
    <col min="8225" max="8225" width="21.44140625" style="22" customWidth="1"/>
    <col min="8226" max="8241" width="9.6640625" style="22"/>
    <col min="8242" max="8243" width="13.44140625" style="22" customWidth="1"/>
    <col min="8244" max="8244" width="9.6640625" style="22"/>
    <col min="8245" max="8245" width="13.88671875" style="22" customWidth="1"/>
    <col min="8246" max="8246" width="10.6640625" style="22" customWidth="1"/>
    <col min="8247" max="8247" width="17.33203125" style="22" customWidth="1"/>
    <col min="8248" max="8249" width="12.6640625" style="22" customWidth="1"/>
    <col min="8250" max="8250" width="11.21875" style="22" customWidth="1"/>
    <col min="8251" max="8251" width="18.33203125" style="22" customWidth="1"/>
    <col min="8252" max="8252" width="12.88671875" style="22" customWidth="1"/>
    <col min="8253" max="8254" width="13.21875" style="22" customWidth="1"/>
    <col min="8255" max="8255" width="10.88671875" style="22" customWidth="1"/>
    <col min="8256" max="8256" width="11.109375" style="22" customWidth="1"/>
    <col min="8257" max="8257" width="15.21875" style="22" customWidth="1"/>
    <col min="8258" max="8258" width="9.6640625" style="22"/>
    <col min="8259" max="8259" width="11" style="22" customWidth="1"/>
    <col min="8260" max="8260" width="10.77734375" style="22" customWidth="1"/>
    <col min="8261" max="8261" width="11.44140625" style="22" customWidth="1"/>
    <col min="8262" max="8262" width="4" style="22" customWidth="1"/>
    <col min="8263" max="8453" width="9.6640625" style="22"/>
    <col min="8454" max="8454" width="6.44140625" style="22" customWidth="1"/>
    <col min="8455" max="8455" width="13.88671875" style="22" customWidth="1"/>
    <col min="8456" max="8456" width="11.88671875" style="22" customWidth="1"/>
    <col min="8457" max="8459" width="9.6640625" style="22"/>
    <col min="8460" max="8460" width="15.44140625" style="22" customWidth="1"/>
    <col min="8461" max="8461" width="16.21875" style="22" customWidth="1"/>
    <col min="8462" max="8473" width="9.6640625" style="22"/>
    <col min="8474" max="8474" width="12" style="22" customWidth="1"/>
    <col min="8475" max="8475" width="12.77734375" style="22" customWidth="1"/>
    <col min="8476" max="8476" width="11.109375" style="22" customWidth="1"/>
    <col min="8477" max="8477" width="12" style="22" customWidth="1"/>
    <col min="8478" max="8478" width="9.6640625" style="22"/>
    <col min="8479" max="8479" width="15.33203125" style="22" customWidth="1"/>
    <col min="8480" max="8480" width="15.21875" style="22" customWidth="1"/>
    <col min="8481" max="8481" width="21.44140625" style="22" customWidth="1"/>
    <col min="8482" max="8497" width="9.6640625" style="22"/>
    <col min="8498" max="8499" width="13.44140625" style="22" customWidth="1"/>
    <col min="8500" max="8500" width="9.6640625" style="22"/>
    <col min="8501" max="8501" width="13.88671875" style="22" customWidth="1"/>
    <col min="8502" max="8502" width="10.6640625" style="22" customWidth="1"/>
    <col min="8503" max="8503" width="17.33203125" style="22" customWidth="1"/>
    <col min="8504" max="8505" width="12.6640625" style="22" customWidth="1"/>
    <col min="8506" max="8506" width="11.21875" style="22" customWidth="1"/>
    <col min="8507" max="8507" width="18.33203125" style="22" customWidth="1"/>
    <col min="8508" max="8508" width="12.88671875" style="22" customWidth="1"/>
    <col min="8509" max="8510" width="13.21875" style="22" customWidth="1"/>
    <col min="8511" max="8511" width="10.88671875" style="22" customWidth="1"/>
    <col min="8512" max="8512" width="11.109375" style="22" customWidth="1"/>
    <col min="8513" max="8513" width="15.21875" style="22" customWidth="1"/>
    <col min="8514" max="8514" width="9.6640625" style="22"/>
    <col min="8515" max="8515" width="11" style="22" customWidth="1"/>
    <col min="8516" max="8516" width="10.77734375" style="22" customWidth="1"/>
    <col min="8517" max="8517" width="11.44140625" style="22" customWidth="1"/>
    <col min="8518" max="8518" width="4" style="22" customWidth="1"/>
    <col min="8519" max="8709" width="9.6640625" style="22"/>
    <col min="8710" max="8710" width="6.44140625" style="22" customWidth="1"/>
    <col min="8711" max="8711" width="13.88671875" style="22" customWidth="1"/>
    <col min="8712" max="8712" width="11.88671875" style="22" customWidth="1"/>
    <col min="8713" max="8715" width="9.6640625" style="22"/>
    <col min="8716" max="8716" width="15.44140625" style="22" customWidth="1"/>
    <col min="8717" max="8717" width="16.21875" style="22" customWidth="1"/>
    <col min="8718" max="8729" width="9.6640625" style="22"/>
    <col min="8730" max="8730" width="12" style="22" customWidth="1"/>
    <col min="8731" max="8731" width="12.77734375" style="22" customWidth="1"/>
    <col min="8732" max="8732" width="11.109375" style="22" customWidth="1"/>
    <col min="8733" max="8733" width="12" style="22" customWidth="1"/>
    <col min="8734" max="8734" width="9.6640625" style="22"/>
    <col min="8735" max="8735" width="15.33203125" style="22" customWidth="1"/>
    <col min="8736" max="8736" width="15.21875" style="22" customWidth="1"/>
    <col min="8737" max="8737" width="21.44140625" style="22" customWidth="1"/>
    <col min="8738" max="8753" width="9.6640625" style="22"/>
    <col min="8754" max="8755" width="13.44140625" style="22" customWidth="1"/>
    <col min="8756" max="8756" width="9.6640625" style="22"/>
    <col min="8757" max="8757" width="13.88671875" style="22" customWidth="1"/>
    <col min="8758" max="8758" width="10.6640625" style="22" customWidth="1"/>
    <col min="8759" max="8759" width="17.33203125" style="22" customWidth="1"/>
    <col min="8760" max="8761" width="12.6640625" style="22" customWidth="1"/>
    <col min="8762" max="8762" width="11.21875" style="22" customWidth="1"/>
    <col min="8763" max="8763" width="18.33203125" style="22" customWidth="1"/>
    <col min="8764" max="8764" width="12.88671875" style="22" customWidth="1"/>
    <col min="8765" max="8766" width="13.21875" style="22" customWidth="1"/>
    <col min="8767" max="8767" width="10.88671875" style="22" customWidth="1"/>
    <col min="8768" max="8768" width="11.109375" style="22" customWidth="1"/>
    <col min="8769" max="8769" width="15.21875" style="22" customWidth="1"/>
    <col min="8770" max="8770" width="9.6640625" style="22"/>
    <col min="8771" max="8771" width="11" style="22" customWidth="1"/>
    <col min="8772" max="8772" width="10.77734375" style="22" customWidth="1"/>
    <col min="8773" max="8773" width="11.44140625" style="22" customWidth="1"/>
    <col min="8774" max="8774" width="4" style="22" customWidth="1"/>
    <col min="8775" max="8965" width="9.6640625" style="22"/>
    <col min="8966" max="8966" width="6.44140625" style="22" customWidth="1"/>
    <col min="8967" max="8967" width="13.88671875" style="22" customWidth="1"/>
    <col min="8968" max="8968" width="11.88671875" style="22" customWidth="1"/>
    <col min="8969" max="8971" width="9.6640625" style="22"/>
    <col min="8972" max="8972" width="15.44140625" style="22" customWidth="1"/>
    <col min="8973" max="8973" width="16.21875" style="22" customWidth="1"/>
    <col min="8974" max="8985" width="9.6640625" style="22"/>
    <col min="8986" max="8986" width="12" style="22" customWidth="1"/>
    <col min="8987" max="8987" width="12.77734375" style="22" customWidth="1"/>
    <col min="8988" max="8988" width="11.109375" style="22" customWidth="1"/>
    <col min="8989" max="8989" width="12" style="22" customWidth="1"/>
    <col min="8990" max="8990" width="9.6640625" style="22"/>
    <col min="8991" max="8991" width="15.33203125" style="22" customWidth="1"/>
    <col min="8992" max="8992" width="15.21875" style="22" customWidth="1"/>
    <col min="8993" max="8993" width="21.44140625" style="22" customWidth="1"/>
    <col min="8994" max="9009" width="9.6640625" style="22"/>
    <col min="9010" max="9011" width="13.44140625" style="22" customWidth="1"/>
    <col min="9012" max="9012" width="9.6640625" style="22"/>
    <col min="9013" max="9013" width="13.88671875" style="22" customWidth="1"/>
    <col min="9014" max="9014" width="10.6640625" style="22" customWidth="1"/>
    <col min="9015" max="9015" width="17.33203125" style="22" customWidth="1"/>
    <col min="9016" max="9017" width="12.6640625" style="22" customWidth="1"/>
    <col min="9018" max="9018" width="11.21875" style="22" customWidth="1"/>
    <col min="9019" max="9019" width="18.33203125" style="22" customWidth="1"/>
    <col min="9020" max="9020" width="12.88671875" style="22" customWidth="1"/>
    <col min="9021" max="9022" width="13.21875" style="22" customWidth="1"/>
    <col min="9023" max="9023" width="10.88671875" style="22" customWidth="1"/>
    <col min="9024" max="9024" width="11.109375" style="22" customWidth="1"/>
    <col min="9025" max="9025" width="15.21875" style="22" customWidth="1"/>
    <col min="9026" max="9026" width="9.6640625" style="22"/>
    <col min="9027" max="9027" width="11" style="22" customWidth="1"/>
    <col min="9028" max="9028" width="10.77734375" style="22" customWidth="1"/>
    <col min="9029" max="9029" width="11.44140625" style="22" customWidth="1"/>
    <col min="9030" max="9030" width="4" style="22" customWidth="1"/>
    <col min="9031" max="9221" width="9.6640625" style="22"/>
    <col min="9222" max="9222" width="6.44140625" style="22" customWidth="1"/>
    <col min="9223" max="9223" width="13.88671875" style="22" customWidth="1"/>
    <col min="9224" max="9224" width="11.88671875" style="22" customWidth="1"/>
    <col min="9225" max="9227" width="9.6640625" style="22"/>
    <col min="9228" max="9228" width="15.44140625" style="22" customWidth="1"/>
    <col min="9229" max="9229" width="16.21875" style="22" customWidth="1"/>
    <col min="9230" max="9241" width="9.6640625" style="22"/>
    <col min="9242" max="9242" width="12" style="22" customWidth="1"/>
    <col min="9243" max="9243" width="12.77734375" style="22" customWidth="1"/>
    <col min="9244" max="9244" width="11.109375" style="22" customWidth="1"/>
    <col min="9245" max="9245" width="12" style="22" customWidth="1"/>
    <col min="9246" max="9246" width="9.6640625" style="22"/>
    <col min="9247" max="9247" width="15.33203125" style="22" customWidth="1"/>
    <col min="9248" max="9248" width="15.21875" style="22" customWidth="1"/>
    <col min="9249" max="9249" width="21.44140625" style="22" customWidth="1"/>
    <col min="9250" max="9265" width="9.6640625" style="22"/>
    <col min="9266" max="9267" width="13.44140625" style="22" customWidth="1"/>
    <col min="9268" max="9268" width="9.6640625" style="22"/>
    <col min="9269" max="9269" width="13.88671875" style="22" customWidth="1"/>
    <col min="9270" max="9270" width="10.6640625" style="22" customWidth="1"/>
    <col min="9271" max="9271" width="17.33203125" style="22" customWidth="1"/>
    <col min="9272" max="9273" width="12.6640625" style="22" customWidth="1"/>
    <col min="9274" max="9274" width="11.21875" style="22" customWidth="1"/>
    <col min="9275" max="9275" width="18.33203125" style="22" customWidth="1"/>
    <col min="9276" max="9276" width="12.88671875" style="22" customWidth="1"/>
    <col min="9277" max="9278" width="13.21875" style="22" customWidth="1"/>
    <col min="9279" max="9279" width="10.88671875" style="22" customWidth="1"/>
    <col min="9280" max="9280" width="11.109375" style="22" customWidth="1"/>
    <col min="9281" max="9281" width="15.21875" style="22" customWidth="1"/>
    <col min="9282" max="9282" width="9.6640625" style="22"/>
    <col min="9283" max="9283" width="11" style="22" customWidth="1"/>
    <col min="9284" max="9284" width="10.77734375" style="22" customWidth="1"/>
    <col min="9285" max="9285" width="11.44140625" style="22" customWidth="1"/>
    <col min="9286" max="9286" width="4" style="22" customWidth="1"/>
    <col min="9287" max="9477" width="9.6640625" style="22"/>
    <col min="9478" max="9478" width="6.44140625" style="22" customWidth="1"/>
    <col min="9479" max="9479" width="13.88671875" style="22" customWidth="1"/>
    <col min="9480" max="9480" width="11.88671875" style="22" customWidth="1"/>
    <col min="9481" max="9483" width="9.6640625" style="22"/>
    <col min="9484" max="9484" width="15.44140625" style="22" customWidth="1"/>
    <col min="9485" max="9485" width="16.21875" style="22" customWidth="1"/>
    <col min="9486" max="9497" width="9.6640625" style="22"/>
    <col min="9498" max="9498" width="12" style="22" customWidth="1"/>
    <col min="9499" max="9499" width="12.77734375" style="22" customWidth="1"/>
    <col min="9500" max="9500" width="11.109375" style="22" customWidth="1"/>
    <col min="9501" max="9501" width="12" style="22" customWidth="1"/>
    <col min="9502" max="9502" width="9.6640625" style="22"/>
    <col min="9503" max="9503" width="15.33203125" style="22" customWidth="1"/>
    <col min="9504" max="9504" width="15.21875" style="22" customWidth="1"/>
    <col min="9505" max="9505" width="21.44140625" style="22" customWidth="1"/>
    <col min="9506" max="9521" width="9.6640625" style="22"/>
    <col min="9522" max="9523" width="13.44140625" style="22" customWidth="1"/>
    <col min="9524" max="9524" width="9.6640625" style="22"/>
    <col min="9525" max="9525" width="13.88671875" style="22" customWidth="1"/>
    <col min="9526" max="9526" width="10.6640625" style="22" customWidth="1"/>
    <col min="9527" max="9527" width="17.33203125" style="22" customWidth="1"/>
    <col min="9528" max="9529" width="12.6640625" style="22" customWidth="1"/>
    <col min="9530" max="9530" width="11.21875" style="22" customWidth="1"/>
    <col min="9531" max="9531" width="18.33203125" style="22" customWidth="1"/>
    <col min="9532" max="9532" width="12.88671875" style="22" customWidth="1"/>
    <col min="9533" max="9534" width="13.21875" style="22" customWidth="1"/>
    <col min="9535" max="9535" width="10.88671875" style="22" customWidth="1"/>
    <col min="9536" max="9536" width="11.109375" style="22" customWidth="1"/>
    <col min="9537" max="9537" width="15.21875" style="22" customWidth="1"/>
    <col min="9538" max="9538" width="9.6640625" style="22"/>
    <col min="9539" max="9539" width="11" style="22" customWidth="1"/>
    <col min="9540" max="9540" width="10.77734375" style="22" customWidth="1"/>
    <col min="9541" max="9541" width="11.44140625" style="22" customWidth="1"/>
    <col min="9542" max="9542" width="4" style="22" customWidth="1"/>
    <col min="9543" max="9733" width="9.6640625" style="22"/>
    <col min="9734" max="9734" width="6.44140625" style="22" customWidth="1"/>
    <col min="9735" max="9735" width="13.88671875" style="22" customWidth="1"/>
    <col min="9736" max="9736" width="11.88671875" style="22" customWidth="1"/>
    <col min="9737" max="9739" width="9.6640625" style="22"/>
    <col min="9740" max="9740" width="15.44140625" style="22" customWidth="1"/>
    <col min="9741" max="9741" width="16.21875" style="22" customWidth="1"/>
    <col min="9742" max="9753" width="9.6640625" style="22"/>
    <col min="9754" max="9754" width="12" style="22" customWidth="1"/>
    <col min="9755" max="9755" width="12.77734375" style="22" customWidth="1"/>
    <col min="9756" max="9756" width="11.109375" style="22" customWidth="1"/>
    <col min="9757" max="9757" width="12" style="22" customWidth="1"/>
    <col min="9758" max="9758" width="9.6640625" style="22"/>
    <col min="9759" max="9759" width="15.33203125" style="22" customWidth="1"/>
    <col min="9760" max="9760" width="15.21875" style="22" customWidth="1"/>
    <col min="9761" max="9761" width="21.44140625" style="22" customWidth="1"/>
    <col min="9762" max="9777" width="9.6640625" style="22"/>
    <col min="9778" max="9779" width="13.44140625" style="22" customWidth="1"/>
    <col min="9780" max="9780" width="9.6640625" style="22"/>
    <col min="9781" max="9781" width="13.88671875" style="22" customWidth="1"/>
    <col min="9782" max="9782" width="10.6640625" style="22" customWidth="1"/>
    <col min="9783" max="9783" width="17.33203125" style="22" customWidth="1"/>
    <col min="9784" max="9785" width="12.6640625" style="22" customWidth="1"/>
    <col min="9786" max="9786" width="11.21875" style="22" customWidth="1"/>
    <col min="9787" max="9787" width="18.33203125" style="22" customWidth="1"/>
    <col min="9788" max="9788" width="12.88671875" style="22" customWidth="1"/>
    <col min="9789" max="9790" width="13.21875" style="22" customWidth="1"/>
    <col min="9791" max="9791" width="10.88671875" style="22" customWidth="1"/>
    <col min="9792" max="9792" width="11.109375" style="22" customWidth="1"/>
    <col min="9793" max="9793" width="15.21875" style="22" customWidth="1"/>
    <col min="9794" max="9794" width="9.6640625" style="22"/>
    <col min="9795" max="9795" width="11" style="22" customWidth="1"/>
    <col min="9796" max="9796" width="10.77734375" style="22" customWidth="1"/>
    <col min="9797" max="9797" width="11.44140625" style="22" customWidth="1"/>
    <col min="9798" max="9798" width="4" style="22" customWidth="1"/>
    <col min="9799" max="9989" width="9.6640625" style="22"/>
    <col min="9990" max="9990" width="6.44140625" style="22" customWidth="1"/>
    <col min="9991" max="9991" width="13.88671875" style="22" customWidth="1"/>
    <col min="9992" max="9992" width="11.88671875" style="22" customWidth="1"/>
    <col min="9993" max="9995" width="9.6640625" style="22"/>
    <col min="9996" max="9996" width="15.44140625" style="22" customWidth="1"/>
    <col min="9997" max="9997" width="16.21875" style="22" customWidth="1"/>
    <col min="9998" max="10009" width="9.6640625" style="22"/>
    <col min="10010" max="10010" width="12" style="22" customWidth="1"/>
    <col min="10011" max="10011" width="12.77734375" style="22" customWidth="1"/>
    <col min="10012" max="10012" width="11.109375" style="22" customWidth="1"/>
    <col min="10013" max="10013" width="12" style="22" customWidth="1"/>
    <col min="10014" max="10014" width="9.6640625" style="22"/>
    <col min="10015" max="10015" width="15.33203125" style="22" customWidth="1"/>
    <col min="10016" max="10016" width="15.21875" style="22" customWidth="1"/>
    <col min="10017" max="10017" width="21.44140625" style="22" customWidth="1"/>
    <col min="10018" max="10033" width="9.6640625" style="22"/>
    <col min="10034" max="10035" width="13.44140625" style="22" customWidth="1"/>
    <col min="10036" max="10036" width="9.6640625" style="22"/>
    <col min="10037" max="10037" width="13.88671875" style="22" customWidth="1"/>
    <col min="10038" max="10038" width="10.6640625" style="22" customWidth="1"/>
    <col min="10039" max="10039" width="17.33203125" style="22" customWidth="1"/>
    <col min="10040" max="10041" width="12.6640625" style="22" customWidth="1"/>
    <col min="10042" max="10042" width="11.21875" style="22" customWidth="1"/>
    <col min="10043" max="10043" width="18.33203125" style="22" customWidth="1"/>
    <col min="10044" max="10044" width="12.88671875" style="22" customWidth="1"/>
    <col min="10045" max="10046" width="13.21875" style="22" customWidth="1"/>
    <col min="10047" max="10047" width="10.88671875" style="22" customWidth="1"/>
    <col min="10048" max="10048" width="11.109375" style="22" customWidth="1"/>
    <col min="10049" max="10049" width="15.21875" style="22" customWidth="1"/>
    <col min="10050" max="10050" width="9.6640625" style="22"/>
    <col min="10051" max="10051" width="11" style="22" customWidth="1"/>
    <col min="10052" max="10052" width="10.77734375" style="22" customWidth="1"/>
    <col min="10053" max="10053" width="11.44140625" style="22" customWidth="1"/>
    <col min="10054" max="10054" width="4" style="22" customWidth="1"/>
    <col min="10055" max="10245" width="9.6640625" style="22"/>
    <col min="10246" max="10246" width="6.44140625" style="22" customWidth="1"/>
    <col min="10247" max="10247" width="13.88671875" style="22" customWidth="1"/>
    <col min="10248" max="10248" width="11.88671875" style="22" customWidth="1"/>
    <col min="10249" max="10251" width="9.6640625" style="22"/>
    <col min="10252" max="10252" width="15.44140625" style="22" customWidth="1"/>
    <col min="10253" max="10253" width="16.21875" style="22" customWidth="1"/>
    <col min="10254" max="10265" width="9.6640625" style="22"/>
    <col min="10266" max="10266" width="12" style="22" customWidth="1"/>
    <col min="10267" max="10267" width="12.77734375" style="22" customWidth="1"/>
    <col min="10268" max="10268" width="11.109375" style="22" customWidth="1"/>
    <col min="10269" max="10269" width="12" style="22" customWidth="1"/>
    <col min="10270" max="10270" width="9.6640625" style="22"/>
    <col min="10271" max="10271" width="15.33203125" style="22" customWidth="1"/>
    <col min="10272" max="10272" width="15.21875" style="22" customWidth="1"/>
    <col min="10273" max="10273" width="21.44140625" style="22" customWidth="1"/>
    <col min="10274" max="10289" width="9.6640625" style="22"/>
    <col min="10290" max="10291" width="13.44140625" style="22" customWidth="1"/>
    <col min="10292" max="10292" width="9.6640625" style="22"/>
    <col min="10293" max="10293" width="13.88671875" style="22" customWidth="1"/>
    <col min="10294" max="10294" width="10.6640625" style="22" customWidth="1"/>
    <col min="10295" max="10295" width="17.33203125" style="22" customWidth="1"/>
    <col min="10296" max="10297" width="12.6640625" style="22" customWidth="1"/>
    <col min="10298" max="10298" width="11.21875" style="22" customWidth="1"/>
    <col min="10299" max="10299" width="18.33203125" style="22" customWidth="1"/>
    <col min="10300" max="10300" width="12.88671875" style="22" customWidth="1"/>
    <col min="10301" max="10302" width="13.21875" style="22" customWidth="1"/>
    <col min="10303" max="10303" width="10.88671875" style="22" customWidth="1"/>
    <col min="10304" max="10304" width="11.109375" style="22" customWidth="1"/>
    <col min="10305" max="10305" width="15.21875" style="22" customWidth="1"/>
    <col min="10306" max="10306" width="9.6640625" style="22"/>
    <col min="10307" max="10307" width="11" style="22" customWidth="1"/>
    <col min="10308" max="10308" width="10.77734375" style="22" customWidth="1"/>
    <col min="10309" max="10309" width="11.44140625" style="22" customWidth="1"/>
    <col min="10310" max="10310" width="4" style="22" customWidth="1"/>
    <col min="10311" max="10501" width="9.6640625" style="22"/>
    <col min="10502" max="10502" width="6.44140625" style="22" customWidth="1"/>
    <col min="10503" max="10503" width="13.88671875" style="22" customWidth="1"/>
    <col min="10504" max="10504" width="11.88671875" style="22" customWidth="1"/>
    <col min="10505" max="10507" width="9.6640625" style="22"/>
    <col min="10508" max="10508" width="15.44140625" style="22" customWidth="1"/>
    <col min="10509" max="10509" width="16.21875" style="22" customWidth="1"/>
    <col min="10510" max="10521" width="9.6640625" style="22"/>
    <col min="10522" max="10522" width="12" style="22" customWidth="1"/>
    <col min="10523" max="10523" width="12.77734375" style="22" customWidth="1"/>
    <col min="10524" max="10524" width="11.109375" style="22" customWidth="1"/>
    <col min="10525" max="10525" width="12" style="22" customWidth="1"/>
    <col min="10526" max="10526" width="9.6640625" style="22"/>
    <col min="10527" max="10527" width="15.33203125" style="22" customWidth="1"/>
    <col min="10528" max="10528" width="15.21875" style="22" customWidth="1"/>
    <col min="10529" max="10529" width="21.44140625" style="22" customWidth="1"/>
    <col min="10530" max="10545" width="9.6640625" style="22"/>
    <col min="10546" max="10547" width="13.44140625" style="22" customWidth="1"/>
    <col min="10548" max="10548" width="9.6640625" style="22"/>
    <col min="10549" max="10549" width="13.88671875" style="22" customWidth="1"/>
    <col min="10550" max="10550" width="10.6640625" style="22" customWidth="1"/>
    <col min="10551" max="10551" width="17.33203125" style="22" customWidth="1"/>
    <col min="10552" max="10553" width="12.6640625" style="22" customWidth="1"/>
    <col min="10554" max="10554" width="11.21875" style="22" customWidth="1"/>
    <col min="10555" max="10555" width="18.33203125" style="22" customWidth="1"/>
    <col min="10556" max="10556" width="12.88671875" style="22" customWidth="1"/>
    <col min="10557" max="10558" width="13.21875" style="22" customWidth="1"/>
    <col min="10559" max="10559" width="10.88671875" style="22" customWidth="1"/>
    <col min="10560" max="10560" width="11.109375" style="22" customWidth="1"/>
    <col min="10561" max="10561" width="15.21875" style="22" customWidth="1"/>
    <col min="10562" max="10562" width="9.6640625" style="22"/>
    <col min="10563" max="10563" width="11" style="22" customWidth="1"/>
    <col min="10564" max="10564" width="10.77734375" style="22" customWidth="1"/>
    <col min="10565" max="10565" width="11.44140625" style="22" customWidth="1"/>
    <col min="10566" max="10566" width="4" style="22" customWidth="1"/>
    <col min="10567" max="10757" width="9.6640625" style="22"/>
    <col min="10758" max="10758" width="6.44140625" style="22" customWidth="1"/>
    <col min="10759" max="10759" width="13.88671875" style="22" customWidth="1"/>
    <col min="10760" max="10760" width="11.88671875" style="22" customWidth="1"/>
    <col min="10761" max="10763" width="9.6640625" style="22"/>
    <col min="10764" max="10764" width="15.44140625" style="22" customWidth="1"/>
    <col min="10765" max="10765" width="16.21875" style="22" customWidth="1"/>
    <col min="10766" max="10777" width="9.6640625" style="22"/>
    <col min="10778" max="10778" width="12" style="22" customWidth="1"/>
    <col min="10779" max="10779" width="12.77734375" style="22" customWidth="1"/>
    <col min="10780" max="10780" width="11.109375" style="22" customWidth="1"/>
    <col min="10781" max="10781" width="12" style="22" customWidth="1"/>
    <col min="10782" max="10782" width="9.6640625" style="22"/>
    <col min="10783" max="10783" width="15.33203125" style="22" customWidth="1"/>
    <col min="10784" max="10784" width="15.21875" style="22" customWidth="1"/>
    <col min="10785" max="10785" width="21.44140625" style="22" customWidth="1"/>
    <col min="10786" max="10801" width="9.6640625" style="22"/>
    <col min="10802" max="10803" width="13.44140625" style="22" customWidth="1"/>
    <col min="10804" max="10804" width="9.6640625" style="22"/>
    <col min="10805" max="10805" width="13.88671875" style="22" customWidth="1"/>
    <col min="10806" max="10806" width="10.6640625" style="22" customWidth="1"/>
    <col min="10807" max="10807" width="17.33203125" style="22" customWidth="1"/>
    <col min="10808" max="10809" width="12.6640625" style="22" customWidth="1"/>
    <col min="10810" max="10810" width="11.21875" style="22" customWidth="1"/>
    <col min="10811" max="10811" width="18.33203125" style="22" customWidth="1"/>
    <col min="10812" max="10812" width="12.88671875" style="22" customWidth="1"/>
    <col min="10813" max="10814" width="13.21875" style="22" customWidth="1"/>
    <col min="10815" max="10815" width="10.88671875" style="22" customWidth="1"/>
    <col min="10816" max="10816" width="11.109375" style="22" customWidth="1"/>
    <col min="10817" max="10817" width="15.21875" style="22" customWidth="1"/>
    <col min="10818" max="10818" width="9.6640625" style="22"/>
    <col min="10819" max="10819" width="11" style="22" customWidth="1"/>
    <col min="10820" max="10820" width="10.77734375" style="22" customWidth="1"/>
    <col min="10821" max="10821" width="11.44140625" style="22" customWidth="1"/>
    <col min="10822" max="10822" width="4" style="22" customWidth="1"/>
    <col min="10823" max="11013" width="9.6640625" style="22"/>
    <col min="11014" max="11014" width="6.44140625" style="22" customWidth="1"/>
    <col min="11015" max="11015" width="13.88671875" style="22" customWidth="1"/>
    <col min="11016" max="11016" width="11.88671875" style="22" customWidth="1"/>
    <col min="11017" max="11019" width="9.6640625" style="22"/>
    <col min="11020" max="11020" width="15.44140625" style="22" customWidth="1"/>
    <col min="11021" max="11021" width="16.21875" style="22" customWidth="1"/>
    <col min="11022" max="11033" width="9.6640625" style="22"/>
    <col min="11034" max="11034" width="12" style="22" customWidth="1"/>
    <col min="11035" max="11035" width="12.77734375" style="22" customWidth="1"/>
    <col min="11036" max="11036" width="11.109375" style="22" customWidth="1"/>
    <col min="11037" max="11037" width="12" style="22" customWidth="1"/>
    <col min="11038" max="11038" width="9.6640625" style="22"/>
    <col min="11039" max="11039" width="15.33203125" style="22" customWidth="1"/>
    <col min="11040" max="11040" width="15.21875" style="22" customWidth="1"/>
    <col min="11041" max="11041" width="21.44140625" style="22" customWidth="1"/>
    <col min="11042" max="11057" width="9.6640625" style="22"/>
    <col min="11058" max="11059" width="13.44140625" style="22" customWidth="1"/>
    <col min="11060" max="11060" width="9.6640625" style="22"/>
    <col min="11061" max="11061" width="13.88671875" style="22" customWidth="1"/>
    <col min="11062" max="11062" width="10.6640625" style="22" customWidth="1"/>
    <col min="11063" max="11063" width="17.33203125" style="22" customWidth="1"/>
    <col min="11064" max="11065" width="12.6640625" style="22" customWidth="1"/>
    <col min="11066" max="11066" width="11.21875" style="22" customWidth="1"/>
    <col min="11067" max="11067" width="18.33203125" style="22" customWidth="1"/>
    <col min="11068" max="11068" width="12.88671875" style="22" customWidth="1"/>
    <col min="11069" max="11070" width="13.21875" style="22" customWidth="1"/>
    <col min="11071" max="11071" width="10.88671875" style="22" customWidth="1"/>
    <col min="11072" max="11072" width="11.109375" style="22" customWidth="1"/>
    <col min="11073" max="11073" width="15.21875" style="22" customWidth="1"/>
    <col min="11074" max="11074" width="9.6640625" style="22"/>
    <col min="11075" max="11075" width="11" style="22" customWidth="1"/>
    <col min="11076" max="11076" width="10.77734375" style="22" customWidth="1"/>
    <col min="11077" max="11077" width="11.44140625" style="22" customWidth="1"/>
    <col min="11078" max="11078" width="4" style="22" customWidth="1"/>
    <col min="11079" max="11269" width="9.6640625" style="22"/>
    <col min="11270" max="11270" width="6.44140625" style="22" customWidth="1"/>
    <col min="11271" max="11271" width="13.88671875" style="22" customWidth="1"/>
    <col min="11272" max="11272" width="11.88671875" style="22" customWidth="1"/>
    <col min="11273" max="11275" width="9.6640625" style="22"/>
    <col min="11276" max="11276" width="15.44140625" style="22" customWidth="1"/>
    <col min="11277" max="11277" width="16.21875" style="22" customWidth="1"/>
    <col min="11278" max="11289" width="9.6640625" style="22"/>
    <col min="11290" max="11290" width="12" style="22" customWidth="1"/>
    <col min="11291" max="11291" width="12.77734375" style="22" customWidth="1"/>
    <col min="11292" max="11292" width="11.109375" style="22" customWidth="1"/>
    <col min="11293" max="11293" width="12" style="22" customWidth="1"/>
    <col min="11294" max="11294" width="9.6640625" style="22"/>
    <col min="11295" max="11295" width="15.33203125" style="22" customWidth="1"/>
    <col min="11296" max="11296" width="15.21875" style="22" customWidth="1"/>
    <col min="11297" max="11297" width="21.44140625" style="22" customWidth="1"/>
    <col min="11298" max="11313" width="9.6640625" style="22"/>
    <col min="11314" max="11315" width="13.44140625" style="22" customWidth="1"/>
    <col min="11316" max="11316" width="9.6640625" style="22"/>
    <col min="11317" max="11317" width="13.88671875" style="22" customWidth="1"/>
    <col min="11318" max="11318" width="10.6640625" style="22" customWidth="1"/>
    <col min="11319" max="11319" width="17.33203125" style="22" customWidth="1"/>
    <col min="11320" max="11321" width="12.6640625" style="22" customWidth="1"/>
    <col min="11322" max="11322" width="11.21875" style="22" customWidth="1"/>
    <col min="11323" max="11323" width="18.33203125" style="22" customWidth="1"/>
    <col min="11324" max="11324" width="12.88671875" style="22" customWidth="1"/>
    <col min="11325" max="11326" width="13.21875" style="22" customWidth="1"/>
    <col min="11327" max="11327" width="10.88671875" style="22" customWidth="1"/>
    <col min="11328" max="11328" width="11.109375" style="22" customWidth="1"/>
    <col min="11329" max="11329" width="15.21875" style="22" customWidth="1"/>
    <col min="11330" max="11330" width="9.6640625" style="22"/>
    <col min="11331" max="11331" width="11" style="22" customWidth="1"/>
    <col min="11332" max="11332" width="10.77734375" style="22" customWidth="1"/>
    <col min="11333" max="11333" width="11.44140625" style="22" customWidth="1"/>
    <col min="11334" max="11334" width="4" style="22" customWidth="1"/>
    <col min="11335" max="11525" width="9.6640625" style="22"/>
    <col min="11526" max="11526" width="6.44140625" style="22" customWidth="1"/>
    <col min="11527" max="11527" width="13.88671875" style="22" customWidth="1"/>
    <col min="11528" max="11528" width="11.88671875" style="22" customWidth="1"/>
    <col min="11529" max="11531" width="9.6640625" style="22"/>
    <col min="11532" max="11532" width="15.44140625" style="22" customWidth="1"/>
    <col min="11533" max="11533" width="16.21875" style="22" customWidth="1"/>
    <col min="11534" max="11545" width="9.6640625" style="22"/>
    <col min="11546" max="11546" width="12" style="22" customWidth="1"/>
    <col min="11547" max="11547" width="12.77734375" style="22" customWidth="1"/>
    <col min="11548" max="11548" width="11.109375" style="22" customWidth="1"/>
    <col min="11549" max="11549" width="12" style="22" customWidth="1"/>
    <col min="11550" max="11550" width="9.6640625" style="22"/>
    <col min="11551" max="11551" width="15.33203125" style="22" customWidth="1"/>
    <col min="11552" max="11552" width="15.21875" style="22" customWidth="1"/>
    <col min="11553" max="11553" width="21.44140625" style="22" customWidth="1"/>
    <col min="11554" max="11569" width="9.6640625" style="22"/>
    <col min="11570" max="11571" width="13.44140625" style="22" customWidth="1"/>
    <col min="11572" max="11572" width="9.6640625" style="22"/>
    <col min="11573" max="11573" width="13.88671875" style="22" customWidth="1"/>
    <col min="11574" max="11574" width="10.6640625" style="22" customWidth="1"/>
    <col min="11575" max="11575" width="17.33203125" style="22" customWidth="1"/>
    <col min="11576" max="11577" width="12.6640625" style="22" customWidth="1"/>
    <col min="11578" max="11578" width="11.21875" style="22" customWidth="1"/>
    <col min="11579" max="11579" width="18.33203125" style="22" customWidth="1"/>
    <col min="11580" max="11580" width="12.88671875" style="22" customWidth="1"/>
    <col min="11581" max="11582" width="13.21875" style="22" customWidth="1"/>
    <col min="11583" max="11583" width="10.88671875" style="22" customWidth="1"/>
    <col min="11584" max="11584" width="11.109375" style="22" customWidth="1"/>
    <col min="11585" max="11585" width="15.21875" style="22" customWidth="1"/>
    <col min="11586" max="11586" width="9.6640625" style="22"/>
    <col min="11587" max="11587" width="11" style="22" customWidth="1"/>
    <col min="11588" max="11588" width="10.77734375" style="22" customWidth="1"/>
    <col min="11589" max="11589" width="11.44140625" style="22" customWidth="1"/>
    <col min="11590" max="11590" width="4" style="22" customWidth="1"/>
    <col min="11591" max="11781" width="9.6640625" style="22"/>
    <col min="11782" max="11782" width="6.44140625" style="22" customWidth="1"/>
    <col min="11783" max="11783" width="13.88671875" style="22" customWidth="1"/>
    <col min="11784" max="11784" width="11.88671875" style="22" customWidth="1"/>
    <col min="11785" max="11787" width="9.6640625" style="22"/>
    <col min="11788" max="11788" width="15.44140625" style="22" customWidth="1"/>
    <col min="11789" max="11789" width="16.21875" style="22" customWidth="1"/>
    <col min="11790" max="11801" width="9.6640625" style="22"/>
    <col min="11802" max="11802" width="12" style="22" customWidth="1"/>
    <col min="11803" max="11803" width="12.77734375" style="22" customWidth="1"/>
    <col min="11804" max="11804" width="11.109375" style="22" customWidth="1"/>
    <col min="11805" max="11805" width="12" style="22" customWidth="1"/>
    <col min="11806" max="11806" width="9.6640625" style="22"/>
    <col min="11807" max="11807" width="15.33203125" style="22" customWidth="1"/>
    <col min="11808" max="11808" width="15.21875" style="22" customWidth="1"/>
    <col min="11809" max="11809" width="21.44140625" style="22" customWidth="1"/>
    <col min="11810" max="11825" width="9.6640625" style="22"/>
    <col min="11826" max="11827" width="13.44140625" style="22" customWidth="1"/>
    <col min="11828" max="11828" width="9.6640625" style="22"/>
    <col min="11829" max="11829" width="13.88671875" style="22" customWidth="1"/>
    <col min="11830" max="11830" width="10.6640625" style="22" customWidth="1"/>
    <col min="11831" max="11831" width="17.33203125" style="22" customWidth="1"/>
    <col min="11832" max="11833" width="12.6640625" style="22" customWidth="1"/>
    <col min="11834" max="11834" width="11.21875" style="22" customWidth="1"/>
    <col min="11835" max="11835" width="18.33203125" style="22" customWidth="1"/>
    <col min="11836" max="11836" width="12.88671875" style="22" customWidth="1"/>
    <col min="11837" max="11838" width="13.21875" style="22" customWidth="1"/>
    <col min="11839" max="11839" width="10.88671875" style="22" customWidth="1"/>
    <col min="11840" max="11840" width="11.109375" style="22" customWidth="1"/>
    <col min="11841" max="11841" width="15.21875" style="22" customWidth="1"/>
    <col min="11842" max="11842" width="9.6640625" style="22"/>
    <col min="11843" max="11843" width="11" style="22" customWidth="1"/>
    <col min="11844" max="11844" width="10.77734375" style="22" customWidth="1"/>
    <col min="11845" max="11845" width="11.44140625" style="22" customWidth="1"/>
    <col min="11846" max="11846" width="4" style="22" customWidth="1"/>
    <col min="11847" max="12037" width="9.6640625" style="22"/>
    <col min="12038" max="12038" width="6.44140625" style="22" customWidth="1"/>
    <col min="12039" max="12039" width="13.88671875" style="22" customWidth="1"/>
    <col min="12040" max="12040" width="11.88671875" style="22" customWidth="1"/>
    <col min="12041" max="12043" width="9.6640625" style="22"/>
    <col min="12044" max="12044" width="15.44140625" style="22" customWidth="1"/>
    <col min="12045" max="12045" width="16.21875" style="22" customWidth="1"/>
    <col min="12046" max="12057" width="9.6640625" style="22"/>
    <col min="12058" max="12058" width="12" style="22" customWidth="1"/>
    <col min="12059" max="12059" width="12.77734375" style="22" customWidth="1"/>
    <col min="12060" max="12060" width="11.109375" style="22" customWidth="1"/>
    <col min="12061" max="12061" width="12" style="22" customWidth="1"/>
    <col min="12062" max="12062" width="9.6640625" style="22"/>
    <col min="12063" max="12063" width="15.33203125" style="22" customWidth="1"/>
    <col min="12064" max="12064" width="15.21875" style="22" customWidth="1"/>
    <col min="12065" max="12065" width="21.44140625" style="22" customWidth="1"/>
    <col min="12066" max="12081" width="9.6640625" style="22"/>
    <col min="12082" max="12083" width="13.44140625" style="22" customWidth="1"/>
    <col min="12084" max="12084" width="9.6640625" style="22"/>
    <col min="12085" max="12085" width="13.88671875" style="22" customWidth="1"/>
    <col min="12086" max="12086" width="10.6640625" style="22" customWidth="1"/>
    <col min="12087" max="12087" width="17.33203125" style="22" customWidth="1"/>
    <col min="12088" max="12089" width="12.6640625" style="22" customWidth="1"/>
    <col min="12090" max="12090" width="11.21875" style="22" customWidth="1"/>
    <col min="12091" max="12091" width="18.33203125" style="22" customWidth="1"/>
    <col min="12092" max="12092" width="12.88671875" style="22" customWidth="1"/>
    <col min="12093" max="12094" width="13.21875" style="22" customWidth="1"/>
    <col min="12095" max="12095" width="10.88671875" style="22" customWidth="1"/>
    <col min="12096" max="12096" width="11.109375" style="22" customWidth="1"/>
    <col min="12097" max="12097" width="15.21875" style="22" customWidth="1"/>
    <col min="12098" max="12098" width="9.6640625" style="22"/>
    <col min="12099" max="12099" width="11" style="22" customWidth="1"/>
    <col min="12100" max="12100" width="10.77734375" style="22" customWidth="1"/>
    <col min="12101" max="12101" width="11.44140625" style="22" customWidth="1"/>
    <col min="12102" max="12102" width="4" style="22" customWidth="1"/>
    <col min="12103" max="12293" width="9.6640625" style="22"/>
    <col min="12294" max="12294" width="6.44140625" style="22" customWidth="1"/>
    <col min="12295" max="12295" width="13.88671875" style="22" customWidth="1"/>
    <col min="12296" max="12296" width="11.88671875" style="22" customWidth="1"/>
    <col min="12297" max="12299" width="9.6640625" style="22"/>
    <col min="12300" max="12300" width="15.44140625" style="22" customWidth="1"/>
    <col min="12301" max="12301" width="16.21875" style="22" customWidth="1"/>
    <col min="12302" max="12313" width="9.6640625" style="22"/>
    <col min="12314" max="12314" width="12" style="22" customWidth="1"/>
    <col min="12315" max="12315" width="12.77734375" style="22" customWidth="1"/>
    <col min="12316" max="12316" width="11.109375" style="22" customWidth="1"/>
    <col min="12317" max="12317" width="12" style="22" customWidth="1"/>
    <col min="12318" max="12318" width="9.6640625" style="22"/>
    <col min="12319" max="12319" width="15.33203125" style="22" customWidth="1"/>
    <col min="12320" max="12320" width="15.21875" style="22" customWidth="1"/>
    <col min="12321" max="12321" width="21.44140625" style="22" customWidth="1"/>
    <col min="12322" max="12337" width="9.6640625" style="22"/>
    <col min="12338" max="12339" width="13.44140625" style="22" customWidth="1"/>
    <col min="12340" max="12340" width="9.6640625" style="22"/>
    <col min="12341" max="12341" width="13.88671875" style="22" customWidth="1"/>
    <col min="12342" max="12342" width="10.6640625" style="22" customWidth="1"/>
    <col min="12343" max="12343" width="17.33203125" style="22" customWidth="1"/>
    <col min="12344" max="12345" width="12.6640625" style="22" customWidth="1"/>
    <col min="12346" max="12346" width="11.21875" style="22" customWidth="1"/>
    <col min="12347" max="12347" width="18.33203125" style="22" customWidth="1"/>
    <col min="12348" max="12348" width="12.88671875" style="22" customWidth="1"/>
    <col min="12349" max="12350" width="13.21875" style="22" customWidth="1"/>
    <col min="12351" max="12351" width="10.88671875" style="22" customWidth="1"/>
    <col min="12352" max="12352" width="11.109375" style="22" customWidth="1"/>
    <col min="12353" max="12353" width="15.21875" style="22" customWidth="1"/>
    <col min="12354" max="12354" width="9.6640625" style="22"/>
    <col min="12355" max="12355" width="11" style="22" customWidth="1"/>
    <col min="12356" max="12356" width="10.77734375" style="22" customWidth="1"/>
    <col min="12357" max="12357" width="11.44140625" style="22" customWidth="1"/>
    <col min="12358" max="12358" width="4" style="22" customWidth="1"/>
    <col min="12359" max="12549" width="9.6640625" style="22"/>
    <col min="12550" max="12550" width="6.44140625" style="22" customWidth="1"/>
    <col min="12551" max="12551" width="13.88671875" style="22" customWidth="1"/>
    <col min="12552" max="12552" width="11.88671875" style="22" customWidth="1"/>
    <col min="12553" max="12555" width="9.6640625" style="22"/>
    <col min="12556" max="12556" width="15.44140625" style="22" customWidth="1"/>
    <col min="12557" max="12557" width="16.21875" style="22" customWidth="1"/>
    <col min="12558" max="12569" width="9.6640625" style="22"/>
    <col min="12570" max="12570" width="12" style="22" customWidth="1"/>
    <col min="12571" max="12571" width="12.77734375" style="22" customWidth="1"/>
    <col min="12572" max="12572" width="11.109375" style="22" customWidth="1"/>
    <col min="12573" max="12573" width="12" style="22" customWidth="1"/>
    <col min="12574" max="12574" width="9.6640625" style="22"/>
    <col min="12575" max="12575" width="15.33203125" style="22" customWidth="1"/>
    <col min="12576" max="12576" width="15.21875" style="22" customWidth="1"/>
    <col min="12577" max="12577" width="21.44140625" style="22" customWidth="1"/>
    <col min="12578" max="12593" width="9.6640625" style="22"/>
    <col min="12594" max="12595" width="13.44140625" style="22" customWidth="1"/>
    <col min="12596" max="12596" width="9.6640625" style="22"/>
    <col min="12597" max="12597" width="13.88671875" style="22" customWidth="1"/>
    <col min="12598" max="12598" width="10.6640625" style="22" customWidth="1"/>
    <col min="12599" max="12599" width="17.33203125" style="22" customWidth="1"/>
    <col min="12600" max="12601" width="12.6640625" style="22" customWidth="1"/>
    <col min="12602" max="12602" width="11.21875" style="22" customWidth="1"/>
    <col min="12603" max="12603" width="18.33203125" style="22" customWidth="1"/>
    <col min="12604" max="12604" width="12.88671875" style="22" customWidth="1"/>
    <col min="12605" max="12606" width="13.21875" style="22" customWidth="1"/>
    <col min="12607" max="12607" width="10.88671875" style="22" customWidth="1"/>
    <col min="12608" max="12608" width="11.109375" style="22" customWidth="1"/>
    <col min="12609" max="12609" width="15.21875" style="22" customWidth="1"/>
    <col min="12610" max="12610" width="9.6640625" style="22"/>
    <col min="12611" max="12611" width="11" style="22" customWidth="1"/>
    <col min="12612" max="12612" width="10.77734375" style="22" customWidth="1"/>
    <col min="12613" max="12613" width="11.44140625" style="22" customWidth="1"/>
    <col min="12614" max="12614" width="4" style="22" customWidth="1"/>
    <col min="12615" max="12805" width="9.6640625" style="22"/>
    <col min="12806" max="12806" width="6.44140625" style="22" customWidth="1"/>
    <col min="12807" max="12807" width="13.88671875" style="22" customWidth="1"/>
    <col min="12808" max="12808" width="11.88671875" style="22" customWidth="1"/>
    <col min="12809" max="12811" width="9.6640625" style="22"/>
    <col min="12812" max="12812" width="15.44140625" style="22" customWidth="1"/>
    <col min="12813" max="12813" width="16.21875" style="22" customWidth="1"/>
    <col min="12814" max="12825" width="9.6640625" style="22"/>
    <col min="12826" max="12826" width="12" style="22" customWidth="1"/>
    <col min="12827" max="12827" width="12.77734375" style="22" customWidth="1"/>
    <col min="12828" max="12828" width="11.109375" style="22" customWidth="1"/>
    <col min="12829" max="12829" width="12" style="22" customWidth="1"/>
    <col min="12830" max="12830" width="9.6640625" style="22"/>
    <col min="12831" max="12831" width="15.33203125" style="22" customWidth="1"/>
    <col min="12832" max="12832" width="15.21875" style="22" customWidth="1"/>
    <col min="12833" max="12833" width="21.44140625" style="22" customWidth="1"/>
    <col min="12834" max="12849" width="9.6640625" style="22"/>
    <col min="12850" max="12851" width="13.44140625" style="22" customWidth="1"/>
    <col min="12852" max="12852" width="9.6640625" style="22"/>
    <col min="12853" max="12853" width="13.88671875" style="22" customWidth="1"/>
    <col min="12854" max="12854" width="10.6640625" style="22" customWidth="1"/>
    <col min="12855" max="12855" width="17.33203125" style="22" customWidth="1"/>
    <col min="12856" max="12857" width="12.6640625" style="22" customWidth="1"/>
    <col min="12858" max="12858" width="11.21875" style="22" customWidth="1"/>
    <col min="12859" max="12859" width="18.33203125" style="22" customWidth="1"/>
    <col min="12860" max="12860" width="12.88671875" style="22" customWidth="1"/>
    <col min="12861" max="12862" width="13.21875" style="22" customWidth="1"/>
    <col min="12863" max="12863" width="10.88671875" style="22" customWidth="1"/>
    <col min="12864" max="12864" width="11.109375" style="22" customWidth="1"/>
    <col min="12865" max="12865" width="15.21875" style="22" customWidth="1"/>
    <col min="12866" max="12866" width="9.6640625" style="22"/>
    <col min="12867" max="12867" width="11" style="22" customWidth="1"/>
    <col min="12868" max="12868" width="10.77734375" style="22" customWidth="1"/>
    <col min="12869" max="12869" width="11.44140625" style="22" customWidth="1"/>
    <col min="12870" max="12870" width="4" style="22" customWidth="1"/>
    <col min="12871" max="13061" width="9.6640625" style="22"/>
    <col min="13062" max="13062" width="6.44140625" style="22" customWidth="1"/>
    <col min="13063" max="13063" width="13.88671875" style="22" customWidth="1"/>
    <col min="13064" max="13064" width="11.88671875" style="22" customWidth="1"/>
    <col min="13065" max="13067" width="9.6640625" style="22"/>
    <col min="13068" max="13068" width="15.44140625" style="22" customWidth="1"/>
    <col min="13069" max="13069" width="16.21875" style="22" customWidth="1"/>
    <col min="13070" max="13081" width="9.6640625" style="22"/>
    <col min="13082" max="13082" width="12" style="22" customWidth="1"/>
    <col min="13083" max="13083" width="12.77734375" style="22" customWidth="1"/>
    <col min="13084" max="13084" width="11.109375" style="22" customWidth="1"/>
    <col min="13085" max="13085" width="12" style="22" customWidth="1"/>
    <col min="13086" max="13086" width="9.6640625" style="22"/>
    <col min="13087" max="13087" width="15.33203125" style="22" customWidth="1"/>
    <col min="13088" max="13088" width="15.21875" style="22" customWidth="1"/>
    <col min="13089" max="13089" width="21.44140625" style="22" customWidth="1"/>
    <col min="13090" max="13105" width="9.6640625" style="22"/>
    <col min="13106" max="13107" width="13.44140625" style="22" customWidth="1"/>
    <col min="13108" max="13108" width="9.6640625" style="22"/>
    <col min="13109" max="13109" width="13.88671875" style="22" customWidth="1"/>
    <col min="13110" max="13110" width="10.6640625" style="22" customWidth="1"/>
    <col min="13111" max="13111" width="17.33203125" style="22" customWidth="1"/>
    <col min="13112" max="13113" width="12.6640625" style="22" customWidth="1"/>
    <col min="13114" max="13114" width="11.21875" style="22" customWidth="1"/>
    <col min="13115" max="13115" width="18.33203125" style="22" customWidth="1"/>
    <col min="13116" max="13116" width="12.88671875" style="22" customWidth="1"/>
    <col min="13117" max="13118" width="13.21875" style="22" customWidth="1"/>
    <col min="13119" max="13119" width="10.88671875" style="22" customWidth="1"/>
    <col min="13120" max="13120" width="11.109375" style="22" customWidth="1"/>
    <col min="13121" max="13121" width="15.21875" style="22" customWidth="1"/>
    <col min="13122" max="13122" width="9.6640625" style="22"/>
    <col min="13123" max="13123" width="11" style="22" customWidth="1"/>
    <col min="13124" max="13124" width="10.77734375" style="22" customWidth="1"/>
    <col min="13125" max="13125" width="11.44140625" style="22" customWidth="1"/>
    <col min="13126" max="13126" width="4" style="22" customWidth="1"/>
    <col min="13127" max="13317" width="9.6640625" style="22"/>
    <col min="13318" max="13318" width="6.44140625" style="22" customWidth="1"/>
    <col min="13319" max="13319" width="13.88671875" style="22" customWidth="1"/>
    <col min="13320" max="13320" width="11.88671875" style="22" customWidth="1"/>
    <col min="13321" max="13323" width="9.6640625" style="22"/>
    <col min="13324" max="13324" width="15.44140625" style="22" customWidth="1"/>
    <col min="13325" max="13325" width="16.21875" style="22" customWidth="1"/>
    <col min="13326" max="13337" width="9.6640625" style="22"/>
    <col min="13338" max="13338" width="12" style="22" customWidth="1"/>
    <col min="13339" max="13339" width="12.77734375" style="22" customWidth="1"/>
    <col min="13340" max="13340" width="11.109375" style="22" customWidth="1"/>
    <col min="13341" max="13341" width="12" style="22" customWidth="1"/>
    <col min="13342" max="13342" width="9.6640625" style="22"/>
    <col min="13343" max="13343" width="15.33203125" style="22" customWidth="1"/>
    <col min="13344" max="13344" width="15.21875" style="22" customWidth="1"/>
    <col min="13345" max="13345" width="21.44140625" style="22" customWidth="1"/>
    <col min="13346" max="13361" width="9.6640625" style="22"/>
    <col min="13362" max="13363" width="13.44140625" style="22" customWidth="1"/>
    <col min="13364" max="13364" width="9.6640625" style="22"/>
    <col min="13365" max="13365" width="13.88671875" style="22" customWidth="1"/>
    <col min="13366" max="13366" width="10.6640625" style="22" customWidth="1"/>
    <col min="13367" max="13367" width="17.33203125" style="22" customWidth="1"/>
    <col min="13368" max="13369" width="12.6640625" style="22" customWidth="1"/>
    <col min="13370" max="13370" width="11.21875" style="22" customWidth="1"/>
    <col min="13371" max="13371" width="18.33203125" style="22" customWidth="1"/>
    <col min="13372" max="13372" width="12.88671875" style="22" customWidth="1"/>
    <col min="13373" max="13374" width="13.21875" style="22" customWidth="1"/>
    <col min="13375" max="13375" width="10.88671875" style="22" customWidth="1"/>
    <col min="13376" max="13376" width="11.109375" style="22" customWidth="1"/>
    <col min="13377" max="13377" width="15.21875" style="22" customWidth="1"/>
    <col min="13378" max="13378" width="9.6640625" style="22"/>
    <col min="13379" max="13379" width="11" style="22" customWidth="1"/>
    <col min="13380" max="13380" width="10.77734375" style="22" customWidth="1"/>
    <col min="13381" max="13381" width="11.44140625" style="22" customWidth="1"/>
    <col min="13382" max="13382" width="4" style="22" customWidth="1"/>
    <col min="13383" max="13573" width="9.6640625" style="22"/>
    <col min="13574" max="13574" width="6.44140625" style="22" customWidth="1"/>
    <col min="13575" max="13575" width="13.88671875" style="22" customWidth="1"/>
    <col min="13576" max="13576" width="11.88671875" style="22" customWidth="1"/>
    <col min="13577" max="13579" width="9.6640625" style="22"/>
    <col min="13580" max="13580" width="15.44140625" style="22" customWidth="1"/>
    <col min="13581" max="13581" width="16.21875" style="22" customWidth="1"/>
    <col min="13582" max="13593" width="9.6640625" style="22"/>
    <col min="13594" max="13594" width="12" style="22" customWidth="1"/>
    <col min="13595" max="13595" width="12.77734375" style="22" customWidth="1"/>
    <col min="13596" max="13596" width="11.109375" style="22" customWidth="1"/>
    <col min="13597" max="13597" width="12" style="22" customWidth="1"/>
    <col min="13598" max="13598" width="9.6640625" style="22"/>
    <col min="13599" max="13599" width="15.33203125" style="22" customWidth="1"/>
    <col min="13600" max="13600" width="15.21875" style="22" customWidth="1"/>
    <col min="13601" max="13601" width="21.44140625" style="22" customWidth="1"/>
    <col min="13602" max="13617" width="9.6640625" style="22"/>
    <col min="13618" max="13619" width="13.44140625" style="22" customWidth="1"/>
    <col min="13620" max="13620" width="9.6640625" style="22"/>
    <col min="13621" max="13621" width="13.88671875" style="22" customWidth="1"/>
    <col min="13622" max="13622" width="10.6640625" style="22" customWidth="1"/>
    <col min="13623" max="13623" width="17.33203125" style="22" customWidth="1"/>
    <col min="13624" max="13625" width="12.6640625" style="22" customWidth="1"/>
    <col min="13626" max="13626" width="11.21875" style="22" customWidth="1"/>
    <col min="13627" max="13627" width="18.33203125" style="22" customWidth="1"/>
    <col min="13628" max="13628" width="12.88671875" style="22" customWidth="1"/>
    <col min="13629" max="13630" width="13.21875" style="22" customWidth="1"/>
    <col min="13631" max="13631" width="10.88671875" style="22" customWidth="1"/>
    <col min="13632" max="13632" width="11.109375" style="22" customWidth="1"/>
    <col min="13633" max="13633" width="15.21875" style="22" customWidth="1"/>
    <col min="13634" max="13634" width="9.6640625" style="22"/>
    <col min="13635" max="13635" width="11" style="22" customWidth="1"/>
    <col min="13636" max="13636" width="10.77734375" style="22" customWidth="1"/>
    <col min="13637" max="13637" width="11.44140625" style="22" customWidth="1"/>
    <col min="13638" max="13638" width="4" style="22" customWidth="1"/>
    <col min="13639" max="13829" width="9.6640625" style="22"/>
    <col min="13830" max="13830" width="6.44140625" style="22" customWidth="1"/>
    <col min="13831" max="13831" width="13.88671875" style="22" customWidth="1"/>
    <col min="13832" max="13832" width="11.88671875" style="22" customWidth="1"/>
    <col min="13833" max="13835" width="9.6640625" style="22"/>
    <col min="13836" max="13836" width="15.44140625" style="22" customWidth="1"/>
    <col min="13837" max="13837" width="16.21875" style="22" customWidth="1"/>
    <col min="13838" max="13849" width="9.6640625" style="22"/>
    <col min="13850" max="13850" width="12" style="22" customWidth="1"/>
    <col min="13851" max="13851" width="12.77734375" style="22" customWidth="1"/>
    <col min="13852" max="13852" width="11.109375" style="22" customWidth="1"/>
    <col min="13853" max="13853" width="12" style="22" customWidth="1"/>
    <col min="13854" max="13854" width="9.6640625" style="22"/>
    <col min="13855" max="13855" width="15.33203125" style="22" customWidth="1"/>
    <col min="13856" max="13856" width="15.21875" style="22" customWidth="1"/>
    <col min="13857" max="13857" width="21.44140625" style="22" customWidth="1"/>
    <col min="13858" max="13873" width="9.6640625" style="22"/>
    <col min="13874" max="13875" width="13.44140625" style="22" customWidth="1"/>
    <col min="13876" max="13876" width="9.6640625" style="22"/>
    <col min="13877" max="13877" width="13.88671875" style="22" customWidth="1"/>
    <col min="13878" max="13878" width="10.6640625" style="22" customWidth="1"/>
    <col min="13879" max="13879" width="17.33203125" style="22" customWidth="1"/>
    <col min="13880" max="13881" width="12.6640625" style="22" customWidth="1"/>
    <col min="13882" max="13882" width="11.21875" style="22" customWidth="1"/>
    <col min="13883" max="13883" width="18.33203125" style="22" customWidth="1"/>
    <col min="13884" max="13884" width="12.88671875" style="22" customWidth="1"/>
    <col min="13885" max="13886" width="13.21875" style="22" customWidth="1"/>
    <col min="13887" max="13887" width="10.88671875" style="22" customWidth="1"/>
    <col min="13888" max="13888" width="11.109375" style="22" customWidth="1"/>
    <col min="13889" max="13889" width="15.21875" style="22" customWidth="1"/>
    <col min="13890" max="13890" width="9.6640625" style="22"/>
    <col min="13891" max="13891" width="11" style="22" customWidth="1"/>
    <col min="13892" max="13892" width="10.77734375" style="22" customWidth="1"/>
    <col min="13893" max="13893" width="11.44140625" style="22" customWidth="1"/>
    <col min="13894" max="13894" width="4" style="22" customWidth="1"/>
    <col min="13895" max="14085" width="9.6640625" style="22"/>
    <col min="14086" max="14086" width="6.44140625" style="22" customWidth="1"/>
    <col min="14087" max="14087" width="13.88671875" style="22" customWidth="1"/>
    <col min="14088" max="14088" width="11.88671875" style="22" customWidth="1"/>
    <col min="14089" max="14091" width="9.6640625" style="22"/>
    <col min="14092" max="14092" width="15.44140625" style="22" customWidth="1"/>
    <col min="14093" max="14093" width="16.21875" style="22" customWidth="1"/>
    <col min="14094" max="14105" width="9.6640625" style="22"/>
    <col min="14106" max="14106" width="12" style="22" customWidth="1"/>
    <col min="14107" max="14107" width="12.77734375" style="22" customWidth="1"/>
    <col min="14108" max="14108" width="11.109375" style="22" customWidth="1"/>
    <col min="14109" max="14109" width="12" style="22" customWidth="1"/>
    <col min="14110" max="14110" width="9.6640625" style="22"/>
    <col min="14111" max="14111" width="15.33203125" style="22" customWidth="1"/>
    <col min="14112" max="14112" width="15.21875" style="22" customWidth="1"/>
    <col min="14113" max="14113" width="21.44140625" style="22" customWidth="1"/>
    <col min="14114" max="14129" width="9.6640625" style="22"/>
    <col min="14130" max="14131" width="13.44140625" style="22" customWidth="1"/>
    <col min="14132" max="14132" width="9.6640625" style="22"/>
    <col min="14133" max="14133" width="13.88671875" style="22" customWidth="1"/>
    <col min="14134" max="14134" width="10.6640625" style="22" customWidth="1"/>
    <col min="14135" max="14135" width="17.33203125" style="22" customWidth="1"/>
    <col min="14136" max="14137" width="12.6640625" style="22" customWidth="1"/>
    <col min="14138" max="14138" width="11.21875" style="22" customWidth="1"/>
    <col min="14139" max="14139" width="18.33203125" style="22" customWidth="1"/>
    <col min="14140" max="14140" width="12.88671875" style="22" customWidth="1"/>
    <col min="14141" max="14142" width="13.21875" style="22" customWidth="1"/>
    <col min="14143" max="14143" width="10.88671875" style="22" customWidth="1"/>
    <col min="14144" max="14144" width="11.109375" style="22" customWidth="1"/>
    <col min="14145" max="14145" width="15.21875" style="22" customWidth="1"/>
    <col min="14146" max="14146" width="9.6640625" style="22"/>
    <col min="14147" max="14147" width="11" style="22" customWidth="1"/>
    <col min="14148" max="14148" width="10.77734375" style="22" customWidth="1"/>
    <col min="14149" max="14149" width="11.44140625" style="22" customWidth="1"/>
    <col min="14150" max="14150" width="4" style="22" customWidth="1"/>
    <col min="14151" max="14341" width="9.6640625" style="22"/>
    <col min="14342" max="14342" width="6.44140625" style="22" customWidth="1"/>
    <col min="14343" max="14343" width="13.88671875" style="22" customWidth="1"/>
    <col min="14344" max="14344" width="11.88671875" style="22" customWidth="1"/>
    <col min="14345" max="14347" width="9.6640625" style="22"/>
    <col min="14348" max="14348" width="15.44140625" style="22" customWidth="1"/>
    <col min="14349" max="14349" width="16.21875" style="22" customWidth="1"/>
    <col min="14350" max="14361" width="9.6640625" style="22"/>
    <col min="14362" max="14362" width="12" style="22" customWidth="1"/>
    <col min="14363" max="14363" width="12.77734375" style="22" customWidth="1"/>
    <col min="14364" max="14364" width="11.109375" style="22" customWidth="1"/>
    <col min="14365" max="14365" width="12" style="22" customWidth="1"/>
    <col min="14366" max="14366" width="9.6640625" style="22"/>
    <col min="14367" max="14367" width="15.33203125" style="22" customWidth="1"/>
    <col min="14368" max="14368" width="15.21875" style="22" customWidth="1"/>
    <col min="14369" max="14369" width="21.44140625" style="22" customWidth="1"/>
    <col min="14370" max="14385" width="9.6640625" style="22"/>
    <col min="14386" max="14387" width="13.44140625" style="22" customWidth="1"/>
    <col min="14388" max="14388" width="9.6640625" style="22"/>
    <col min="14389" max="14389" width="13.88671875" style="22" customWidth="1"/>
    <col min="14390" max="14390" width="10.6640625" style="22" customWidth="1"/>
    <col min="14391" max="14391" width="17.33203125" style="22" customWidth="1"/>
    <col min="14392" max="14393" width="12.6640625" style="22" customWidth="1"/>
    <col min="14394" max="14394" width="11.21875" style="22" customWidth="1"/>
    <col min="14395" max="14395" width="18.33203125" style="22" customWidth="1"/>
    <col min="14396" max="14396" width="12.88671875" style="22" customWidth="1"/>
    <col min="14397" max="14398" width="13.21875" style="22" customWidth="1"/>
    <col min="14399" max="14399" width="10.88671875" style="22" customWidth="1"/>
    <col min="14400" max="14400" width="11.109375" style="22" customWidth="1"/>
    <col min="14401" max="14401" width="15.21875" style="22" customWidth="1"/>
    <col min="14402" max="14402" width="9.6640625" style="22"/>
    <col min="14403" max="14403" width="11" style="22" customWidth="1"/>
    <col min="14404" max="14404" width="10.77734375" style="22" customWidth="1"/>
    <col min="14405" max="14405" width="11.44140625" style="22" customWidth="1"/>
    <col min="14406" max="14406" width="4" style="22" customWidth="1"/>
    <col min="14407" max="14597" width="9.6640625" style="22"/>
    <col min="14598" max="14598" width="6.44140625" style="22" customWidth="1"/>
    <col min="14599" max="14599" width="13.88671875" style="22" customWidth="1"/>
    <col min="14600" max="14600" width="11.88671875" style="22" customWidth="1"/>
    <col min="14601" max="14603" width="9.6640625" style="22"/>
    <col min="14604" max="14604" width="15.44140625" style="22" customWidth="1"/>
    <col min="14605" max="14605" width="16.21875" style="22" customWidth="1"/>
    <col min="14606" max="14617" width="9.6640625" style="22"/>
    <col min="14618" max="14618" width="12" style="22" customWidth="1"/>
    <col min="14619" max="14619" width="12.77734375" style="22" customWidth="1"/>
    <col min="14620" max="14620" width="11.109375" style="22" customWidth="1"/>
    <col min="14621" max="14621" width="12" style="22" customWidth="1"/>
    <col min="14622" max="14622" width="9.6640625" style="22"/>
    <col min="14623" max="14623" width="15.33203125" style="22" customWidth="1"/>
    <col min="14624" max="14624" width="15.21875" style="22" customWidth="1"/>
    <col min="14625" max="14625" width="21.44140625" style="22" customWidth="1"/>
    <col min="14626" max="14641" width="9.6640625" style="22"/>
    <col min="14642" max="14643" width="13.44140625" style="22" customWidth="1"/>
    <col min="14644" max="14644" width="9.6640625" style="22"/>
    <col min="14645" max="14645" width="13.88671875" style="22" customWidth="1"/>
    <col min="14646" max="14646" width="10.6640625" style="22" customWidth="1"/>
    <col min="14647" max="14647" width="17.33203125" style="22" customWidth="1"/>
    <col min="14648" max="14649" width="12.6640625" style="22" customWidth="1"/>
    <col min="14650" max="14650" width="11.21875" style="22" customWidth="1"/>
    <col min="14651" max="14651" width="18.33203125" style="22" customWidth="1"/>
    <col min="14652" max="14652" width="12.88671875" style="22" customWidth="1"/>
    <col min="14653" max="14654" width="13.21875" style="22" customWidth="1"/>
    <col min="14655" max="14655" width="10.88671875" style="22" customWidth="1"/>
    <col min="14656" max="14656" width="11.109375" style="22" customWidth="1"/>
    <col min="14657" max="14657" width="15.21875" style="22" customWidth="1"/>
    <col min="14658" max="14658" width="9.6640625" style="22"/>
    <col min="14659" max="14659" width="11" style="22" customWidth="1"/>
    <col min="14660" max="14660" width="10.77734375" style="22" customWidth="1"/>
    <col min="14661" max="14661" width="11.44140625" style="22" customWidth="1"/>
    <col min="14662" max="14662" width="4" style="22" customWidth="1"/>
    <col min="14663" max="14853" width="9.6640625" style="22"/>
    <col min="14854" max="14854" width="6.44140625" style="22" customWidth="1"/>
    <col min="14855" max="14855" width="13.88671875" style="22" customWidth="1"/>
    <col min="14856" max="14856" width="11.88671875" style="22" customWidth="1"/>
    <col min="14857" max="14859" width="9.6640625" style="22"/>
    <col min="14860" max="14860" width="15.44140625" style="22" customWidth="1"/>
    <col min="14861" max="14861" width="16.21875" style="22" customWidth="1"/>
    <col min="14862" max="14873" width="9.6640625" style="22"/>
    <col min="14874" max="14874" width="12" style="22" customWidth="1"/>
    <col min="14875" max="14875" width="12.77734375" style="22" customWidth="1"/>
    <col min="14876" max="14876" width="11.109375" style="22" customWidth="1"/>
    <col min="14877" max="14877" width="12" style="22" customWidth="1"/>
    <col min="14878" max="14878" width="9.6640625" style="22"/>
    <col min="14879" max="14879" width="15.33203125" style="22" customWidth="1"/>
    <col min="14880" max="14880" width="15.21875" style="22" customWidth="1"/>
    <col min="14881" max="14881" width="21.44140625" style="22" customWidth="1"/>
    <col min="14882" max="14897" width="9.6640625" style="22"/>
    <col min="14898" max="14899" width="13.44140625" style="22" customWidth="1"/>
    <col min="14900" max="14900" width="9.6640625" style="22"/>
    <col min="14901" max="14901" width="13.88671875" style="22" customWidth="1"/>
    <col min="14902" max="14902" width="10.6640625" style="22" customWidth="1"/>
    <col min="14903" max="14903" width="17.33203125" style="22" customWidth="1"/>
    <col min="14904" max="14905" width="12.6640625" style="22" customWidth="1"/>
    <col min="14906" max="14906" width="11.21875" style="22" customWidth="1"/>
    <col min="14907" max="14907" width="18.33203125" style="22" customWidth="1"/>
    <col min="14908" max="14908" width="12.88671875" style="22" customWidth="1"/>
    <col min="14909" max="14910" width="13.21875" style="22" customWidth="1"/>
    <col min="14911" max="14911" width="10.88671875" style="22" customWidth="1"/>
    <col min="14912" max="14912" width="11.109375" style="22" customWidth="1"/>
    <col min="14913" max="14913" width="15.21875" style="22" customWidth="1"/>
    <col min="14914" max="14914" width="9.6640625" style="22"/>
    <col min="14915" max="14915" width="11" style="22" customWidth="1"/>
    <col min="14916" max="14916" width="10.77734375" style="22" customWidth="1"/>
    <col min="14917" max="14917" width="11.44140625" style="22" customWidth="1"/>
    <col min="14918" max="14918" width="4" style="22" customWidth="1"/>
    <col min="14919" max="15109" width="9.6640625" style="22"/>
    <col min="15110" max="15110" width="6.44140625" style="22" customWidth="1"/>
    <col min="15111" max="15111" width="13.88671875" style="22" customWidth="1"/>
    <col min="15112" max="15112" width="11.88671875" style="22" customWidth="1"/>
    <col min="15113" max="15115" width="9.6640625" style="22"/>
    <col min="15116" max="15116" width="15.44140625" style="22" customWidth="1"/>
    <col min="15117" max="15117" width="16.21875" style="22" customWidth="1"/>
    <col min="15118" max="15129" width="9.6640625" style="22"/>
    <col min="15130" max="15130" width="12" style="22" customWidth="1"/>
    <col min="15131" max="15131" width="12.77734375" style="22" customWidth="1"/>
    <col min="15132" max="15132" width="11.109375" style="22" customWidth="1"/>
    <col min="15133" max="15133" width="12" style="22" customWidth="1"/>
    <col min="15134" max="15134" width="9.6640625" style="22"/>
    <col min="15135" max="15135" width="15.33203125" style="22" customWidth="1"/>
    <col min="15136" max="15136" width="15.21875" style="22" customWidth="1"/>
    <col min="15137" max="15137" width="21.44140625" style="22" customWidth="1"/>
    <col min="15138" max="15153" width="9.6640625" style="22"/>
    <col min="15154" max="15155" width="13.44140625" style="22" customWidth="1"/>
    <col min="15156" max="15156" width="9.6640625" style="22"/>
    <col min="15157" max="15157" width="13.88671875" style="22" customWidth="1"/>
    <col min="15158" max="15158" width="10.6640625" style="22" customWidth="1"/>
    <col min="15159" max="15159" width="17.33203125" style="22" customWidth="1"/>
    <col min="15160" max="15161" width="12.6640625" style="22" customWidth="1"/>
    <col min="15162" max="15162" width="11.21875" style="22" customWidth="1"/>
    <col min="15163" max="15163" width="18.33203125" style="22" customWidth="1"/>
    <col min="15164" max="15164" width="12.88671875" style="22" customWidth="1"/>
    <col min="15165" max="15166" width="13.21875" style="22" customWidth="1"/>
    <col min="15167" max="15167" width="10.88671875" style="22" customWidth="1"/>
    <col min="15168" max="15168" width="11.109375" style="22" customWidth="1"/>
    <col min="15169" max="15169" width="15.21875" style="22" customWidth="1"/>
    <col min="15170" max="15170" width="9.6640625" style="22"/>
    <col min="15171" max="15171" width="11" style="22" customWidth="1"/>
    <col min="15172" max="15172" width="10.77734375" style="22" customWidth="1"/>
    <col min="15173" max="15173" width="11.44140625" style="22" customWidth="1"/>
    <col min="15174" max="15174" width="4" style="22" customWidth="1"/>
    <col min="15175" max="15365" width="9.6640625" style="22"/>
    <col min="15366" max="15366" width="6.44140625" style="22" customWidth="1"/>
    <col min="15367" max="15367" width="13.88671875" style="22" customWidth="1"/>
    <col min="15368" max="15368" width="11.88671875" style="22" customWidth="1"/>
    <col min="15369" max="15371" width="9.6640625" style="22"/>
    <col min="15372" max="15372" width="15.44140625" style="22" customWidth="1"/>
    <col min="15373" max="15373" width="16.21875" style="22" customWidth="1"/>
    <col min="15374" max="15385" width="9.6640625" style="22"/>
    <col min="15386" max="15386" width="12" style="22" customWidth="1"/>
    <col min="15387" max="15387" width="12.77734375" style="22" customWidth="1"/>
    <col min="15388" max="15388" width="11.109375" style="22" customWidth="1"/>
    <col min="15389" max="15389" width="12" style="22" customWidth="1"/>
    <col min="15390" max="15390" width="9.6640625" style="22"/>
    <col min="15391" max="15391" width="15.33203125" style="22" customWidth="1"/>
    <col min="15392" max="15392" width="15.21875" style="22" customWidth="1"/>
    <col min="15393" max="15393" width="21.44140625" style="22" customWidth="1"/>
    <col min="15394" max="15409" width="9.6640625" style="22"/>
    <col min="15410" max="15411" width="13.44140625" style="22" customWidth="1"/>
    <col min="15412" max="15412" width="9.6640625" style="22"/>
    <col min="15413" max="15413" width="13.88671875" style="22" customWidth="1"/>
    <col min="15414" max="15414" width="10.6640625" style="22" customWidth="1"/>
    <col min="15415" max="15415" width="17.33203125" style="22" customWidth="1"/>
    <col min="15416" max="15417" width="12.6640625" style="22" customWidth="1"/>
    <col min="15418" max="15418" width="11.21875" style="22" customWidth="1"/>
    <col min="15419" max="15419" width="18.33203125" style="22" customWidth="1"/>
    <col min="15420" max="15420" width="12.88671875" style="22" customWidth="1"/>
    <col min="15421" max="15422" width="13.21875" style="22" customWidth="1"/>
    <col min="15423" max="15423" width="10.88671875" style="22" customWidth="1"/>
    <col min="15424" max="15424" width="11.109375" style="22" customWidth="1"/>
    <col min="15425" max="15425" width="15.21875" style="22" customWidth="1"/>
    <col min="15426" max="15426" width="9.6640625" style="22"/>
    <col min="15427" max="15427" width="11" style="22" customWidth="1"/>
    <col min="15428" max="15428" width="10.77734375" style="22" customWidth="1"/>
    <col min="15429" max="15429" width="11.44140625" style="22" customWidth="1"/>
    <col min="15430" max="15430" width="4" style="22" customWidth="1"/>
    <col min="15431" max="15621" width="9.6640625" style="22"/>
    <col min="15622" max="15622" width="6.44140625" style="22" customWidth="1"/>
    <col min="15623" max="15623" width="13.88671875" style="22" customWidth="1"/>
    <col min="15624" max="15624" width="11.88671875" style="22" customWidth="1"/>
    <col min="15625" max="15627" width="9.6640625" style="22"/>
    <col min="15628" max="15628" width="15.44140625" style="22" customWidth="1"/>
    <col min="15629" max="15629" width="16.21875" style="22" customWidth="1"/>
    <col min="15630" max="15641" width="9.6640625" style="22"/>
    <col min="15642" max="15642" width="12" style="22" customWidth="1"/>
    <col min="15643" max="15643" width="12.77734375" style="22" customWidth="1"/>
    <col min="15644" max="15644" width="11.109375" style="22" customWidth="1"/>
    <col min="15645" max="15645" width="12" style="22" customWidth="1"/>
    <col min="15646" max="15646" width="9.6640625" style="22"/>
    <col min="15647" max="15647" width="15.33203125" style="22" customWidth="1"/>
    <col min="15648" max="15648" width="15.21875" style="22" customWidth="1"/>
    <col min="15649" max="15649" width="21.44140625" style="22" customWidth="1"/>
    <col min="15650" max="15665" width="9.6640625" style="22"/>
    <col min="15666" max="15667" width="13.44140625" style="22" customWidth="1"/>
    <col min="15668" max="15668" width="9.6640625" style="22"/>
    <col min="15669" max="15669" width="13.88671875" style="22" customWidth="1"/>
    <col min="15670" max="15670" width="10.6640625" style="22" customWidth="1"/>
    <col min="15671" max="15671" width="17.33203125" style="22" customWidth="1"/>
    <col min="15672" max="15673" width="12.6640625" style="22" customWidth="1"/>
    <col min="15674" max="15674" width="11.21875" style="22" customWidth="1"/>
    <col min="15675" max="15675" width="18.33203125" style="22" customWidth="1"/>
    <col min="15676" max="15676" width="12.88671875" style="22" customWidth="1"/>
    <col min="15677" max="15678" width="13.21875" style="22" customWidth="1"/>
    <col min="15679" max="15679" width="10.88671875" style="22" customWidth="1"/>
    <col min="15680" max="15680" width="11.109375" style="22" customWidth="1"/>
    <col min="15681" max="15681" width="15.21875" style="22" customWidth="1"/>
    <col min="15682" max="15682" width="9.6640625" style="22"/>
    <col min="15683" max="15683" width="11" style="22" customWidth="1"/>
    <col min="15684" max="15684" width="10.77734375" style="22" customWidth="1"/>
    <col min="15685" max="15685" width="11.44140625" style="22" customWidth="1"/>
    <col min="15686" max="15686" width="4" style="22" customWidth="1"/>
    <col min="15687" max="15877" width="9.6640625" style="22"/>
    <col min="15878" max="15878" width="6.44140625" style="22" customWidth="1"/>
    <col min="15879" max="15879" width="13.88671875" style="22" customWidth="1"/>
    <col min="15880" max="15880" width="11.88671875" style="22" customWidth="1"/>
    <col min="15881" max="15883" width="9.6640625" style="22"/>
    <col min="15884" max="15884" width="15.44140625" style="22" customWidth="1"/>
    <col min="15885" max="15885" width="16.21875" style="22" customWidth="1"/>
    <col min="15886" max="15897" width="9.6640625" style="22"/>
    <col min="15898" max="15898" width="12" style="22" customWidth="1"/>
    <col min="15899" max="15899" width="12.77734375" style="22" customWidth="1"/>
    <col min="15900" max="15900" width="11.109375" style="22" customWidth="1"/>
    <col min="15901" max="15901" width="12" style="22" customWidth="1"/>
    <col min="15902" max="15902" width="9.6640625" style="22"/>
    <col min="15903" max="15903" width="15.33203125" style="22" customWidth="1"/>
    <col min="15904" max="15904" width="15.21875" style="22" customWidth="1"/>
    <col min="15905" max="15905" width="21.44140625" style="22" customWidth="1"/>
    <col min="15906" max="15921" width="9.6640625" style="22"/>
    <col min="15922" max="15923" width="13.44140625" style="22" customWidth="1"/>
    <col min="15924" max="15924" width="9.6640625" style="22"/>
    <col min="15925" max="15925" width="13.88671875" style="22" customWidth="1"/>
    <col min="15926" max="15926" width="10.6640625" style="22" customWidth="1"/>
    <col min="15927" max="15927" width="17.33203125" style="22" customWidth="1"/>
    <col min="15928" max="15929" width="12.6640625" style="22" customWidth="1"/>
    <col min="15930" max="15930" width="11.21875" style="22" customWidth="1"/>
    <col min="15931" max="15931" width="18.33203125" style="22" customWidth="1"/>
    <col min="15932" max="15932" width="12.88671875" style="22" customWidth="1"/>
    <col min="15933" max="15934" width="13.21875" style="22" customWidth="1"/>
    <col min="15935" max="15935" width="10.88671875" style="22" customWidth="1"/>
    <col min="15936" max="15936" width="11.109375" style="22" customWidth="1"/>
    <col min="15937" max="15937" width="15.21875" style="22" customWidth="1"/>
    <col min="15938" max="15938" width="9.6640625" style="22"/>
    <col min="15939" max="15939" width="11" style="22" customWidth="1"/>
    <col min="15940" max="15940" width="10.77734375" style="22" customWidth="1"/>
    <col min="15941" max="15941" width="11.44140625" style="22" customWidth="1"/>
    <col min="15942" max="15942" width="4" style="22" customWidth="1"/>
    <col min="15943" max="16133" width="9.6640625" style="22"/>
    <col min="16134" max="16134" width="6.44140625" style="22" customWidth="1"/>
    <col min="16135" max="16135" width="13.88671875" style="22" customWidth="1"/>
    <col min="16136" max="16136" width="11.88671875" style="22" customWidth="1"/>
    <col min="16137" max="16139" width="9.6640625" style="22"/>
    <col min="16140" max="16140" width="15.44140625" style="22" customWidth="1"/>
    <col min="16141" max="16141" width="16.21875" style="22" customWidth="1"/>
    <col min="16142" max="16153" width="9.6640625" style="22"/>
    <col min="16154" max="16154" width="12" style="22" customWidth="1"/>
    <col min="16155" max="16155" width="12.77734375" style="22" customWidth="1"/>
    <col min="16156" max="16156" width="11.109375" style="22" customWidth="1"/>
    <col min="16157" max="16157" width="12" style="22" customWidth="1"/>
    <col min="16158" max="16158" width="9.6640625" style="22"/>
    <col min="16159" max="16159" width="15.33203125" style="22" customWidth="1"/>
    <col min="16160" max="16160" width="15.21875" style="22" customWidth="1"/>
    <col min="16161" max="16161" width="21.44140625" style="22" customWidth="1"/>
    <col min="16162" max="16177" width="9.6640625" style="22"/>
    <col min="16178" max="16179" width="13.44140625" style="22" customWidth="1"/>
    <col min="16180" max="16180" width="9.6640625" style="22"/>
    <col min="16181" max="16181" width="13.88671875" style="22" customWidth="1"/>
    <col min="16182" max="16182" width="10.6640625" style="22" customWidth="1"/>
    <col min="16183" max="16183" width="17.33203125" style="22" customWidth="1"/>
    <col min="16184" max="16185" width="12.6640625" style="22" customWidth="1"/>
    <col min="16186" max="16186" width="11.21875" style="22" customWidth="1"/>
    <col min="16187" max="16187" width="18.33203125" style="22" customWidth="1"/>
    <col min="16188" max="16188" width="12.88671875" style="22" customWidth="1"/>
    <col min="16189" max="16190" width="13.21875" style="22" customWidth="1"/>
    <col min="16191" max="16191" width="10.88671875" style="22" customWidth="1"/>
    <col min="16192" max="16192" width="11.109375" style="22" customWidth="1"/>
    <col min="16193" max="16193" width="15.21875" style="22" customWidth="1"/>
    <col min="16194" max="16194" width="9.6640625" style="22"/>
    <col min="16195" max="16195" width="11" style="22" customWidth="1"/>
    <col min="16196" max="16196" width="10.77734375" style="22" customWidth="1"/>
    <col min="16197" max="16197" width="11.44140625" style="22" customWidth="1"/>
    <col min="16198" max="16198" width="4" style="22" customWidth="1"/>
    <col min="16199" max="16384" width="9.6640625" style="22"/>
  </cols>
  <sheetData>
    <row r="1" spans="1:93" ht="13.2" x14ac:dyDescent="0.2">
      <c r="A1" s="21" t="s">
        <v>31</v>
      </c>
    </row>
    <row r="2" spans="1:93" x14ac:dyDescent="0.2">
      <c r="C2" s="24" t="s">
        <v>32</v>
      </c>
      <c r="H2" s="24"/>
    </row>
    <row r="3" spans="1:93" s="23" customFormat="1" x14ac:dyDescent="0.2">
      <c r="A3" s="25"/>
      <c r="B3" s="26" t="s">
        <v>33</v>
      </c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27"/>
      <c r="AN3" s="27"/>
      <c r="AO3" s="27"/>
      <c r="AP3" s="27"/>
      <c r="AQ3" s="27"/>
      <c r="AR3" s="27"/>
      <c r="AS3" s="27"/>
      <c r="AT3" s="27"/>
      <c r="AU3" s="27"/>
      <c r="AV3" s="27"/>
      <c r="AW3" s="27"/>
      <c r="AX3" s="27"/>
      <c r="AY3" s="27"/>
      <c r="AZ3" s="27"/>
      <c r="BA3" s="27"/>
      <c r="BB3" s="27"/>
      <c r="BC3" s="27"/>
      <c r="BD3" s="27"/>
      <c r="BE3" s="27"/>
      <c r="BF3" s="27"/>
      <c r="BG3" s="27"/>
      <c r="BH3" s="27"/>
      <c r="BI3" s="27"/>
      <c r="BJ3" s="27"/>
      <c r="BK3" s="27"/>
      <c r="BL3" s="27"/>
      <c r="BM3" s="27"/>
      <c r="BN3" s="27"/>
      <c r="BO3" s="27"/>
      <c r="BP3" s="27"/>
      <c r="BQ3" s="27"/>
      <c r="BR3" s="27"/>
      <c r="BS3" s="27"/>
      <c r="BT3" s="27"/>
      <c r="BU3" s="27"/>
      <c r="BV3" s="27"/>
      <c r="BW3" s="27"/>
      <c r="BX3" s="27"/>
      <c r="BY3" s="27"/>
      <c r="BZ3" s="27"/>
      <c r="CA3" s="27"/>
      <c r="CB3" s="27"/>
      <c r="CC3" s="28"/>
      <c r="CD3" s="28"/>
      <c r="CE3" s="28"/>
      <c r="CF3" s="28"/>
      <c r="CG3" s="28"/>
      <c r="CH3" s="28"/>
      <c r="CI3" s="28"/>
      <c r="CJ3" s="28"/>
      <c r="CK3" s="28"/>
      <c r="CL3" s="28"/>
      <c r="CM3" s="28"/>
      <c r="CN3" s="28"/>
      <c r="CO3" s="28"/>
    </row>
    <row r="4" spans="1:93" s="23" customFormat="1" x14ac:dyDescent="0.2">
      <c r="A4" s="25"/>
      <c r="B4" s="29" t="s">
        <v>34</v>
      </c>
      <c r="C4" s="27" t="s">
        <v>199</v>
      </c>
      <c r="D4" s="27" t="s">
        <v>205</v>
      </c>
      <c r="E4" s="27" t="s">
        <v>205</v>
      </c>
      <c r="F4" s="27" t="s">
        <v>28</v>
      </c>
      <c r="G4" s="27" t="s">
        <v>199</v>
      </c>
      <c r="H4" s="27" t="s">
        <v>199</v>
      </c>
      <c r="I4" s="27" t="s">
        <v>205</v>
      </c>
      <c r="J4" s="27" t="s">
        <v>196</v>
      </c>
      <c r="K4" s="27" t="s">
        <v>205</v>
      </c>
      <c r="L4" s="27" t="s">
        <v>205</v>
      </c>
      <c r="M4" s="27" t="s">
        <v>252</v>
      </c>
      <c r="N4" s="27" t="s">
        <v>195</v>
      </c>
      <c r="O4" s="27" t="s">
        <v>200</v>
      </c>
      <c r="P4" s="27" t="s">
        <v>196</v>
      </c>
      <c r="Q4" s="27" t="s">
        <v>205</v>
      </c>
      <c r="R4" s="27" t="s">
        <v>195</v>
      </c>
      <c r="S4" s="27" t="s">
        <v>205</v>
      </c>
      <c r="T4" s="27" t="s">
        <v>199</v>
      </c>
      <c r="U4" s="27" t="s">
        <v>200</v>
      </c>
      <c r="V4" s="27" t="s">
        <v>195</v>
      </c>
      <c r="W4" s="27" t="s">
        <v>205</v>
      </c>
      <c r="X4" s="27" t="s">
        <v>207</v>
      </c>
      <c r="Y4" s="27" t="s">
        <v>196</v>
      </c>
      <c r="Z4" s="27" t="s">
        <v>205</v>
      </c>
      <c r="AA4" s="27" t="s">
        <v>205</v>
      </c>
      <c r="AB4" s="27" t="s">
        <v>198</v>
      </c>
      <c r="AC4" s="27" t="s">
        <v>195</v>
      </c>
      <c r="AD4" s="27" t="s">
        <v>196</v>
      </c>
      <c r="AE4" s="27" t="s">
        <v>206</v>
      </c>
      <c r="AF4" s="27" t="s">
        <v>199</v>
      </c>
      <c r="AG4" s="27" t="s">
        <v>196</v>
      </c>
      <c r="AH4" s="27" t="s">
        <v>205</v>
      </c>
      <c r="AI4" s="27" t="s">
        <v>200</v>
      </c>
      <c r="AJ4" s="27" t="s">
        <v>195</v>
      </c>
      <c r="AK4" s="27" t="s">
        <v>196</v>
      </c>
      <c r="AL4" s="27" t="s">
        <v>205</v>
      </c>
      <c r="AM4" s="27" t="s">
        <v>205</v>
      </c>
      <c r="AN4" s="27" t="s">
        <v>195</v>
      </c>
      <c r="AO4" s="27" t="s">
        <v>205</v>
      </c>
      <c r="AP4" s="27" t="s">
        <v>195</v>
      </c>
      <c r="AQ4" s="27" t="s">
        <v>205</v>
      </c>
      <c r="AR4" s="27" t="s">
        <v>199</v>
      </c>
      <c r="AS4" s="27" t="s">
        <v>205</v>
      </c>
      <c r="AT4" s="27" t="s">
        <v>205</v>
      </c>
      <c r="AU4" s="27" t="s">
        <v>200</v>
      </c>
      <c r="AV4" s="27"/>
      <c r="AW4" s="27"/>
      <c r="AX4" s="27"/>
      <c r="AY4" s="27"/>
      <c r="AZ4" s="27"/>
      <c r="BA4" s="27"/>
      <c r="BB4" s="27"/>
      <c r="BC4" s="27"/>
      <c r="BD4" s="27"/>
      <c r="BE4" s="27"/>
      <c r="BF4" s="27"/>
      <c r="BG4" s="27"/>
      <c r="BH4" s="27"/>
      <c r="BI4" s="27"/>
      <c r="BJ4" s="27"/>
      <c r="BK4" s="27"/>
      <c r="BL4" s="27"/>
      <c r="BM4" s="27"/>
      <c r="BN4" s="27"/>
      <c r="BO4" s="27"/>
      <c r="BP4" s="27"/>
      <c r="BQ4" s="27"/>
      <c r="BR4" s="27"/>
      <c r="BS4" s="27"/>
      <c r="BT4" s="27"/>
      <c r="BU4" s="27"/>
      <c r="BV4" s="27"/>
      <c r="BW4" s="27"/>
      <c r="BX4" s="27"/>
      <c r="BY4" s="27"/>
      <c r="BZ4" s="27"/>
      <c r="CA4" s="27"/>
      <c r="CB4" s="27"/>
      <c r="CC4" s="28"/>
      <c r="CD4" s="28"/>
      <c r="CE4" s="28"/>
      <c r="CF4" s="28"/>
      <c r="CG4" s="28"/>
      <c r="CH4" s="28"/>
      <c r="CI4" s="28"/>
      <c r="CJ4" s="28"/>
      <c r="CK4" s="28"/>
      <c r="CL4" s="28"/>
      <c r="CM4" s="28"/>
      <c r="CN4" s="28"/>
      <c r="CO4" s="28"/>
    </row>
    <row r="5" spans="1:93" s="23" customFormat="1" x14ac:dyDescent="0.2">
      <c r="A5" s="25"/>
      <c r="B5" s="26" t="s">
        <v>35</v>
      </c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27"/>
      <c r="AJ5" s="27"/>
      <c r="AK5" s="27"/>
      <c r="AL5" s="27"/>
      <c r="AM5" s="27"/>
      <c r="AN5" s="27"/>
      <c r="AO5" s="27"/>
      <c r="AP5" s="27"/>
      <c r="AQ5" s="27"/>
      <c r="AR5" s="27"/>
      <c r="AS5" s="27"/>
      <c r="AT5" s="27"/>
      <c r="AU5" s="27"/>
      <c r="AV5" s="27"/>
      <c r="AW5" s="26"/>
      <c r="AX5" s="27"/>
      <c r="AY5" s="27"/>
      <c r="AZ5" s="27"/>
      <c r="BA5" s="27"/>
      <c r="BB5" s="27"/>
      <c r="BC5" s="27"/>
      <c r="BD5" s="27"/>
      <c r="BE5" s="27"/>
      <c r="BF5" s="27"/>
      <c r="BG5" s="27"/>
      <c r="BH5" s="27"/>
      <c r="BI5" s="27"/>
      <c r="BJ5" s="27"/>
      <c r="BK5" s="27"/>
      <c r="BL5" s="27"/>
      <c r="BM5" s="27"/>
      <c r="BN5" s="27"/>
      <c r="BO5" s="27"/>
      <c r="BP5" s="27"/>
      <c r="BQ5" s="27"/>
      <c r="BR5" s="27"/>
      <c r="BS5" s="27"/>
      <c r="BT5" s="27"/>
      <c r="BU5" s="27"/>
      <c r="BV5" s="27"/>
      <c r="BW5" s="27"/>
      <c r="BX5" s="27"/>
      <c r="BY5" s="27"/>
      <c r="BZ5" s="27"/>
      <c r="CA5" s="27"/>
      <c r="CB5" s="27"/>
      <c r="CC5" s="28"/>
      <c r="CD5" s="28"/>
      <c r="CE5" s="28"/>
      <c r="CF5" s="28"/>
      <c r="CG5" s="28"/>
      <c r="CH5" s="28"/>
      <c r="CI5" s="28"/>
      <c r="CJ5" s="28"/>
      <c r="CK5" s="28"/>
      <c r="CL5" s="28"/>
      <c r="CM5" s="28"/>
      <c r="CN5" s="28"/>
      <c r="CO5" s="28"/>
    </row>
    <row r="6" spans="1:93" s="75" customFormat="1" ht="22.2" customHeight="1" x14ac:dyDescent="0.2">
      <c r="A6" s="71"/>
      <c r="B6" s="29" t="s">
        <v>37</v>
      </c>
      <c r="C6" s="29" t="s">
        <v>77</v>
      </c>
      <c r="D6" s="29" t="s">
        <v>77</v>
      </c>
      <c r="E6" s="29" t="s">
        <v>76</v>
      </c>
      <c r="F6" s="29" t="s">
        <v>23</v>
      </c>
      <c r="G6" s="29" t="s">
        <v>78</v>
      </c>
      <c r="H6" s="29" t="s">
        <v>79</v>
      </c>
      <c r="I6" s="29" t="s">
        <v>93</v>
      </c>
      <c r="J6" s="29" t="s">
        <v>80</v>
      </c>
      <c r="K6" s="29" t="s">
        <v>80</v>
      </c>
      <c r="L6" s="29" t="s">
        <v>81</v>
      </c>
      <c r="M6" s="29" t="s">
        <v>144</v>
      </c>
      <c r="N6" s="29" t="s">
        <v>144</v>
      </c>
      <c r="O6" s="29" t="s">
        <v>144</v>
      </c>
      <c r="P6" s="29" t="s">
        <v>144</v>
      </c>
      <c r="Q6" s="29" t="s">
        <v>144</v>
      </c>
      <c r="R6" s="29" t="s">
        <v>256</v>
      </c>
      <c r="S6" s="29" t="s">
        <v>256</v>
      </c>
      <c r="T6" s="29" t="s">
        <v>94</v>
      </c>
      <c r="U6" s="29" t="s">
        <v>82</v>
      </c>
      <c r="V6" s="29" t="s">
        <v>141</v>
      </c>
      <c r="W6" s="29" t="s">
        <v>141</v>
      </c>
      <c r="X6" s="29" t="s">
        <v>160</v>
      </c>
      <c r="Y6" s="29" t="s">
        <v>142</v>
      </c>
      <c r="Z6" s="29" t="s">
        <v>142</v>
      </c>
      <c r="AA6" s="29" t="s">
        <v>73</v>
      </c>
      <c r="AB6" s="29" t="s">
        <v>162</v>
      </c>
      <c r="AC6" s="29" t="s">
        <v>83</v>
      </c>
      <c r="AD6" s="29" t="s">
        <v>86</v>
      </c>
      <c r="AE6" s="29" t="s">
        <v>86</v>
      </c>
      <c r="AF6" s="29" t="s">
        <v>87</v>
      </c>
      <c r="AG6" s="29" t="s">
        <v>84</v>
      </c>
      <c r="AH6" s="29" t="s">
        <v>47</v>
      </c>
      <c r="AI6" s="29" t="s">
        <v>95</v>
      </c>
      <c r="AJ6" s="29" t="s">
        <v>85</v>
      </c>
      <c r="AK6" s="29" t="s">
        <v>88</v>
      </c>
      <c r="AL6" s="29" t="s">
        <v>88</v>
      </c>
      <c r="AM6" s="29" t="s">
        <v>89</v>
      </c>
      <c r="AN6" s="29" t="s">
        <v>21</v>
      </c>
      <c r="AO6" s="29" t="s">
        <v>180</v>
      </c>
      <c r="AP6" s="29" t="s">
        <v>22</v>
      </c>
      <c r="AQ6" s="29" t="s">
        <v>22</v>
      </c>
      <c r="AR6" s="29" t="s">
        <v>64</v>
      </c>
      <c r="AS6" s="29" t="s">
        <v>260</v>
      </c>
      <c r="AT6" s="29" t="s">
        <v>211</v>
      </c>
      <c r="AU6" s="29" t="s">
        <v>90</v>
      </c>
      <c r="AV6" s="29"/>
      <c r="AW6" s="29"/>
      <c r="AX6" s="29"/>
      <c r="AY6" s="72"/>
      <c r="AZ6" s="72"/>
      <c r="BA6" s="72"/>
      <c r="BB6" s="72"/>
      <c r="BC6" s="72"/>
      <c r="BD6" s="72"/>
      <c r="BE6" s="72"/>
      <c r="BF6" s="72"/>
      <c r="BG6" s="72"/>
      <c r="BH6" s="72"/>
      <c r="BI6" s="72"/>
      <c r="BJ6" s="72"/>
      <c r="BK6" s="72"/>
      <c r="BL6" s="72"/>
      <c r="BM6" s="72"/>
      <c r="BN6" s="72"/>
      <c r="BO6" s="72"/>
      <c r="BP6" s="72"/>
      <c r="BQ6" s="72"/>
      <c r="BR6" s="72"/>
      <c r="BS6" s="72"/>
      <c r="BT6" s="72"/>
      <c r="BU6" s="72"/>
      <c r="BV6" s="72"/>
      <c r="BW6" s="72"/>
      <c r="BX6" s="72"/>
      <c r="BY6" s="72"/>
      <c r="BZ6" s="72"/>
      <c r="CA6" s="72"/>
      <c r="CB6" s="72"/>
      <c r="CC6" s="73"/>
      <c r="CD6" s="74"/>
      <c r="CE6" s="74"/>
      <c r="CF6" s="74"/>
      <c r="CG6" s="74"/>
      <c r="CH6" s="74"/>
      <c r="CI6" s="74"/>
      <c r="CJ6" s="74"/>
      <c r="CK6" s="74"/>
      <c r="CL6" s="74"/>
      <c r="CM6" s="74"/>
      <c r="CN6" s="74"/>
      <c r="CO6" s="74"/>
    </row>
    <row r="7" spans="1:93" x14ac:dyDescent="0.2">
      <c r="A7" s="33" t="s">
        <v>38</v>
      </c>
      <c r="B7" s="34"/>
      <c r="C7" s="34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  <c r="AG7" s="35"/>
      <c r="AH7" s="35"/>
      <c r="AI7" s="35"/>
      <c r="AJ7" s="35"/>
      <c r="AK7" s="35"/>
      <c r="AL7" s="35"/>
      <c r="AM7" s="35"/>
      <c r="AN7" s="35"/>
      <c r="AO7" s="35"/>
      <c r="AP7" s="35"/>
      <c r="AQ7" s="35"/>
      <c r="AR7" s="35"/>
      <c r="AS7" s="35"/>
      <c r="AT7" s="35"/>
      <c r="AU7" s="35"/>
      <c r="AV7" s="35"/>
      <c r="AW7" s="35"/>
      <c r="AX7" s="35"/>
      <c r="AY7" s="35"/>
      <c r="AZ7" s="35"/>
      <c r="BA7" s="35"/>
      <c r="BB7" s="35"/>
      <c r="BC7" s="35"/>
      <c r="BD7" s="35"/>
      <c r="BE7" s="35"/>
      <c r="BF7" s="35"/>
      <c r="BG7" s="35"/>
      <c r="BH7" s="35"/>
      <c r="BI7" s="35"/>
      <c r="BJ7" s="35"/>
      <c r="BK7" s="35"/>
      <c r="BL7" s="35"/>
      <c r="BM7" s="35"/>
      <c r="BN7" s="35"/>
      <c r="BO7" s="35"/>
      <c r="BP7" s="35"/>
      <c r="BQ7" s="35"/>
      <c r="BR7" s="35"/>
      <c r="BS7" s="35"/>
      <c r="BT7" s="35"/>
      <c r="BU7" s="35"/>
      <c r="BV7" s="35"/>
      <c r="BW7" s="35"/>
      <c r="BX7" s="35"/>
      <c r="BY7" s="35"/>
      <c r="BZ7" s="35"/>
      <c r="CA7" s="35"/>
      <c r="CB7" s="35"/>
      <c r="CC7" s="35"/>
    </row>
    <row r="8" spans="1:93" x14ac:dyDescent="0.2">
      <c r="A8" s="36" t="s">
        <v>184</v>
      </c>
      <c r="B8" s="34"/>
      <c r="C8" s="37"/>
      <c r="D8" s="37" t="s">
        <v>39</v>
      </c>
      <c r="E8" s="37" t="s">
        <v>39</v>
      </c>
      <c r="F8" s="37">
        <v>10.534398034398036</v>
      </c>
      <c r="G8" s="37" t="s">
        <v>39</v>
      </c>
      <c r="H8" s="37" t="s">
        <v>39</v>
      </c>
      <c r="I8" s="37" t="s">
        <v>39</v>
      </c>
      <c r="J8" s="37"/>
      <c r="K8" s="37">
        <v>1.2782375400506309</v>
      </c>
      <c r="L8" s="37" t="s">
        <v>39</v>
      </c>
      <c r="M8" s="37"/>
      <c r="N8" s="37"/>
      <c r="O8" s="37"/>
      <c r="P8" s="37"/>
      <c r="Q8" s="37">
        <v>3.2009784904521754</v>
      </c>
      <c r="R8" s="37"/>
      <c r="S8" s="37">
        <v>0.79832340952604564</v>
      </c>
      <c r="T8" s="37" t="s">
        <v>39</v>
      </c>
      <c r="U8" s="37" t="s">
        <v>39</v>
      </c>
      <c r="V8" s="37"/>
      <c r="W8" s="37">
        <v>0.77577312116401975</v>
      </c>
      <c r="X8" s="37" t="s">
        <v>39</v>
      </c>
      <c r="Y8" s="37"/>
      <c r="Z8" s="37">
        <v>2.0156538919425522</v>
      </c>
      <c r="AA8" s="37">
        <v>2.0430347703074982</v>
      </c>
      <c r="AB8" s="37" t="s">
        <v>39</v>
      </c>
      <c r="AC8" s="37" t="s">
        <v>39</v>
      </c>
      <c r="AD8" s="37"/>
      <c r="AE8" s="37" t="s">
        <v>39</v>
      </c>
      <c r="AF8" s="37" t="s">
        <v>39</v>
      </c>
      <c r="AG8" s="37" t="s">
        <v>39</v>
      </c>
      <c r="AH8" s="37">
        <v>41.776129445389266</v>
      </c>
      <c r="AI8" s="37">
        <v>1.1236691236691239</v>
      </c>
      <c r="AJ8" s="37" t="s">
        <v>39</v>
      </c>
      <c r="AK8" s="37"/>
      <c r="AL8" s="37">
        <v>0.24669881862457274</v>
      </c>
      <c r="AM8" s="37" t="s">
        <v>39</v>
      </c>
      <c r="AN8" s="37" t="s">
        <v>39</v>
      </c>
      <c r="AO8" s="37" t="s">
        <v>39</v>
      </c>
      <c r="AP8" s="37"/>
      <c r="AQ8" s="37">
        <v>0.78669950315224546</v>
      </c>
      <c r="AR8" s="37" t="s">
        <v>39</v>
      </c>
      <c r="AS8" s="37">
        <v>1.1798565127076224</v>
      </c>
      <c r="AT8" s="37">
        <v>9.3639093639093645</v>
      </c>
      <c r="AU8" s="37" t="s">
        <v>39</v>
      </c>
      <c r="AV8" s="37"/>
      <c r="AW8" s="37"/>
      <c r="AX8" s="37"/>
      <c r="AY8" s="35"/>
      <c r="AZ8" s="35"/>
      <c r="BA8" s="35"/>
      <c r="BB8" s="35"/>
      <c r="BC8" s="35"/>
      <c r="BD8" s="35"/>
      <c r="BE8" s="35"/>
      <c r="BF8" s="35"/>
      <c r="BG8" s="35"/>
      <c r="BH8" s="35"/>
      <c r="BI8" s="35"/>
      <c r="BJ8" s="35"/>
      <c r="BK8" s="35"/>
      <c r="BL8" s="35"/>
      <c r="BM8" s="35"/>
      <c r="BN8" s="35"/>
      <c r="BO8" s="35"/>
      <c r="BP8" s="35"/>
      <c r="BQ8" s="35"/>
      <c r="BR8" s="35"/>
      <c r="BS8" s="35"/>
      <c r="BT8" s="35"/>
      <c r="BU8" s="35"/>
      <c r="BV8" s="35"/>
      <c r="BW8" s="35"/>
      <c r="BX8" s="35"/>
      <c r="BY8" s="35"/>
      <c r="BZ8" s="35"/>
      <c r="CA8" s="35"/>
      <c r="CB8" s="35"/>
      <c r="CC8" s="35"/>
    </row>
    <row r="9" spans="1:93" x14ac:dyDescent="0.2">
      <c r="A9" s="36" t="s">
        <v>185</v>
      </c>
      <c r="B9" s="34"/>
      <c r="C9" s="37"/>
      <c r="D9" s="37" t="s">
        <v>39</v>
      </c>
      <c r="E9" s="37" t="s">
        <v>39</v>
      </c>
      <c r="F9" s="37">
        <v>10.488329238329239</v>
      </c>
      <c r="G9" s="37" t="s">
        <v>39</v>
      </c>
      <c r="H9" s="37" t="s">
        <v>39</v>
      </c>
      <c r="I9" s="37" t="s">
        <v>39</v>
      </c>
      <c r="J9" s="37"/>
      <c r="K9" s="37">
        <v>1.1355932251977057</v>
      </c>
      <c r="L9" s="37" t="s">
        <v>39</v>
      </c>
      <c r="M9" s="37"/>
      <c r="N9" s="37"/>
      <c r="O9" s="37"/>
      <c r="P9" s="37"/>
      <c r="Q9" s="37">
        <v>3.5324457181901008</v>
      </c>
      <c r="R9" s="37"/>
      <c r="S9" s="37">
        <v>0.7948321992803048</v>
      </c>
      <c r="T9" s="37" t="s">
        <v>39</v>
      </c>
      <c r="U9" s="37" t="s">
        <v>39</v>
      </c>
      <c r="V9" s="37"/>
      <c r="W9" s="37">
        <v>0.65815523808522647</v>
      </c>
      <c r="X9" s="37" t="s">
        <v>39</v>
      </c>
      <c r="Y9" s="37"/>
      <c r="Z9" s="37">
        <v>2.0068390790040276</v>
      </c>
      <c r="AA9" s="37">
        <v>2.0341002159183978</v>
      </c>
      <c r="AB9" s="37" t="s">
        <v>39</v>
      </c>
      <c r="AC9" s="37" t="s">
        <v>39</v>
      </c>
      <c r="AD9" s="37"/>
      <c r="AE9" s="37" t="s">
        <v>39</v>
      </c>
      <c r="AF9" s="37" t="s">
        <v>39</v>
      </c>
      <c r="AG9" s="37" t="s">
        <v>39</v>
      </c>
      <c r="AH9" s="37">
        <v>41.593435001750528</v>
      </c>
      <c r="AI9" s="37">
        <v>1.118755118755119</v>
      </c>
      <c r="AJ9" s="37" t="s">
        <v>39</v>
      </c>
      <c r="AK9" s="37"/>
      <c r="AL9" s="37">
        <v>0.2456199608171766</v>
      </c>
      <c r="AM9" s="37" t="s">
        <v>39</v>
      </c>
      <c r="AN9" s="37" t="s">
        <v>39</v>
      </c>
      <c r="AO9" s="37" t="s">
        <v>39</v>
      </c>
      <c r="AP9" s="37"/>
      <c r="AQ9" s="37">
        <v>1.5665182526326051</v>
      </c>
      <c r="AR9" s="37" t="s">
        <v>39</v>
      </c>
      <c r="AS9" s="37">
        <v>1.1746967903488428</v>
      </c>
      <c r="AT9" s="37">
        <v>9.3229593229593224</v>
      </c>
      <c r="AU9" s="37" t="s">
        <v>39</v>
      </c>
      <c r="AV9" s="37"/>
      <c r="AW9" s="37"/>
      <c r="AX9" s="37"/>
      <c r="AY9" s="35"/>
      <c r="AZ9" s="35"/>
      <c r="BA9" s="35"/>
      <c r="BB9" s="35"/>
      <c r="BC9" s="35"/>
      <c r="BD9" s="35"/>
      <c r="BE9" s="35"/>
      <c r="BF9" s="35"/>
      <c r="BG9" s="35"/>
      <c r="BH9" s="35"/>
      <c r="BI9" s="35"/>
      <c r="BJ9" s="35"/>
      <c r="BK9" s="35"/>
      <c r="BL9" s="35"/>
      <c r="BM9" s="35"/>
      <c r="BN9" s="35"/>
      <c r="BO9" s="35"/>
      <c r="BP9" s="35"/>
      <c r="BQ9" s="35"/>
      <c r="BR9" s="35"/>
      <c r="BS9" s="35"/>
      <c r="BT9" s="35"/>
      <c r="BU9" s="35"/>
      <c r="BV9" s="35"/>
      <c r="BW9" s="35"/>
      <c r="BX9" s="35"/>
      <c r="BY9" s="35"/>
      <c r="BZ9" s="35"/>
      <c r="CA9" s="35"/>
      <c r="CB9" s="35"/>
      <c r="CC9" s="35"/>
    </row>
    <row r="10" spans="1:93" x14ac:dyDescent="0.2">
      <c r="A10" s="36" t="s">
        <v>186</v>
      </c>
      <c r="B10" s="34"/>
      <c r="C10" s="37"/>
      <c r="D10" s="37" t="s">
        <v>39</v>
      </c>
      <c r="E10" s="37" t="s">
        <v>39</v>
      </c>
      <c r="F10" s="37">
        <v>11.732186732186731</v>
      </c>
      <c r="G10" s="37" t="s">
        <v>39</v>
      </c>
      <c r="H10" s="37" t="s">
        <v>39</v>
      </c>
      <c r="I10" s="37" t="s">
        <v>39</v>
      </c>
      <c r="J10" s="37"/>
      <c r="K10" s="37">
        <v>1.2044497567882866</v>
      </c>
      <c r="L10" s="37" t="s">
        <v>39</v>
      </c>
      <c r="M10" s="37"/>
      <c r="N10" s="37"/>
      <c r="O10" s="37"/>
      <c r="P10" s="37"/>
      <c r="Q10" s="37">
        <v>3.016063910800753</v>
      </c>
      <c r="R10" s="37"/>
      <c r="S10" s="37">
        <v>1.1262899262899262</v>
      </c>
      <c r="T10" s="37" t="s">
        <v>39</v>
      </c>
      <c r="U10" s="37" t="s">
        <v>39</v>
      </c>
      <c r="V10" s="37"/>
      <c r="W10" s="37">
        <v>0.52139634271254609</v>
      </c>
      <c r="X10" s="37" t="s">
        <v>39</v>
      </c>
      <c r="Y10" s="37"/>
      <c r="Z10" s="37">
        <v>0.34253106181814008</v>
      </c>
      <c r="AA10" s="37">
        <v>8.3639674490738312</v>
      </c>
      <c r="AB10" s="37" t="s">
        <v>39</v>
      </c>
      <c r="AC10" s="37" t="s">
        <v>39</v>
      </c>
      <c r="AD10" s="37"/>
      <c r="AE10" s="37" t="s">
        <v>39</v>
      </c>
      <c r="AF10" s="37" t="s">
        <v>39</v>
      </c>
      <c r="AG10" s="37" t="s">
        <v>39</v>
      </c>
      <c r="AH10" s="37">
        <v>69.381153040345183</v>
      </c>
      <c r="AI10" s="37">
        <v>8.6036036036036032E-2</v>
      </c>
      <c r="AJ10" s="37" t="s">
        <v>39</v>
      </c>
      <c r="AK10" s="37"/>
      <c r="AL10" s="37">
        <v>0.30756195133877534</v>
      </c>
      <c r="AM10" s="37" t="s">
        <v>39</v>
      </c>
      <c r="AN10" s="37" t="s">
        <v>39</v>
      </c>
      <c r="AO10" s="37" t="s">
        <v>39</v>
      </c>
      <c r="AP10" s="37"/>
      <c r="AQ10" s="37">
        <v>1.5330466142487795</v>
      </c>
      <c r="AR10" s="37" t="s">
        <v>39</v>
      </c>
      <c r="AS10" s="37">
        <v>1.5330057330057327</v>
      </c>
      <c r="AT10" s="37">
        <v>10.428610428610428</v>
      </c>
      <c r="AU10" s="37" t="s">
        <v>39</v>
      </c>
      <c r="AV10" s="37"/>
      <c r="AW10" s="37"/>
      <c r="AX10" s="37"/>
      <c r="AY10" s="35"/>
      <c r="AZ10" s="35"/>
      <c r="BA10" s="35"/>
      <c r="BB10" s="35"/>
      <c r="BC10" s="35"/>
      <c r="BD10" s="35"/>
      <c r="BE10" s="35"/>
      <c r="BF10" s="35"/>
      <c r="BG10" s="35"/>
      <c r="BH10" s="35"/>
      <c r="BI10" s="35"/>
      <c r="BJ10" s="35"/>
      <c r="BK10" s="35"/>
      <c r="BL10" s="35"/>
      <c r="BM10" s="35"/>
      <c r="BN10" s="35"/>
      <c r="BO10" s="35"/>
      <c r="BP10" s="35"/>
      <c r="BQ10" s="35"/>
      <c r="BR10" s="35"/>
      <c r="BS10" s="35"/>
      <c r="BT10" s="35"/>
      <c r="BU10" s="35"/>
      <c r="BV10" s="35"/>
      <c r="BW10" s="35"/>
      <c r="BX10" s="35"/>
      <c r="BY10" s="35"/>
      <c r="BZ10" s="35"/>
      <c r="CA10" s="35"/>
      <c r="CB10" s="35"/>
      <c r="CC10" s="35"/>
    </row>
    <row r="11" spans="1:93" x14ac:dyDescent="0.2">
      <c r="A11" s="36" t="s">
        <v>187</v>
      </c>
      <c r="B11" s="34"/>
      <c r="C11" s="37"/>
      <c r="D11" s="37" t="s">
        <v>39</v>
      </c>
      <c r="E11" s="37" t="s">
        <v>39</v>
      </c>
      <c r="F11" s="37">
        <v>11.071867321867323</v>
      </c>
      <c r="G11" s="37" t="s">
        <v>39</v>
      </c>
      <c r="H11" s="37" t="s">
        <v>39</v>
      </c>
      <c r="I11" s="37" t="s">
        <v>39</v>
      </c>
      <c r="J11" s="37"/>
      <c r="K11" s="37">
        <v>1.0333958124537097</v>
      </c>
      <c r="L11" s="37" t="s">
        <v>39</v>
      </c>
      <c r="M11" s="37"/>
      <c r="N11" s="37"/>
      <c r="O11" s="37"/>
      <c r="P11" s="37"/>
      <c r="Q11" s="37">
        <v>2.4506795055356205</v>
      </c>
      <c r="R11" s="37"/>
      <c r="S11" s="37">
        <v>0.36538165957930241</v>
      </c>
      <c r="T11" s="37" t="s">
        <v>39</v>
      </c>
      <c r="U11" s="37" t="s">
        <v>39</v>
      </c>
      <c r="V11" s="37"/>
      <c r="W11" s="37">
        <v>0.85653333725082603</v>
      </c>
      <c r="X11" s="37" t="s">
        <v>39</v>
      </c>
      <c r="Y11" s="37"/>
      <c r="Z11" s="37">
        <v>0.301138730422502</v>
      </c>
      <c r="AA11" s="37">
        <v>6.4005781627833018</v>
      </c>
      <c r="AB11" s="37" t="s">
        <v>39</v>
      </c>
      <c r="AC11" s="37" t="s">
        <v>39</v>
      </c>
      <c r="AD11" s="37"/>
      <c r="AE11" s="37" t="s">
        <v>39</v>
      </c>
      <c r="AF11" s="37" t="s">
        <v>39</v>
      </c>
      <c r="AG11" s="37" t="s">
        <v>39</v>
      </c>
      <c r="AH11" s="37">
        <v>64.192345937389504</v>
      </c>
      <c r="AI11" s="37" t="s">
        <v>39</v>
      </c>
      <c r="AJ11" s="37" t="s">
        <v>39</v>
      </c>
      <c r="AK11" s="37"/>
      <c r="AL11" s="37">
        <v>0.43567347835640524</v>
      </c>
      <c r="AM11" s="37" t="s">
        <v>39</v>
      </c>
      <c r="AN11" s="37" t="s">
        <v>39</v>
      </c>
      <c r="AO11" s="37" t="s">
        <v>39</v>
      </c>
      <c r="AP11" s="37"/>
      <c r="AQ11" s="37">
        <v>1.2055932839926307</v>
      </c>
      <c r="AR11" s="37" t="s">
        <v>39</v>
      </c>
      <c r="AS11" s="37">
        <v>1.4473029178911532</v>
      </c>
      <c r="AT11" s="37">
        <v>2.670182033530939</v>
      </c>
      <c r="AU11" s="37" t="s">
        <v>39</v>
      </c>
      <c r="AV11" s="37"/>
      <c r="AW11" s="37"/>
      <c r="AX11" s="37"/>
      <c r="AY11" s="35"/>
      <c r="AZ11" s="35"/>
      <c r="BA11" s="35"/>
      <c r="BB11" s="35"/>
      <c r="BC11" s="35"/>
      <c r="BD11" s="35"/>
      <c r="BE11" s="35"/>
      <c r="BF11" s="35"/>
      <c r="BG11" s="35"/>
      <c r="BH11" s="35"/>
      <c r="BI11" s="35"/>
      <c r="BJ11" s="35"/>
      <c r="BK11" s="35"/>
      <c r="BL11" s="35"/>
      <c r="BM11" s="35"/>
      <c r="BN11" s="35"/>
      <c r="BO11" s="35"/>
      <c r="BP11" s="35"/>
      <c r="BQ11" s="35"/>
      <c r="BR11" s="35"/>
      <c r="BS11" s="35"/>
      <c r="BT11" s="35"/>
      <c r="BU11" s="35"/>
      <c r="BV11" s="35"/>
      <c r="BW11" s="35"/>
      <c r="BX11" s="35"/>
      <c r="BY11" s="35"/>
      <c r="BZ11" s="35"/>
      <c r="CA11" s="35"/>
      <c r="CB11" s="35"/>
      <c r="CC11" s="35"/>
    </row>
    <row r="12" spans="1:93" x14ac:dyDescent="0.2">
      <c r="A12" s="36" t="s">
        <v>188</v>
      </c>
      <c r="B12" s="34"/>
      <c r="C12" s="37"/>
      <c r="D12" s="37" t="s">
        <v>39</v>
      </c>
      <c r="E12" s="37" t="s">
        <v>39</v>
      </c>
      <c r="F12" s="37">
        <v>13.022113022113023</v>
      </c>
      <c r="G12" s="37" t="s">
        <v>39</v>
      </c>
      <c r="H12" s="37" t="s">
        <v>39</v>
      </c>
      <c r="I12" s="37" t="s">
        <v>39</v>
      </c>
      <c r="J12" s="37"/>
      <c r="K12" s="37">
        <v>1.3022113022113022</v>
      </c>
      <c r="L12" s="37" t="s">
        <v>39</v>
      </c>
      <c r="M12" s="37"/>
      <c r="N12" s="37">
        <v>2.0835380835380835</v>
      </c>
      <c r="O12" s="37"/>
      <c r="P12" s="37"/>
      <c r="Q12" s="37"/>
      <c r="R12" s="37">
        <v>3.9066339066339064</v>
      </c>
      <c r="S12" s="37"/>
      <c r="T12" s="37" t="s">
        <v>39</v>
      </c>
      <c r="U12" s="37" t="s">
        <v>39</v>
      </c>
      <c r="V12" s="37">
        <v>2.9392769392769393</v>
      </c>
      <c r="W12" s="37"/>
      <c r="X12" s="37" t="s">
        <v>39</v>
      </c>
      <c r="Y12" s="37"/>
      <c r="Z12" s="37">
        <v>0.43664573422374114</v>
      </c>
      <c r="AA12" s="37">
        <v>2.4825134612368651</v>
      </c>
      <c r="AB12" s="37" t="s">
        <v>39</v>
      </c>
      <c r="AC12" s="37" t="s">
        <v>39</v>
      </c>
      <c r="AD12" s="37"/>
      <c r="AE12" s="37" t="s">
        <v>39</v>
      </c>
      <c r="AF12" s="37" t="s">
        <v>39</v>
      </c>
      <c r="AG12" s="37" t="s">
        <v>39</v>
      </c>
      <c r="AH12" s="37">
        <v>38.937735275282769</v>
      </c>
      <c r="AI12" s="37">
        <v>0.78132678132678135</v>
      </c>
      <c r="AJ12" s="37" t="s">
        <v>39</v>
      </c>
      <c r="AK12" s="37">
        <v>0.65110565110565122</v>
      </c>
      <c r="AL12" s="37"/>
      <c r="AM12" s="37" t="s">
        <v>39</v>
      </c>
      <c r="AN12" s="37" t="s">
        <v>39</v>
      </c>
      <c r="AO12" s="37" t="s">
        <v>39</v>
      </c>
      <c r="AP12" s="37"/>
      <c r="AQ12" s="37">
        <v>0.78307471596062195</v>
      </c>
      <c r="AR12" s="37" t="s">
        <v>39</v>
      </c>
      <c r="AS12" s="37">
        <v>0.42825262219787591</v>
      </c>
      <c r="AT12" s="37">
        <v>8.6814086814086817</v>
      </c>
      <c r="AU12" s="37" t="s">
        <v>39</v>
      </c>
      <c r="AV12" s="37"/>
      <c r="AW12" s="37"/>
      <c r="AX12" s="37"/>
      <c r="AY12" s="35"/>
      <c r="AZ12" s="35"/>
      <c r="BA12" s="35"/>
      <c r="BB12" s="35"/>
      <c r="BC12" s="35"/>
      <c r="BD12" s="35"/>
      <c r="BE12" s="35"/>
      <c r="BF12" s="35"/>
      <c r="BG12" s="35"/>
      <c r="BH12" s="35"/>
      <c r="BI12" s="35"/>
      <c r="BJ12" s="35"/>
      <c r="BK12" s="35"/>
      <c r="BL12" s="35"/>
      <c r="BM12" s="35"/>
      <c r="BN12" s="35"/>
      <c r="BO12" s="35"/>
      <c r="BP12" s="35"/>
      <c r="BQ12" s="35"/>
      <c r="BR12" s="35"/>
      <c r="BS12" s="35"/>
      <c r="BT12" s="35"/>
      <c r="BU12" s="35"/>
      <c r="BV12" s="35"/>
      <c r="BW12" s="35"/>
      <c r="BX12" s="35"/>
      <c r="BY12" s="35"/>
      <c r="BZ12" s="35"/>
      <c r="CA12" s="35"/>
      <c r="CB12" s="35"/>
      <c r="CC12" s="35"/>
    </row>
    <row r="13" spans="1:93" x14ac:dyDescent="0.2">
      <c r="A13" s="36" t="s">
        <v>189</v>
      </c>
      <c r="B13" s="34"/>
      <c r="C13" s="37">
        <v>3.0768</v>
      </c>
      <c r="D13" s="37"/>
      <c r="E13" s="37">
        <v>0.9171014492753623</v>
      </c>
      <c r="F13" s="37">
        <v>13.186363636363636</v>
      </c>
      <c r="G13" s="37">
        <v>0.30599999999999999</v>
      </c>
      <c r="H13" s="37">
        <v>0.54833333333333334</v>
      </c>
      <c r="I13" s="37" t="s">
        <v>39</v>
      </c>
      <c r="J13" s="37"/>
      <c r="K13" s="37">
        <v>0.47618927125506072</v>
      </c>
      <c r="L13" s="37">
        <v>4.1987570174979734</v>
      </c>
      <c r="M13" s="37"/>
      <c r="N13" s="37"/>
      <c r="O13" s="37">
        <v>1.0339285714285715</v>
      </c>
      <c r="P13" s="37"/>
      <c r="Q13" s="37"/>
      <c r="R13" s="37"/>
      <c r="S13" s="37" t="s">
        <v>39</v>
      </c>
      <c r="T13" s="37" t="s">
        <v>39</v>
      </c>
      <c r="U13" s="37">
        <v>0.65777777777777779</v>
      </c>
      <c r="V13" s="37"/>
      <c r="W13" s="37" t="s">
        <v>39</v>
      </c>
      <c r="X13" s="37" t="s">
        <v>39</v>
      </c>
      <c r="Y13" s="37"/>
      <c r="Z13" s="37" t="s">
        <v>39</v>
      </c>
      <c r="AA13" s="37">
        <v>19.05176407217883</v>
      </c>
      <c r="AB13" s="37" t="s">
        <v>39</v>
      </c>
      <c r="AC13" s="37">
        <v>1.3333333333333333</v>
      </c>
      <c r="AD13" s="37"/>
      <c r="AE13" s="37">
        <v>8.7857142857142856E-2</v>
      </c>
      <c r="AF13" s="37">
        <v>0.8783333333333333</v>
      </c>
      <c r="AG13" s="37">
        <v>1.75</v>
      </c>
      <c r="AH13" s="37">
        <v>38.227108720243343</v>
      </c>
      <c r="AI13" s="37" t="s">
        <v>39</v>
      </c>
      <c r="AJ13" s="37">
        <v>0.21866666666666668</v>
      </c>
      <c r="AK13" s="37">
        <v>0.7371428571428571</v>
      </c>
      <c r="AL13" s="37"/>
      <c r="AM13" s="37">
        <v>20.340495867768599</v>
      </c>
      <c r="AN13" s="37">
        <v>3.2957142857142858</v>
      </c>
      <c r="AO13" s="37" t="s">
        <v>39</v>
      </c>
      <c r="AP13" s="37"/>
      <c r="AQ13" s="37">
        <v>4.9561177077955607</v>
      </c>
      <c r="AR13" s="37">
        <v>2.2000000000000002</v>
      </c>
      <c r="AS13" s="37" t="s">
        <v>39</v>
      </c>
      <c r="AT13" s="37" t="s">
        <v>39</v>
      </c>
      <c r="AU13" s="37">
        <v>2.6</v>
      </c>
      <c r="AV13" s="37"/>
      <c r="AW13" s="37"/>
      <c r="AX13" s="37"/>
      <c r="AY13" s="35"/>
      <c r="AZ13" s="35"/>
      <c r="BA13" s="35"/>
      <c r="BB13" s="35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  <c r="BZ13" s="35"/>
      <c r="CA13" s="35"/>
      <c r="CB13" s="35"/>
      <c r="CC13" s="35"/>
    </row>
    <row r="14" spans="1:93" x14ac:dyDescent="0.2">
      <c r="A14" s="36" t="s">
        <v>190</v>
      </c>
      <c r="B14" s="34"/>
      <c r="C14" s="37">
        <v>3.3050000000000002</v>
      </c>
      <c r="D14" s="37"/>
      <c r="E14" s="37">
        <v>2.5026666666666668</v>
      </c>
      <c r="F14" s="37">
        <v>8.8000000000000007</v>
      </c>
      <c r="G14" s="37" t="s">
        <v>39</v>
      </c>
      <c r="H14" s="37">
        <v>0.88</v>
      </c>
      <c r="I14" s="37">
        <v>7.374161073825503</v>
      </c>
      <c r="J14" s="37"/>
      <c r="K14" s="37" t="s">
        <v>39</v>
      </c>
      <c r="L14" s="37">
        <v>6.7146863294070016</v>
      </c>
      <c r="M14" s="37"/>
      <c r="N14" s="37"/>
      <c r="O14" s="37">
        <v>3.2711111111111113</v>
      </c>
      <c r="P14" s="37"/>
      <c r="Q14" s="37"/>
      <c r="R14" s="37"/>
      <c r="S14" s="37" t="s">
        <v>39</v>
      </c>
      <c r="T14" s="37">
        <v>8.6999999999999993</v>
      </c>
      <c r="U14" s="37">
        <v>0.65866666666666662</v>
      </c>
      <c r="V14" s="37"/>
      <c r="W14" s="37" t="s">
        <v>39</v>
      </c>
      <c r="X14" s="37" t="s">
        <v>39</v>
      </c>
      <c r="Y14" s="37"/>
      <c r="Z14" s="37" t="s">
        <v>39</v>
      </c>
      <c r="AA14" s="37">
        <v>2.3072484673638658</v>
      </c>
      <c r="AB14" s="37" t="s">
        <v>39</v>
      </c>
      <c r="AC14" s="37" t="s">
        <v>39</v>
      </c>
      <c r="AD14" s="37"/>
      <c r="AE14" s="37" t="s">
        <v>39</v>
      </c>
      <c r="AF14" s="37">
        <v>0.87866666666666671</v>
      </c>
      <c r="AG14" s="37" t="s">
        <v>39</v>
      </c>
      <c r="AH14" s="37">
        <v>53.518033580812002</v>
      </c>
      <c r="AI14" s="37">
        <v>1.1000000000000001</v>
      </c>
      <c r="AJ14" s="37">
        <v>0.55000000000000004</v>
      </c>
      <c r="AK14" s="37"/>
      <c r="AL14" s="37" t="s">
        <v>39</v>
      </c>
      <c r="AM14" s="37" t="s">
        <v>39</v>
      </c>
      <c r="AN14" s="37" t="s">
        <v>39</v>
      </c>
      <c r="AO14" s="37" t="s">
        <v>39</v>
      </c>
      <c r="AP14" s="37"/>
      <c r="AQ14" s="37">
        <v>5.7778970917225951</v>
      </c>
      <c r="AR14" s="37" t="s">
        <v>39</v>
      </c>
      <c r="AS14" s="37">
        <v>0.72240830539345213</v>
      </c>
      <c r="AT14" s="37">
        <v>0.87908771929824558</v>
      </c>
      <c r="AU14" s="37" t="s">
        <v>39</v>
      </c>
      <c r="AV14" s="37"/>
      <c r="AW14" s="37"/>
      <c r="AX14" s="37"/>
      <c r="AY14" s="35"/>
      <c r="AZ14" s="35"/>
      <c r="BA14" s="35"/>
      <c r="BB14" s="35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  <c r="BU14" s="35"/>
      <c r="BV14" s="35"/>
      <c r="BW14" s="35"/>
      <c r="BX14" s="35"/>
      <c r="BY14" s="35"/>
      <c r="BZ14" s="35"/>
      <c r="CA14" s="35"/>
      <c r="CB14" s="35"/>
      <c r="CC14" s="35"/>
    </row>
    <row r="15" spans="1:93" x14ac:dyDescent="0.2">
      <c r="A15" s="36" t="s">
        <v>248</v>
      </c>
      <c r="B15" s="34"/>
      <c r="C15" s="37">
        <v>2.2222</v>
      </c>
      <c r="D15" s="37"/>
      <c r="E15" s="37"/>
      <c r="F15" s="37">
        <v>11.111538461538462</v>
      </c>
      <c r="G15" s="37"/>
      <c r="H15" s="37"/>
      <c r="I15" s="37"/>
      <c r="J15" s="37"/>
      <c r="K15" s="37">
        <v>0.51855555555555555</v>
      </c>
      <c r="L15" s="37"/>
      <c r="M15" s="37"/>
      <c r="N15" s="37">
        <v>0.55600000000000005</v>
      </c>
      <c r="O15" s="37"/>
      <c r="P15" s="37"/>
      <c r="Q15" s="37"/>
      <c r="R15" s="37"/>
      <c r="S15" s="37"/>
      <c r="T15" s="37"/>
      <c r="U15" s="37"/>
      <c r="V15" s="37">
        <v>0.61133333333333328</v>
      </c>
      <c r="W15" s="37"/>
      <c r="X15" s="37"/>
      <c r="Y15" s="37">
        <v>0.13971290395366559</v>
      </c>
      <c r="Z15" s="37"/>
      <c r="AA15" s="37">
        <v>5.8389442815249266</v>
      </c>
      <c r="AB15" s="37"/>
      <c r="AC15" s="37"/>
      <c r="AD15" s="37">
        <v>0.38900000000000001</v>
      </c>
      <c r="AE15" s="37"/>
      <c r="AF15" s="37"/>
      <c r="AG15" s="37"/>
      <c r="AH15" s="37">
        <v>62.809425228793422</v>
      </c>
      <c r="AI15" s="37"/>
      <c r="AJ15" s="37"/>
      <c r="AK15" s="37">
        <v>0.55533333333333335</v>
      </c>
      <c r="AL15" s="37"/>
      <c r="AM15" s="37"/>
      <c r="AN15" s="37">
        <v>8.89</v>
      </c>
      <c r="AO15" s="37">
        <v>10.283636363636365</v>
      </c>
      <c r="AP15" s="37"/>
      <c r="AQ15" s="37">
        <v>0.91872117144600374</v>
      </c>
      <c r="AR15" s="37"/>
      <c r="AS15" s="37"/>
      <c r="AT15" s="37">
        <v>7.4073333333333338</v>
      </c>
      <c r="AU15" s="37"/>
      <c r="AV15" s="37"/>
      <c r="AW15" s="37"/>
      <c r="AX15" s="37"/>
      <c r="AY15" s="35"/>
      <c r="AZ15" s="35"/>
      <c r="BA15" s="35"/>
      <c r="BB15" s="35"/>
      <c r="BC15" s="35"/>
      <c r="BD15" s="35"/>
      <c r="BE15" s="35"/>
      <c r="BF15" s="35"/>
      <c r="BG15" s="35"/>
      <c r="BH15" s="35"/>
      <c r="BI15" s="35"/>
      <c r="BJ15" s="35"/>
      <c r="BK15" s="35"/>
      <c r="BL15" s="35"/>
      <c r="BM15" s="35"/>
      <c r="BN15" s="35"/>
      <c r="BO15" s="35"/>
      <c r="BP15" s="35"/>
      <c r="BQ15" s="35"/>
      <c r="BR15" s="35"/>
      <c r="BS15" s="35"/>
      <c r="BT15" s="35"/>
      <c r="BU15" s="35"/>
      <c r="BV15" s="35"/>
      <c r="BW15" s="35"/>
      <c r="BX15" s="35"/>
      <c r="BY15" s="35"/>
      <c r="BZ15" s="35"/>
      <c r="CA15" s="35"/>
      <c r="CB15" s="35"/>
      <c r="CC15" s="35"/>
    </row>
    <row r="16" spans="1:93" x14ac:dyDescent="0.2">
      <c r="A16" s="36" t="s">
        <v>249</v>
      </c>
      <c r="B16" s="34"/>
      <c r="C16" s="37">
        <v>1.3492857142857142</v>
      </c>
      <c r="D16" s="37"/>
      <c r="E16" s="37"/>
      <c r="F16" s="37">
        <v>9.2589473684210528</v>
      </c>
      <c r="G16" s="37"/>
      <c r="H16" s="37"/>
      <c r="I16" s="37"/>
      <c r="J16" s="37"/>
      <c r="K16" s="37">
        <v>0.61727272727272731</v>
      </c>
      <c r="L16" s="37"/>
      <c r="M16" s="37">
        <v>1.4824999999999999</v>
      </c>
      <c r="N16" s="37"/>
      <c r="O16" s="37"/>
      <c r="P16" s="37"/>
      <c r="Q16" s="37"/>
      <c r="R16" s="37"/>
      <c r="S16" s="37"/>
      <c r="T16" s="37"/>
      <c r="U16" s="37"/>
      <c r="V16" s="37">
        <v>0.92600000000000005</v>
      </c>
      <c r="W16" s="37"/>
      <c r="X16" s="37">
        <v>55.553333333333335</v>
      </c>
      <c r="Y16" s="37"/>
      <c r="Z16" s="37">
        <v>0.55559999999999998</v>
      </c>
      <c r="AA16" s="37">
        <v>1.7650863579474341</v>
      </c>
      <c r="AB16" s="37"/>
      <c r="AC16" s="37"/>
      <c r="AD16" s="37"/>
      <c r="AE16" s="37"/>
      <c r="AF16" s="37"/>
      <c r="AG16" s="37"/>
      <c r="AH16" s="37">
        <v>61.19895876004091</v>
      </c>
      <c r="AI16" s="37"/>
      <c r="AJ16" s="37"/>
      <c r="AK16" s="37"/>
      <c r="AL16" s="37">
        <v>0.55533333333333335</v>
      </c>
      <c r="AM16" s="37"/>
      <c r="AN16" s="37">
        <v>12.964</v>
      </c>
      <c r="AO16" s="37"/>
      <c r="AP16" s="37">
        <v>3.8889999999999998</v>
      </c>
      <c r="AQ16" s="37"/>
      <c r="AR16" s="37"/>
      <c r="AS16" s="37">
        <v>1.296</v>
      </c>
      <c r="AT16" s="37">
        <v>6.1728395061728394</v>
      </c>
      <c r="AU16" s="37"/>
      <c r="AV16" s="37"/>
      <c r="AW16" s="37"/>
      <c r="AX16" s="37"/>
      <c r="AY16" s="35"/>
      <c r="AZ16" s="35"/>
      <c r="BA16" s="35"/>
      <c r="BB16" s="35"/>
      <c r="BC16" s="35"/>
      <c r="BD16" s="35"/>
      <c r="BE16" s="35"/>
      <c r="BF16" s="35"/>
      <c r="BG16" s="35"/>
      <c r="BH16" s="35"/>
      <c r="BI16" s="35"/>
      <c r="BJ16" s="35"/>
      <c r="BK16" s="35"/>
      <c r="BL16" s="35"/>
      <c r="BM16" s="35"/>
      <c r="BN16" s="35"/>
      <c r="BO16" s="35"/>
      <c r="BP16" s="35"/>
      <c r="BQ16" s="35"/>
      <c r="BR16" s="35"/>
      <c r="BS16" s="35"/>
      <c r="BT16" s="35"/>
      <c r="BU16" s="35"/>
      <c r="BV16" s="35"/>
      <c r="BW16" s="35"/>
      <c r="BX16" s="35"/>
      <c r="BY16" s="35"/>
      <c r="BZ16" s="35"/>
      <c r="CA16" s="35"/>
      <c r="CB16" s="35"/>
      <c r="CC16" s="35"/>
    </row>
    <row r="17" spans="1:81" x14ac:dyDescent="0.2">
      <c r="A17" s="36" t="s">
        <v>250</v>
      </c>
      <c r="B17" s="34"/>
      <c r="C17" s="37">
        <v>1.4706250000000001</v>
      </c>
      <c r="D17" s="37"/>
      <c r="E17" s="37"/>
      <c r="F17" s="37">
        <v>12.743801652892563</v>
      </c>
      <c r="G17" s="37"/>
      <c r="H17" s="37"/>
      <c r="I17" s="37"/>
      <c r="J17" s="37"/>
      <c r="K17" s="37">
        <v>0.5228666666666667</v>
      </c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>
        <v>0.49</v>
      </c>
      <c r="W17" s="37"/>
      <c r="X17" s="37">
        <v>53.924999999999997</v>
      </c>
      <c r="Y17" s="37"/>
      <c r="Z17" s="37"/>
      <c r="AA17" s="37">
        <v>1.8694468085106382</v>
      </c>
      <c r="AB17" s="37"/>
      <c r="AC17" s="37"/>
      <c r="AD17" s="37"/>
      <c r="AE17" s="37"/>
      <c r="AF17" s="37"/>
      <c r="AG17" s="37"/>
      <c r="AH17" s="37">
        <v>47.746419598761904</v>
      </c>
      <c r="AI17" s="37"/>
      <c r="AJ17" s="37"/>
      <c r="AK17" s="37"/>
      <c r="AL17" s="37">
        <v>0.78400000000000003</v>
      </c>
      <c r="AM17" s="37"/>
      <c r="AN17" s="37"/>
      <c r="AO17" s="37">
        <v>12.854545454545455</v>
      </c>
      <c r="AP17" s="37"/>
      <c r="AQ17" s="37"/>
      <c r="AR17" s="37"/>
      <c r="AS17" s="37"/>
      <c r="AT17" s="37">
        <v>3.2241992531460113</v>
      </c>
      <c r="AU17" s="37"/>
      <c r="AV17" s="37"/>
      <c r="AW17" s="37"/>
      <c r="AX17" s="37"/>
      <c r="AY17" s="35"/>
      <c r="AZ17" s="35"/>
      <c r="BA17" s="35"/>
      <c r="BB17" s="35"/>
      <c r="BC17" s="35"/>
      <c r="BD17" s="35"/>
      <c r="BE17" s="35"/>
      <c r="BF17" s="35"/>
      <c r="BG17" s="35"/>
      <c r="BH17" s="35"/>
      <c r="BI17" s="35"/>
      <c r="BJ17" s="35"/>
      <c r="BK17" s="35"/>
      <c r="BL17" s="35"/>
      <c r="BM17" s="35"/>
      <c r="BN17" s="35"/>
      <c r="BO17" s="35"/>
      <c r="BP17" s="35"/>
      <c r="BQ17" s="35"/>
      <c r="BR17" s="35"/>
      <c r="BS17" s="35"/>
      <c r="BT17" s="35"/>
      <c r="BU17" s="35"/>
      <c r="BV17" s="35"/>
      <c r="BW17" s="35"/>
      <c r="BX17" s="35"/>
      <c r="BY17" s="35"/>
      <c r="BZ17" s="35"/>
      <c r="CA17" s="35"/>
      <c r="CB17" s="35"/>
      <c r="CC17" s="35"/>
    </row>
    <row r="18" spans="1:81" x14ac:dyDescent="0.2">
      <c r="A18" s="36" t="s">
        <v>191</v>
      </c>
      <c r="B18" s="42"/>
      <c r="C18" s="37"/>
      <c r="D18" s="37">
        <v>1.3867433089339336</v>
      </c>
      <c r="E18" s="37" t="s">
        <v>39</v>
      </c>
      <c r="F18" s="37">
        <v>11.383451750719791</v>
      </c>
      <c r="G18" s="37" t="s">
        <v>39</v>
      </c>
      <c r="H18" s="37" t="s">
        <v>39</v>
      </c>
      <c r="I18" s="37" t="s">
        <v>39</v>
      </c>
      <c r="J18" s="37">
        <v>1.5600897616366365</v>
      </c>
      <c r="K18" s="37"/>
      <c r="L18" s="37" t="s">
        <v>39</v>
      </c>
      <c r="M18" s="37"/>
      <c r="N18" s="37"/>
      <c r="O18" s="37"/>
      <c r="P18" s="37"/>
      <c r="Q18" s="37" t="s">
        <v>39</v>
      </c>
      <c r="R18" s="37"/>
      <c r="S18" s="37" t="s">
        <v>39</v>
      </c>
      <c r="T18" s="37" t="s">
        <v>39</v>
      </c>
      <c r="U18" s="37" t="s">
        <v>39</v>
      </c>
      <c r="V18" s="37"/>
      <c r="W18" s="37">
        <v>0.20223348348348347</v>
      </c>
      <c r="X18" s="37">
        <v>54.603040540540533</v>
      </c>
      <c r="Y18" s="37"/>
      <c r="Z18" s="37">
        <v>0.86670799549549538</v>
      </c>
      <c r="AA18" s="37">
        <v>1.6522905884608008</v>
      </c>
      <c r="AB18" s="37" t="s">
        <v>39</v>
      </c>
      <c r="AC18" s="37" t="s">
        <v>39</v>
      </c>
      <c r="AD18" s="37"/>
      <c r="AE18" s="37" t="s">
        <v>39</v>
      </c>
      <c r="AF18" s="37" t="s">
        <v>39</v>
      </c>
      <c r="AG18" s="37" t="s">
        <v>39</v>
      </c>
      <c r="AH18" s="37">
        <v>45.225269282122582</v>
      </c>
      <c r="AI18" s="37" t="s">
        <v>39</v>
      </c>
      <c r="AJ18" s="37" t="s">
        <v>39</v>
      </c>
      <c r="AK18" s="37"/>
      <c r="AL18" s="37">
        <v>0.6067004504504504</v>
      </c>
      <c r="AM18" s="37" t="s">
        <v>39</v>
      </c>
      <c r="AN18" s="37" t="s">
        <v>39</v>
      </c>
      <c r="AO18" s="37">
        <v>10.889645114244045</v>
      </c>
      <c r="AP18" s="37"/>
      <c r="AQ18" s="37">
        <v>0.71663858959630766</v>
      </c>
      <c r="AR18" s="37" t="s">
        <v>39</v>
      </c>
      <c r="AS18" s="37" t="s">
        <v>39</v>
      </c>
      <c r="AT18" s="37">
        <v>3.4203947377411645</v>
      </c>
      <c r="AU18" s="37" t="s">
        <v>39</v>
      </c>
      <c r="AV18" s="37"/>
      <c r="AW18" s="37"/>
      <c r="AX18" s="37"/>
      <c r="AY18" s="35"/>
      <c r="AZ18" s="35"/>
      <c r="BA18" s="35"/>
      <c r="BB18" s="35"/>
      <c r="BC18" s="35"/>
      <c r="BD18" s="35"/>
      <c r="BE18" s="35"/>
      <c r="BF18" s="35"/>
      <c r="BG18" s="35"/>
      <c r="BH18" s="35"/>
      <c r="BI18" s="35"/>
      <c r="BJ18" s="35"/>
      <c r="BK18" s="35"/>
      <c r="BL18" s="35"/>
      <c r="BM18" s="35"/>
      <c r="BN18" s="35"/>
      <c r="BO18" s="35"/>
      <c r="BP18" s="35"/>
      <c r="BQ18" s="35"/>
      <c r="BR18" s="35"/>
      <c r="BS18" s="35"/>
      <c r="BT18" s="35"/>
      <c r="BU18" s="35"/>
      <c r="BV18" s="35"/>
      <c r="BW18" s="35"/>
      <c r="BX18" s="35"/>
      <c r="BY18" s="35"/>
      <c r="BZ18" s="35"/>
      <c r="CA18" s="35"/>
      <c r="CB18" s="35"/>
      <c r="CC18" s="35"/>
    </row>
    <row r="19" spans="1:81" x14ac:dyDescent="0.2">
      <c r="A19" s="36" t="s">
        <v>192</v>
      </c>
      <c r="B19" s="35"/>
      <c r="C19" s="37"/>
      <c r="D19" s="37">
        <v>0.53246611921975084</v>
      </c>
      <c r="E19" s="37" t="s">
        <v>39</v>
      </c>
      <c r="F19" s="37">
        <v>13.309911920366469</v>
      </c>
      <c r="G19" s="37" t="s">
        <v>39</v>
      </c>
      <c r="H19" s="37" t="s">
        <v>39</v>
      </c>
      <c r="I19" s="37" t="s">
        <v>39</v>
      </c>
      <c r="J19" s="37"/>
      <c r="K19" s="37">
        <v>0.53246255679902921</v>
      </c>
      <c r="L19" s="37" t="s">
        <v>39</v>
      </c>
      <c r="M19" s="37"/>
      <c r="N19" s="37"/>
      <c r="O19" s="37"/>
      <c r="P19" s="37">
        <v>1.3310183481946072</v>
      </c>
      <c r="Q19" s="37"/>
      <c r="R19" s="37"/>
      <c r="S19" s="37" t="s">
        <v>39</v>
      </c>
      <c r="T19" s="37" t="s">
        <v>39</v>
      </c>
      <c r="U19" s="37" t="s">
        <v>39</v>
      </c>
      <c r="V19" s="37"/>
      <c r="W19" s="37">
        <v>2.2906245351331491</v>
      </c>
      <c r="X19" s="37" t="s">
        <v>39</v>
      </c>
      <c r="Y19" s="37"/>
      <c r="Z19" s="37">
        <v>2.6622851752345529</v>
      </c>
      <c r="AA19" s="37">
        <v>2.5377008131008294</v>
      </c>
      <c r="AB19" s="37" t="s">
        <v>39</v>
      </c>
      <c r="AC19" s="37" t="s">
        <v>39</v>
      </c>
      <c r="AD19" s="37"/>
      <c r="AE19" s="37" t="s">
        <v>39</v>
      </c>
      <c r="AF19" s="37" t="s">
        <v>39</v>
      </c>
      <c r="AG19" s="37" t="s">
        <v>39</v>
      </c>
      <c r="AH19" s="37">
        <v>49.376515177207267</v>
      </c>
      <c r="AI19" s="37" t="s">
        <v>39</v>
      </c>
      <c r="AJ19" s="37" t="s">
        <v>39</v>
      </c>
      <c r="AK19" s="37"/>
      <c r="AL19" s="37">
        <v>0.44371222381809738</v>
      </c>
      <c r="AM19" s="37" t="s">
        <v>39</v>
      </c>
      <c r="AN19" s="37" t="s">
        <v>39</v>
      </c>
      <c r="AO19" s="37">
        <v>8.2138724766260101</v>
      </c>
      <c r="AP19" s="37"/>
      <c r="AQ19" s="37">
        <v>0.80047602728728284</v>
      </c>
      <c r="AR19" s="37" t="s">
        <v>39</v>
      </c>
      <c r="AS19" s="37" t="s">
        <v>39</v>
      </c>
      <c r="AT19" s="37">
        <v>2.9184247156918968</v>
      </c>
      <c r="AU19" s="37" t="s">
        <v>39</v>
      </c>
      <c r="AV19" s="37"/>
      <c r="AW19" s="37"/>
      <c r="AX19" s="37"/>
      <c r="AY19" s="35"/>
      <c r="AZ19" s="35"/>
      <c r="BA19" s="40"/>
      <c r="BB19" s="40"/>
      <c r="BC19" s="35"/>
      <c r="BD19" s="35"/>
      <c r="BE19" s="35"/>
      <c r="BF19" s="35"/>
      <c r="BG19" s="35"/>
      <c r="BH19" s="35"/>
      <c r="BI19" s="35"/>
      <c r="BJ19" s="35"/>
      <c r="BK19" s="35"/>
      <c r="BL19" s="35"/>
      <c r="BM19" s="35"/>
      <c r="BN19" s="35"/>
      <c r="BO19" s="35"/>
      <c r="BP19" s="35"/>
      <c r="BQ19" s="35"/>
      <c r="BR19" s="35"/>
      <c r="BS19" s="35"/>
      <c r="BT19" s="35"/>
      <c r="BU19" s="35"/>
      <c r="BV19" s="35"/>
      <c r="BW19" s="38"/>
      <c r="BX19" s="38"/>
      <c r="BY19" s="38"/>
      <c r="BZ19" s="38"/>
      <c r="CA19" s="35"/>
      <c r="CB19" s="35"/>
      <c r="CC19" s="35"/>
    </row>
    <row r="20" spans="1:81" x14ac:dyDescent="0.2">
      <c r="A20" s="36" t="s">
        <v>193</v>
      </c>
      <c r="B20" s="35"/>
      <c r="C20" s="37"/>
      <c r="D20" s="37">
        <v>0.6714981660399536</v>
      </c>
      <c r="E20" s="37">
        <v>7.1606768682235327</v>
      </c>
      <c r="F20" s="37">
        <v>12.243243243549326</v>
      </c>
      <c r="G20" s="37" t="s">
        <v>39</v>
      </c>
      <c r="H20" s="37" t="s">
        <v>39</v>
      </c>
      <c r="I20" s="37" t="s">
        <v>39</v>
      </c>
      <c r="J20" s="37"/>
      <c r="K20" s="37">
        <v>0.58303869984397361</v>
      </c>
      <c r="L20" s="37" t="s">
        <v>39</v>
      </c>
      <c r="M20" s="37"/>
      <c r="N20" s="37"/>
      <c r="O20" s="37"/>
      <c r="P20" s="37">
        <v>2.1222014033794587</v>
      </c>
      <c r="Q20" s="37"/>
      <c r="R20" s="37"/>
      <c r="S20" s="37" t="s">
        <v>39</v>
      </c>
      <c r="T20" s="37" t="s">
        <v>39</v>
      </c>
      <c r="U20" s="37" t="s">
        <v>39</v>
      </c>
      <c r="V20" s="37"/>
      <c r="W20" s="37">
        <v>0.58301158302615841</v>
      </c>
      <c r="X20" s="37" t="s">
        <v>39</v>
      </c>
      <c r="Y20" s="37"/>
      <c r="Z20" s="37">
        <v>2.4844323096444207</v>
      </c>
      <c r="AA20" s="37">
        <v>1.1931486578236479</v>
      </c>
      <c r="AB20" s="37">
        <v>8.5666896993472644E-2</v>
      </c>
      <c r="AC20" s="37" t="s">
        <v>39</v>
      </c>
      <c r="AD20" s="37"/>
      <c r="AE20" s="37" t="s">
        <v>39</v>
      </c>
      <c r="AF20" s="37" t="s">
        <v>39</v>
      </c>
      <c r="AG20" s="37" t="s">
        <v>39</v>
      </c>
      <c r="AH20" s="37">
        <v>53.237936690037358</v>
      </c>
      <c r="AI20" s="37" t="s">
        <v>39</v>
      </c>
      <c r="AJ20" s="37" t="s">
        <v>39</v>
      </c>
      <c r="AK20" s="37"/>
      <c r="AL20" s="37">
        <v>0.36729729730647975</v>
      </c>
      <c r="AM20" s="37" t="s">
        <v>39</v>
      </c>
      <c r="AN20" s="37" t="s">
        <v>39</v>
      </c>
      <c r="AO20" s="37">
        <v>8.0933571590140403</v>
      </c>
      <c r="AP20" s="37"/>
      <c r="AQ20" s="37">
        <v>0.78884312274658874</v>
      </c>
      <c r="AR20" s="37" t="s">
        <v>39</v>
      </c>
      <c r="AS20" s="37" t="s">
        <v>39</v>
      </c>
      <c r="AT20" s="37">
        <v>2.8759865501389767</v>
      </c>
      <c r="AU20" s="37" t="s">
        <v>39</v>
      </c>
      <c r="AV20" s="37"/>
      <c r="AW20" s="37"/>
      <c r="AX20" s="37"/>
      <c r="AY20" s="35"/>
      <c r="AZ20" s="35"/>
      <c r="BA20" s="35"/>
      <c r="BB20" s="35"/>
      <c r="BC20" s="35"/>
      <c r="BD20" s="35"/>
      <c r="BE20" s="35"/>
      <c r="BF20" s="35"/>
      <c r="BG20" s="35"/>
      <c r="BH20" s="35"/>
      <c r="BI20" s="35"/>
      <c r="BJ20" s="35"/>
      <c r="BK20" s="35"/>
      <c r="BL20" s="35"/>
      <c r="BM20" s="35"/>
      <c r="BN20" s="35"/>
      <c r="BO20" s="35"/>
      <c r="BP20" s="35"/>
      <c r="BQ20" s="35"/>
      <c r="BR20" s="35"/>
      <c r="BS20" s="35"/>
      <c r="BT20" s="35"/>
      <c r="BU20" s="35"/>
      <c r="BV20" s="35"/>
      <c r="BW20" s="38"/>
      <c r="BX20" s="38"/>
      <c r="BY20" s="38"/>
      <c r="BZ20" s="38"/>
      <c r="CA20" s="35"/>
      <c r="CB20" s="35"/>
      <c r="CC20" s="35"/>
    </row>
    <row r="21" spans="1:81" x14ac:dyDescent="0.2">
      <c r="A21" s="36" t="s">
        <v>40</v>
      </c>
      <c r="B21" s="35"/>
      <c r="C21" s="37"/>
      <c r="D21" s="37">
        <v>0.73023269837323213</v>
      </c>
      <c r="E21" s="37">
        <v>8.0540398838714555</v>
      </c>
      <c r="F21" s="37">
        <v>14.604666778575854</v>
      </c>
      <c r="G21" s="37" t="s">
        <v>39</v>
      </c>
      <c r="H21" s="37" t="s">
        <v>39</v>
      </c>
      <c r="I21" s="37" t="s">
        <v>39</v>
      </c>
      <c r="J21" s="37"/>
      <c r="K21" s="37">
        <v>0.48682202310993428</v>
      </c>
      <c r="L21" s="37" t="s">
        <v>39</v>
      </c>
      <c r="M21" s="37"/>
      <c r="N21" s="37"/>
      <c r="O21" s="37"/>
      <c r="P21" s="37">
        <v>2.190689874656671</v>
      </c>
      <c r="Q21" s="37"/>
      <c r="R21" s="37"/>
      <c r="S21" s="37" t="s">
        <v>39</v>
      </c>
      <c r="T21" s="37" t="s">
        <v>39</v>
      </c>
      <c r="U21" s="37" t="s">
        <v>39</v>
      </c>
      <c r="V21" s="37"/>
      <c r="W21" s="37">
        <v>1.0953417102870648</v>
      </c>
      <c r="X21" s="37" t="s">
        <v>39</v>
      </c>
      <c r="Y21" s="37"/>
      <c r="Z21" s="37">
        <v>3.110566826448744</v>
      </c>
      <c r="AA21" s="37">
        <v>1.0493089034460659</v>
      </c>
      <c r="AB21" s="37">
        <v>7.3023016400123222E-2</v>
      </c>
      <c r="AC21" s="37" t="s">
        <v>39</v>
      </c>
      <c r="AD21" s="37"/>
      <c r="AE21" s="37" t="s">
        <v>39</v>
      </c>
      <c r="AF21" s="37" t="s">
        <v>39</v>
      </c>
      <c r="AG21" s="37" t="s">
        <v>39</v>
      </c>
      <c r="AH21" s="37">
        <v>67.475203838484489</v>
      </c>
      <c r="AI21" s="37" t="s">
        <v>39</v>
      </c>
      <c r="AJ21" s="37" t="s">
        <v>39</v>
      </c>
      <c r="AK21" s="37"/>
      <c r="AL21" s="37">
        <v>0.36510824369510103</v>
      </c>
      <c r="AM21" s="37" t="s">
        <v>39</v>
      </c>
      <c r="AN21" s="37" t="s">
        <v>39</v>
      </c>
      <c r="AO21" s="37">
        <v>12.673369783722071</v>
      </c>
      <c r="AP21" s="37"/>
      <c r="AQ21" s="37">
        <v>0.9605753988593515</v>
      </c>
      <c r="AR21" s="37" t="s">
        <v>39</v>
      </c>
      <c r="AS21" s="37" t="s">
        <v>39</v>
      </c>
      <c r="AT21" s="37">
        <v>4.502787475852581</v>
      </c>
      <c r="AU21" s="37" t="s">
        <v>39</v>
      </c>
      <c r="AV21" s="37"/>
      <c r="AW21" s="37"/>
      <c r="AX21" s="37"/>
      <c r="AY21" s="35"/>
      <c r="AZ21" s="35"/>
      <c r="BA21" s="35"/>
      <c r="BB21" s="35"/>
      <c r="BC21" s="35"/>
      <c r="BD21" s="35"/>
      <c r="BE21" s="35"/>
      <c r="BF21" s="35"/>
      <c r="BG21" s="35"/>
      <c r="BH21" s="35"/>
      <c r="BI21" s="35"/>
      <c r="BJ21" s="35"/>
      <c r="BK21" s="35"/>
      <c r="BL21" s="35"/>
      <c r="BM21" s="35"/>
      <c r="BN21" s="35"/>
      <c r="BO21" s="35"/>
      <c r="BP21" s="35"/>
      <c r="BQ21" s="35"/>
      <c r="BR21" s="35"/>
      <c r="BS21" s="35"/>
      <c r="BT21" s="35"/>
      <c r="BU21" s="35"/>
      <c r="BV21" s="35"/>
      <c r="BW21" s="38"/>
      <c r="BX21" s="38"/>
      <c r="BY21" s="38"/>
      <c r="BZ21" s="38"/>
      <c r="CA21" s="35"/>
      <c r="CB21" s="35"/>
      <c r="CC21" s="35"/>
    </row>
    <row r="22" spans="1:81" x14ac:dyDescent="0.2">
      <c r="A22" s="36" t="s">
        <v>251</v>
      </c>
      <c r="C22" s="37">
        <v>1.4046236559139784</v>
      </c>
      <c r="D22" s="37"/>
      <c r="E22" s="37">
        <v>7.6</v>
      </c>
      <c r="F22" s="37">
        <v>11.331632653061224</v>
      </c>
      <c r="G22" s="37"/>
      <c r="H22" s="37"/>
      <c r="I22" s="37"/>
      <c r="J22" s="37"/>
      <c r="K22" s="37">
        <v>0.44443243243243241</v>
      </c>
      <c r="L22" s="37"/>
      <c r="M22" s="37"/>
      <c r="N22" s="37"/>
      <c r="O22" s="37"/>
      <c r="P22" s="37">
        <v>2.0841860465116278</v>
      </c>
      <c r="Q22" s="37"/>
      <c r="R22" s="37"/>
      <c r="S22" s="37"/>
      <c r="T22" s="37"/>
      <c r="U22" s="37"/>
      <c r="V22" s="37"/>
      <c r="W22" s="37">
        <v>1.2666666666666666</v>
      </c>
      <c r="X22" s="37"/>
      <c r="Y22" s="37"/>
      <c r="Z22" s="37">
        <v>8.6667441860465111</v>
      </c>
      <c r="AA22" s="37">
        <v>0.41604416077281353</v>
      </c>
      <c r="AB22" s="37"/>
      <c r="AC22" s="37"/>
      <c r="AD22" s="37"/>
      <c r="AE22" s="37"/>
      <c r="AF22" s="37"/>
      <c r="AG22" s="37"/>
      <c r="AH22" s="37">
        <v>58.441708904054735</v>
      </c>
      <c r="AI22" s="37"/>
      <c r="AJ22" s="37"/>
      <c r="AK22" s="37"/>
      <c r="AL22" s="37">
        <v>0.2297779648220164</v>
      </c>
      <c r="AM22" s="37"/>
      <c r="AN22" s="37"/>
      <c r="AO22" s="37">
        <v>15.693008711190531</v>
      </c>
      <c r="AP22" s="37"/>
      <c r="AQ22" s="37">
        <v>0.74191580231848686</v>
      </c>
      <c r="AR22" s="37"/>
      <c r="AS22" s="37"/>
      <c r="AT22" s="37">
        <v>4.0669844883461774</v>
      </c>
      <c r="AU22" s="37"/>
    </row>
    <row r="23" spans="1:81" x14ac:dyDescent="0.2"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</row>
    <row r="27" spans="1:81" ht="14.4" x14ac:dyDescent="0.2">
      <c r="AR27" s="92"/>
      <c r="AS27" s="18"/>
    </row>
  </sheetData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H129"/>
  <sheetViews>
    <sheetView zoomScale="60" zoomScaleNormal="60" workbookViewId="0">
      <pane xSplit="1" ySplit="3" topLeftCell="N4" activePane="bottomRight" state="frozen"/>
      <selection pane="topRight" activeCell="B1" sqref="B1"/>
      <selection pane="bottomLeft" activeCell="A4" sqref="A4"/>
      <selection pane="bottomRight" activeCell="Z13" sqref="Z13"/>
    </sheetView>
  </sheetViews>
  <sheetFormatPr defaultRowHeight="14.4" x14ac:dyDescent="0.3"/>
  <cols>
    <col min="1" max="1" width="42.33203125" style="5" customWidth="1"/>
    <col min="2" max="2" width="11.77734375" customWidth="1"/>
    <col min="3" max="3" width="11.5546875" customWidth="1"/>
    <col min="4" max="4" width="13.33203125" customWidth="1"/>
    <col min="5" max="5" width="14" customWidth="1"/>
    <col min="7" max="7" width="14.21875" customWidth="1"/>
    <col min="8" max="8" width="17.33203125" customWidth="1"/>
    <col min="9" max="9" width="15.33203125" customWidth="1"/>
    <col min="10" max="11" width="11.21875" style="51" customWidth="1"/>
    <col min="12" max="12" width="13" customWidth="1"/>
    <col min="13" max="13" width="21.5546875" customWidth="1"/>
    <col min="14" max="14" width="17.88671875" customWidth="1"/>
    <col min="15" max="15" width="13.77734375" customWidth="1"/>
    <col min="16" max="16" width="17.44140625" customWidth="1"/>
    <col min="17" max="17" width="15.6640625" customWidth="1"/>
    <col min="18" max="18" width="11.21875" style="51" customWidth="1"/>
    <col min="19" max="19" width="11.21875" style="15" customWidth="1"/>
    <col min="20" max="20" width="16.109375" style="15" customWidth="1"/>
    <col min="21" max="21" width="14.77734375" style="15" customWidth="1"/>
    <col min="22" max="22" width="10.33203125" customWidth="1"/>
    <col min="23" max="23" width="17.33203125" customWidth="1"/>
    <col min="24" max="24" width="16.6640625" customWidth="1"/>
    <col min="25" max="25" width="20" customWidth="1"/>
    <col min="26" max="26" width="16" customWidth="1"/>
    <col min="27" max="27" width="18" customWidth="1"/>
    <col min="28" max="28" width="17.88671875" customWidth="1"/>
    <col min="29" max="29" width="12.5546875" style="3" customWidth="1"/>
    <col min="30" max="30" width="12.5546875" style="88" customWidth="1"/>
    <col min="31" max="32" width="12.5546875" customWidth="1"/>
    <col min="33" max="33" width="12.5546875" style="107" customWidth="1"/>
    <col min="34" max="36" width="12.5546875" customWidth="1"/>
    <col min="37" max="37" width="12.5546875" style="83" customWidth="1"/>
    <col min="38" max="39" width="12.5546875" customWidth="1"/>
    <col min="40" max="40" width="12.5546875" style="107" customWidth="1"/>
    <col min="41" max="41" width="14" customWidth="1"/>
    <col min="42" max="42" width="16.88671875" customWidth="1"/>
    <col min="43" max="43" width="15.77734375" customWidth="1"/>
    <col min="44" max="44" width="12.5546875" style="3" customWidth="1"/>
    <col min="45" max="45" width="12.109375" customWidth="1"/>
    <col min="46" max="46" width="16.6640625" customWidth="1"/>
    <col min="47" max="47" width="15.5546875" customWidth="1"/>
    <col min="48" max="48" width="12.5546875" style="3" customWidth="1"/>
    <col min="49" max="49" width="14" customWidth="1"/>
    <col min="50" max="50" width="17.77734375" customWidth="1"/>
    <col min="51" max="51" width="15" customWidth="1"/>
    <col min="52" max="52" width="12.5546875" style="3" customWidth="1"/>
    <col min="53" max="53" width="12.33203125" customWidth="1"/>
    <col min="54" max="54" width="16.6640625" customWidth="1"/>
    <col min="55" max="55" width="20.21875" customWidth="1"/>
    <col min="56" max="56" width="10.33203125" customWidth="1"/>
    <col min="57" max="57" width="11.109375" customWidth="1"/>
    <col min="58" max="59" width="16.33203125" customWidth="1"/>
    <col min="60" max="60" width="16.33203125" style="113" customWidth="1"/>
  </cols>
  <sheetData>
    <row r="1" spans="1:60" s="3" customFormat="1" x14ac:dyDescent="0.3">
      <c r="A1" s="11"/>
      <c r="B1" s="11"/>
      <c r="K1" s="51"/>
      <c r="L1" s="51"/>
      <c r="S1" s="51"/>
      <c r="T1" s="15"/>
      <c r="U1" s="15"/>
      <c r="V1" s="15"/>
      <c r="AD1" s="15"/>
      <c r="AG1" s="67"/>
      <c r="AK1" s="116"/>
      <c r="AN1" s="67"/>
      <c r="BH1" s="112"/>
    </row>
    <row r="2" spans="1:60" s="7" customFormat="1" ht="15.6" x14ac:dyDescent="0.3">
      <c r="A2" s="12"/>
      <c r="B2" s="12"/>
      <c r="C2" s="11"/>
      <c r="D2" s="122" t="s">
        <v>133</v>
      </c>
      <c r="E2" s="122"/>
      <c r="F2" s="122"/>
      <c r="G2" s="11"/>
      <c r="H2" s="122" t="s">
        <v>132</v>
      </c>
      <c r="I2" s="122"/>
      <c r="J2" s="122"/>
      <c r="K2" s="11"/>
      <c r="L2" s="122" t="s">
        <v>145</v>
      </c>
      <c r="M2" s="122"/>
      <c r="N2" s="122"/>
      <c r="O2" s="11"/>
      <c r="P2" s="122" t="s">
        <v>147</v>
      </c>
      <c r="Q2" s="122"/>
      <c r="R2" s="122"/>
      <c r="S2" s="11"/>
      <c r="T2" s="122" t="s">
        <v>150</v>
      </c>
      <c r="U2" s="122"/>
      <c r="V2" s="122"/>
      <c r="W2" s="11"/>
      <c r="X2" s="122" t="s">
        <v>41</v>
      </c>
      <c r="Y2" s="122"/>
      <c r="Z2" s="122"/>
      <c r="AA2" s="122" t="s">
        <v>122</v>
      </c>
      <c r="AB2" s="122"/>
      <c r="AC2" s="122"/>
      <c r="AD2" s="129" t="s">
        <v>1</v>
      </c>
      <c r="AE2" s="122" t="s">
        <v>238</v>
      </c>
      <c r="AF2" s="122"/>
      <c r="AG2" s="122"/>
      <c r="AH2" s="85"/>
      <c r="AI2" s="122" t="s">
        <v>239</v>
      </c>
      <c r="AJ2" s="122"/>
      <c r="AK2" s="122"/>
      <c r="AL2" s="122" t="s">
        <v>240</v>
      </c>
      <c r="AM2" s="122"/>
      <c r="AN2" s="122"/>
      <c r="AO2" s="11"/>
      <c r="AP2" s="122" t="s">
        <v>152</v>
      </c>
      <c r="AQ2" s="122"/>
      <c r="AR2" s="122"/>
      <c r="AS2" s="11"/>
      <c r="AT2" s="122" t="s">
        <v>153</v>
      </c>
      <c r="AU2" s="122"/>
      <c r="AV2" s="122"/>
      <c r="AW2" s="11"/>
      <c r="AX2" s="122" t="s">
        <v>154</v>
      </c>
      <c r="AY2" s="122"/>
      <c r="AZ2" s="122"/>
      <c r="BA2" s="11"/>
      <c r="BB2" s="122" t="s">
        <v>155</v>
      </c>
      <c r="BC2" s="122"/>
      <c r="BD2" s="122"/>
      <c r="BE2" s="85"/>
      <c r="BF2" s="122" t="s">
        <v>236</v>
      </c>
      <c r="BG2" s="122"/>
      <c r="BH2" s="122"/>
    </row>
    <row r="3" spans="1:60" s="7" customFormat="1" ht="15.6" x14ac:dyDescent="0.3">
      <c r="A3" s="53" t="s">
        <v>0</v>
      </c>
      <c r="B3" s="53" t="s">
        <v>194</v>
      </c>
      <c r="C3" s="52" t="s">
        <v>1</v>
      </c>
      <c r="D3" s="8" t="s">
        <v>2</v>
      </c>
      <c r="E3" s="9" t="s">
        <v>169</v>
      </c>
      <c r="F3" s="9" t="s">
        <v>9</v>
      </c>
      <c r="G3" s="52" t="s">
        <v>1</v>
      </c>
      <c r="H3" s="8" t="s">
        <v>2</v>
      </c>
      <c r="I3" s="9" t="s">
        <v>169</v>
      </c>
      <c r="J3" s="9" t="s">
        <v>9</v>
      </c>
      <c r="K3" s="52" t="s">
        <v>1</v>
      </c>
      <c r="L3" s="8" t="s">
        <v>2</v>
      </c>
      <c r="M3" s="9" t="s">
        <v>169</v>
      </c>
      <c r="N3" s="9" t="s">
        <v>9</v>
      </c>
      <c r="O3" s="52" t="s">
        <v>1</v>
      </c>
      <c r="P3" s="8" t="s">
        <v>2</v>
      </c>
      <c r="Q3" s="9" t="s">
        <v>169</v>
      </c>
      <c r="R3" s="9" t="s">
        <v>9</v>
      </c>
      <c r="S3" s="52" t="s">
        <v>1</v>
      </c>
      <c r="T3" s="8" t="s">
        <v>2</v>
      </c>
      <c r="U3" s="9" t="s">
        <v>169</v>
      </c>
      <c r="V3" s="9" t="s">
        <v>9</v>
      </c>
      <c r="W3" s="52" t="s">
        <v>1</v>
      </c>
      <c r="X3" s="8" t="s">
        <v>2</v>
      </c>
      <c r="Y3" s="9" t="s">
        <v>8</v>
      </c>
      <c r="Z3" s="9" t="s">
        <v>9</v>
      </c>
      <c r="AA3" s="8" t="s">
        <v>2</v>
      </c>
      <c r="AB3" s="9" t="s">
        <v>8</v>
      </c>
      <c r="AC3" s="9" t="s">
        <v>9</v>
      </c>
      <c r="AD3" s="129" t="s">
        <v>1</v>
      </c>
      <c r="AE3" s="8" t="s">
        <v>2</v>
      </c>
      <c r="AF3" s="9" t="s">
        <v>8</v>
      </c>
      <c r="AG3" s="104" t="s">
        <v>9</v>
      </c>
      <c r="AH3" s="9"/>
      <c r="AI3" s="8" t="s">
        <v>2</v>
      </c>
      <c r="AJ3" s="9" t="s">
        <v>8</v>
      </c>
      <c r="AK3" s="108" t="s">
        <v>9</v>
      </c>
      <c r="AL3" s="8" t="s">
        <v>2</v>
      </c>
      <c r="AM3" s="9" t="s">
        <v>8</v>
      </c>
      <c r="AN3" s="104" t="s">
        <v>9</v>
      </c>
      <c r="AO3" s="52" t="s">
        <v>1</v>
      </c>
      <c r="AP3" s="8" t="s">
        <v>2</v>
      </c>
      <c r="AQ3" s="9" t="s">
        <v>169</v>
      </c>
      <c r="AR3" s="9" t="s">
        <v>9</v>
      </c>
      <c r="AS3" s="52" t="s">
        <v>1</v>
      </c>
      <c r="AT3" s="8" t="s">
        <v>2</v>
      </c>
      <c r="AU3" s="9" t="s">
        <v>169</v>
      </c>
      <c r="AV3" s="9" t="s">
        <v>9</v>
      </c>
      <c r="AW3" s="52" t="s">
        <v>1</v>
      </c>
      <c r="AX3" s="8" t="s">
        <v>2</v>
      </c>
      <c r="AY3" s="9" t="s">
        <v>169</v>
      </c>
      <c r="AZ3" s="9" t="s">
        <v>9</v>
      </c>
      <c r="BA3" s="52" t="s">
        <v>1</v>
      </c>
      <c r="BB3" s="8" t="s">
        <v>2</v>
      </c>
      <c r="BC3" s="9" t="s">
        <v>169</v>
      </c>
      <c r="BD3" s="9" t="s">
        <v>9</v>
      </c>
      <c r="BE3" s="52" t="s">
        <v>1</v>
      </c>
      <c r="BF3" s="8" t="s">
        <v>2</v>
      </c>
      <c r="BG3" s="9" t="s">
        <v>8</v>
      </c>
      <c r="BH3" s="110" t="s">
        <v>9</v>
      </c>
    </row>
    <row r="4" spans="1:60" s="3" customFormat="1" ht="15" customHeight="1" x14ac:dyDescent="0.3">
      <c r="A4" s="45" t="s">
        <v>100</v>
      </c>
      <c r="B4" s="45" t="s">
        <v>26</v>
      </c>
      <c r="C4" s="45" t="s">
        <v>136</v>
      </c>
      <c r="D4" s="47"/>
      <c r="E4" s="47"/>
      <c r="F4" s="70" t="str">
        <f>IFERROR(E4/$D$104/D4,"")</f>
        <v/>
      </c>
      <c r="G4" s="45" t="s">
        <v>136</v>
      </c>
      <c r="I4" s="47"/>
      <c r="J4" s="70" t="str">
        <f>IFERROR(I4/$D$105/H4,"")</f>
        <v/>
      </c>
      <c r="K4" s="45" t="s">
        <v>136</v>
      </c>
      <c r="L4" s="55"/>
      <c r="M4" s="55"/>
      <c r="N4" s="70" t="str">
        <f>IFERROR(M4/$D$106/L4,"")</f>
        <v/>
      </c>
      <c r="O4" s="45" t="s">
        <v>136</v>
      </c>
      <c r="Q4" s="55"/>
      <c r="R4" s="70" t="str">
        <f>IFERROR(Q4/$D$107/P4,"")</f>
        <v/>
      </c>
      <c r="S4" s="45" t="s">
        <v>136</v>
      </c>
      <c r="V4" s="70" t="str">
        <f>IFERROR(U4/$D$108/T4,"")</f>
        <v/>
      </c>
      <c r="W4" s="45" t="s">
        <v>136</v>
      </c>
      <c r="X4" s="47">
        <f>F60*50</f>
        <v>166.66517857142858</v>
      </c>
      <c r="Y4" s="47">
        <v>1099</v>
      </c>
      <c r="Z4" s="70">
        <f>IFERROR(Y4/X4,"")</f>
        <v>6.5940588755256737</v>
      </c>
      <c r="AA4" s="47">
        <f>F60*120</f>
        <v>399.99642857142857</v>
      </c>
      <c r="AB4" s="47">
        <v>1977</v>
      </c>
      <c r="AC4" s="70">
        <f>IFERROR(AB4/AA4,"")</f>
        <v>4.9425441298583026</v>
      </c>
      <c r="AD4" s="86" t="s">
        <v>136</v>
      </c>
      <c r="AE4" s="18">
        <f>F60*250</f>
        <v>833.32589285714289</v>
      </c>
      <c r="AF4" s="18">
        <v>6144</v>
      </c>
      <c r="AG4" s="105">
        <f t="shared" ref="AG4:AG15" si="0">IFERROR(AF4/AE4,"")</f>
        <v>7.3728658291591884</v>
      </c>
      <c r="AH4" s="18"/>
      <c r="AI4" s="18">
        <f>F60*150</f>
        <v>499.99553571428572</v>
      </c>
      <c r="AJ4" s="18">
        <v>4167</v>
      </c>
      <c r="AK4" s="105">
        <f t="shared" ref="AK4:AK15" si="1">IFERROR(AJ4/AI4,"")</f>
        <v>8.3340744113786727</v>
      </c>
      <c r="AL4" s="18">
        <f>F60*50</f>
        <v>166.66517857142858</v>
      </c>
      <c r="AM4" s="18">
        <v>1471</v>
      </c>
      <c r="AN4" s="105">
        <f t="shared" ref="AN4:AN15" si="2">IFERROR(AM4/AL4,"")</f>
        <v>8.8260788042750367</v>
      </c>
      <c r="AO4" s="45" t="s">
        <v>136</v>
      </c>
      <c r="AP4" s="3">
        <f>F60*530</f>
        <v>1766.6508928571429</v>
      </c>
      <c r="AQ4" s="2">
        <v>238857</v>
      </c>
      <c r="AR4" s="70">
        <f>IFERROR(AQ4/$D$114/AP4,"")</f>
        <v>8.2027892482412206</v>
      </c>
      <c r="AS4" s="45" t="s">
        <v>136</v>
      </c>
      <c r="AT4" s="3">
        <f>F60*900</f>
        <v>2999.9732142857142</v>
      </c>
      <c r="AU4" s="3">
        <v>460000</v>
      </c>
      <c r="AV4" s="70">
        <f>IFERROR(AU4/$D$115/AT4,"")</f>
        <v>9.5251074502307258</v>
      </c>
      <c r="AW4" s="45" t="s">
        <v>136</v>
      </c>
      <c r="AY4" s="3">
        <v>14010</v>
      </c>
      <c r="AZ4" s="70" t="str">
        <f>IFERROR(AY4/$D$116/AX4,"")</f>
        <v/>
      </c>
      <c r="BA4" s="45" t="s">
        <v>136</v>
      </c>
      <c r="BD4" s="70" t="str">
        <f>IFERROR(BC4/$D$117/BB4,"")</f>
        <v/>
      </c>
      <c r="BH4" s="111" t="str">
        <f t="shared" ref="BH4:BH15" si="3">IFERROR(BG4/BF4,"")</f>
        <v/>
      </c>
    </row>
    <row r="5" spans="1:60" s="3" customFormat="1" ht="15" customHeight="1" x14ac:dyDescent="0.3">
      <c r="A5" s="45" t="s">
        <v>99</v>
      </c>
      <c r="B5" s="45" t="s">
        <v>204</v>
      </c>
      <c r="C5" s="45" t="s">
        <v>98</v>
      </c>
      <c r="D5" s="47"/>
      <c r="E5" s="47"/>
      <c r="F5" s="70" t="str">
        <f t="shared" ref="F5:F47" si="4">IFERROR(E5/$D$104/D5,"")</f>
        <v/>
      </c>
      <c r="G5" s="45" t="s">
        <v>98</v>
      </c>
      <c r="I5" s="47"/>
      <c r="J5" s="70" t="str">
        <f t="shared" ref="J5:J47" si="5">IFERROR(I5/$D$105/H5,"")</f>
        <v/>
      </c>
      <c r="K5" s="55" t="s">
        <v>98</v>
      </c>
      <c r="N5" s="70" t="str">
        <f t="shared" ref="N5:N47" si="6">IFERROR(M5/$D$106/L5,"")</f>
        <v/>
      </c>
      <c r="O5" s="55" t="s">
        <v>98</v>
      </c>
      <c r="Q5" s="55"/>
      <c r="R5" s="70" t="str">
        <f t="shared" ref="R5:R47" si="7">IFERROR(Q5/$D$107/P5,"")</f>
        <v/>
      </c>
      <c r="S5" s="55" t="s">
        <v>98</v>
      </c>
      <c r="V5" s="70" t="str">
        <f t="shared" ref="V5:V47" si="8">IFERROR(U5/$D$108/T5,"")</f>
        <v/>
      </c>
      <c r="W5" s="45" t="s">
        <v>98</v>
      </c>
      <c r="X5" s="47">
        <v>50</v>
      </c>
      <c r="Y5" s="47">
        <v>55</v>
      </c>
      <c r="Z5" s="70">
        <f t="shared" ref="Z5:Z47" si="9">IFERROR(Y5/X5,"")</f>
        <v>1.1000000000000001</v>
      </c>
      <c r="AA5" s="47">
        <v>50</v>
      </c>
      <c r="AB5" s="47">
        <v>153</v>
      </c>
      <c r="AC5" s="70">
        <f t="shared" ref="AC5:AC47" si="10">IFERROR(AB5/AA5,"")</f>
        <v>3.06</v>
      </c>
      <c r="AD5" s="86"/>
      <c r="AE5" s="18"/>
      <c r="AF5" s="18"/>
      <c r="AG5" s="105" t="str">
        <f t="shared" si="0"/>
        <v/>
      </c>
      <c r="AH5" s="18"/>
      <c r="AI5" s="18"/>
      <c r="AJ5" s="18"/>
      <c r="AK5" s="105" t="str">
        <f t="shared" si="1"/>
        <v/>
      </c>
      <c r="AL5" s="18"/>
      <c r="AM5" s="18"/>
      <c r="AN5" s="105" t="str">
        <f t="shared" si="2"/>
        <v/>
      </c>
      <c r="AO5" s="55" t="s">
        <v>98</v>
      </c>
      <c r="AR5" s="70" t="str">
        <f t="shared" ref="AR5:AR47" si="11">IFERROR(AQ5/$D$114/AP5,"")</f>
        <v/>
      </c>
      <c r="AS5" s="55" t="s">
        <v>98</v>
      </c>
      <c r="AV5" s="70" t="str">
        <f t="shared" ref="AV5:AV47" si="12">IFERROR(AU5/$D$115/AT5,"")</f>
        <v/>
      </c>
      <c r="AW5" s="55" t="s">
        <v>98</v>
      </c>
      <c r="AZ5" s="70" t="str">
        <f t="shared" ref="AZ5:AZ46" si="13">IFERROR(AY5/$D$116/AX5,"")</f>
        <v/>
      </c>
      <c r="BA5" s="55" t="s">
        <v>98</v>
      </c>
      <c r="BD5" s="70" t="str">
        <f t="shared" ref="BD5:BD47" si="14">IFERROR(BC5/$D$117/BB5,"")</f>
        <v/>
      </c>
      <c r="BH5" s="111" t="str">
        <f t="shared" si="3"/>
        <v/>
      </c>
    </row>
    <row r="6" spans="1:60" s="3" customFormat="1" ht="15" customHeight="1" x14ac:dyDescent="0.3">
      <c r="A6" s="55" t="s">
        <v>123</v>
      </c>
      <c r="B6" s="45" t="s">
        <v>203</v>
      </c>
      <c r="C6" s="45" t="s">
        <v>103</v>
      </c>
      <c r="D6" s="47"/>
      <c r="E6" s="47"/>
      <c r="F6" s="70" t="str">
        <f t="shared" si="4"/>
        <v/>
      </c>
      <c r="G6" s="45" t="s">
        <v>103</v>
      </c>
      <c r="I6" s="47"/>
      <c r="J6" s="70" t="str">
        <f t="shared" si="5"/>
        <v/>
      </c>
      <c r="K6" s="55" t="s">
        <v>103</v>
      </c>
      <c r="L6" s="47"/>
      <c r="M6" s="47"/>
      <c r="N6" s="70" t="str">
        <f t="shared" si="6"/>
        <v/>
      </c>
      <c r="O6" s="55" t="s">
        <v>103</v>
      </c>
      <c r="Q6" s="55"/>
      <c r="R6" s="70" t="str">
        <f t="shared" si="7"/>
        <v/>
      </c>
      <c r="S6" s="55" t="s">
        <v>103</v>
      </c>
      <c r="V6" s="70" t="str">
        <f t="shared" si="8"/>
        <v/>
      </c>
      <c r="W6" s="50" t="s">
        <v>103</v>
      </c>
      <c r="X6" s="47">
        <v>300</v>
      </c>
      <c r="Y6" s="47">
        <v>1121</v>
      </c>
      <c r="Z6" s="70">
        <f t="shared" si="9"/>
        <v>3.7366666666666668</v>
      </c>
      <c r="AA6" s="47">
        <v>200</v>
      </c>
      <c r="AB6" s="47">
        <v>659</v>
      </c>
      <c r="AC6" s="70">
        <f t="shared" si="10"/>
        <v>3.2949999999999999</v>
      </c>
      <c r="AD6" s="100" t="s">
        <v>91</v>
      </c>
      <c r="AE6" s="18">
        <v>250</v>
      </c>
      <c r="AF6" s="18">
        <v>778</v>
      </c>
      <c r="AG6" s="105">
        <f t="shared" si="0"/>
        <v>3.1120000000000001</v>
      </c>
      <c r="AH6" s="86" t="s">
        <v>136</v>
      </c>
      <c r="AI6" s="18">
        <v>250</v>
      </c>
      <c r="AJ6" s="18">
        <v>463</v>
      </c>
      <c r="AK6" s="105">
        <f t="shared" si="1"/>
        <v>1.8520000000000001</v>
      </c>
      <c r="AL6" s="18">
        <v>200</v>
      </c>
      <c r="AM6" s="18">
        <v>588</v>
      </c>
      <c r="AN6" s="105">
        <f t="shared" si="2"/>
        <v>2.94</v>
      </c>
      <c r="AO6" s="55" t="s">
        <v>136</v>
      </c>
      <c r="AP6" s="3">
        <v>440</v>
      </c>
      <c r="AQ6" s="3">
        <v>25972</v>
      </c>
      <c r="AR6" s="70">
        <f t="shared" si="11"/>
        <v>3.5811872952497947</v>
      </c>
      <c r="AS6" s="55" t="s">
        <v>136</v>
      </c>
      <c r="AT6" s="19">
        <v>300</v>
      </c>
      <c r="AU6" s="19">
        <v>15000</v>
      </c>
      <c r="AV6" s="70">
        <f t="shared" si="12"/>
        <v>3.1059855667266816</v>
      </c>
      <c r="AW6" s="55" t="s">
        <v>136</v>
      </c>
      <c r="AX6" s="19">
        <v>250</v>
      </c>
      <c r="AY6" s="19">
        <v>17865</v>
      </c>
      <c r="AZ6" s="70">
        <f t="shared" si="13"/>
        <v>4.3745108109201745</v>
      </c>
      <c r="BA6" s="55" t="s">
        <v>136</v>
      </c>
      <c r="BB6" s="3">
        <v>280</v>
      </c>
      <c r="BC6" s="3">
        <v>22000</v>
      </c>
      <c r="BD6" s="70">
        <f t="shared" si="14"/>
        <v>5.0203542051354502</v>
      </c>
      <c r="BE6" s="3" t="s">
        <v>136</v>
      </c>
      <c r="BF6" s="3">
        <v>1250</v>
      </c>
      <c r="BG6" s="3">
        <v>5917</v>
      </c>
      <c r="BH6" s="111">
        <f t="shared" si="3"/>
        <v>4.7336</v>
      </c>
    </row>
    <row r="7" spans="1:60" s="3" customFormat="1" ht="15" customHeight="1" x14ac:dyDescent="0.3">
      <c r="A7" s="55" t="s">
        <v>102</v>
      </c>
      <c r="B7" s="45" t="s">
        <v>202</v>
      </c>
      <c r="C7" s="45" t="s">
        <v>101</v>
      </c>
      <c r="D7" s="47"/>
      <c r="E7" s="47"/>
      <c r="F7" s="70" t="str">
        <f t="shared" si="4"/>
        <v/>
      </c>
      <c r="G7" s="45" t="s">
        <v>101</v>
      </c>
      <c r="I7" s="47"/>
      <c r="J7" s="70" t="str">
        <f t="shared" si="5"/>
        <v/>
      </c>
      <c r="K7" s="55" t="s">
        <v>101</v>
      </c>
      <c r="L7" s="47"/>
      <c r="M7" s="47"/>
      <c r="N7" s="70" t="str">
        <f t="shared" si="6"/>
        <v/>
      </c>
      <c r="O7" s="55" t="s">
        <v>101</v>
      </c>
      <c r="P7" s="47"/>
      <c r="Q7" s="47"/>
      <c r="R7" s="70" t="str">
        <f t="shared" si="7"/>
        <v/>
      </c>
      <c r="S7" s="55" t="s">
        <v>101</v>
      </c>
      <c r="V7" s="70" t="str">
        <f t="shared" si="8"/>
        <v/>
      </c>
      <c r="W7" s="45" t="s">
        <v>101</v>
      </c>
      <c r="X7" s="47">
        <v>500</v>
      </c>
      <c r="Y7" s="47">
        <v>16</v>
      </c>
      <c r="Z7" s="70">
        <f t="shared" si="9"/>
        <v>3.2000000000000001E-2</v>
      </c>
      <c r="AA7" s="47"/>
      <c r="AB7" s="47"/>
      <c r="AC7" s="70" t="str">
        <f t="shared" si="10"/>
        <v/>
      </c>
      <c r="AD7" s="86"/>
      <c r="AE7" s="18"/>
      <c r="AF7" s="18"/>
      <c r="AG7" s="105" t="str">
        <f t="shared" si="0"/>
        <v/>
      </c>
      <c r="AH7" s="86"/>
      <c r="AI7" s="18"/>
      <c r="AJ7" s="18"/>
      <c r="AK7" s="105" t="str">
        <f t="shared" si="1"/>
        <v/>
      </c>
      <c r="AL7" s="18"/>
      <c r="AM7" s="18"/>
      <c r="AN7" s="105" t="str">
        <f t="shared" si="2"/>
        <v/>
      </c>
      <c r="AO7" s="55" t="s">
        <v>101</v>
      </c>
      <c r="AR7" s="70" t="str">
        <f t="shared" si="11"/>
        <v/>
      </c>
      <c r="AS7" s="55" t="s">
        <v>101</v>
      </c>
      <c r="AV7" s="70" t="str">
        <f t="shared" si="12"/>
        <v/>
      </c>
      <c r="AW7" s="55" t="s">
        <v>101</v>
      </c>
      <c r="AZ7" s="70" t="str">
        <f t="shared" si="13"/>
        <v/>
      </c>
      <c r="BA7" s="55" t="s">
        <v>101</v>
      </c>
      <c r="BD7" s="70" t="str">
        <f t="shared" si="14"/>
        <v/>
      </c>
      <c r="BH7" s="111" t="str">
        <f t="shared" si="3"/>
        <v/>
      </c>
    </row>
    <row r="8" spans="1:60" s="3" customFormat="1" ht="15" customHeight="1" x14ac:dyDescent="0.3">
      <c r="A8" s="55" t="s">
        <v>17</v>
      </c>
      <c r="B8" s="45" t="s">
        <v>200</v>
      </c>
      <c r="C8" s="50" t="s">
        <v>13</v>
      </c>
      <c r="D8" s="47">
        <v>5000</v>
      </c>
      <c r="E8" s="47">
        <v>39000</v>
      </c>
      <c r="F8" s="70">
        <f t="shared" si="4"/>
        <v>0.54778869778869788</v>
      </c>
      <c r="G8" s="50" t="s">
        <v>13</v>
      </c>
      <c r="H8" s="47">
        <v>7000</v>
      </c>
      <c r="I8" s="47">
        <v>49000</v>
      </c>
      <c r="J8" s="70">
        <f t="shared" si="5"/>
        <v>0.48945536445536447</v>
      </c>
      <c r="K8" s="55" t="s">
        <v>13</v>
      </c>
      <c r="L8" s="47">
        <v>3000</v>
      </c>
      <c r="M8" s="47">
        <v>24000</v>
      </c>
      <c r="N8" s="70">
        <f t="shared" si="6"/>
        <v>0.62571662571662567</v>
      </c>
      <c r="O8" s="55" t="s">
        <v>13</v>
      </c>
      <c r="P8" s="47">
        <v>5000</v>
      </c>
      <c r="Q8" s="47">
        <v>37000</v>
      </c>
      <c r="R8" s="70">
        <f t="shared" si="7"/>
        <v>0.54621212121212115</v>
      </c>
      <c r="S8" s="55" t="s">
        <v>13</v>
      </c>
      <c r="T8" s="47">
        <v>4000</v>
      </c>
      <c r="U8" s="47">
        <v>32000</v>
      </c>
      <c r="V8" s="70">
        <f t="shared" si="8"/>
        <v>0.52088452088452086</v>
      </c>
      <c r="W8" s="55" t="s">
        <v>13</v>
      </c>
      <c r="X8" s="47">
        <v>5000</v>
      </c>
      <c r="Y8" s="47">
        <v>2527</v>
      </c>
      <c r="Z8" s="70">
        <f t="shared" si="9"/>
        <v>0.50539999999999996</v>
      </c>
      <c r="AA8" s="47">
        <v>5000</v>
      </c>
      <c r="AB8" s="47">
        <v>2527</v>
      </c>
      <c r="AC8" s="70">
        <f t="shared" si="10"/>
        <v>0.50539999999999996</v>
      </c>
      <c r="AD8" s="86" t="s">
        <v>13</v>
      </c>
      <c r="AE8" s="18">
        <v>4200</v>
      </c>
      <c r="AF8" s="18">
        <v>2800</v>
      </c>
      <c r="AG8" s="105">
        <f t="shared" si="0"/>
        <v>0.66666666666666663</v>
      </c>
      <c r="AH8" s="86"/>
      <c r="AI8" s="18">
        <v>3700</v>
      </c>
      <c r="AJ8" s="18">
        <v>2193</v>
      </c>
      <c r="AK8" s="105">
        <f t="shared" si="1"/>
        <v>0.59270270270270276</v>
      </c>
      <c r="AL8" s="18">
        <v>3000</v>
      </c>
      <c r="AM8" s="18">
        <v>1618</v>
      </c>
      <c r="AN8" s="105">
        <f t="shared" si="2"/>
        <v>0.53933333333333333</v>
      </c>
      <c r="AO8" s="55" t="s">
        <v>13</v>
      </c>
      <c r="AP8" s="2">
        <v>3500</v>
      </c>
      <c r="AQ8" s="3">
        <v>25000</v>
      </c>
      <c r="AR8" s="70">
        <f t="shared" si="11"/>
        <v>0.43335746460746455</v>
      </c>
      <c r="AS8" s="55" t="s">
        <v>13</v>
      </c>
      <c r="AT8" s="3">
        <v>4900</v>
      </c>
      <c r="AU8" s="3">
        <v>35000</v>
      </c>
      <c r="AV8" s="70">
        <f t="shared" si="12"/>
        <v>0.44371222381809738</v>
      </c>
      <c r="AW8" s="55" t="s">
        <v>13</v>
      </c>
      <c r="AX8" s="3">
        <v>4750</v>
      </c>
      <c r="AY8" s="3">
        <v>34425</v>
      </c>
      <c r="AZ8" s="70">
        <f t="shared" si="13"/>
        <v>0.4436564722728269</v>
      </c>
      <c r="BA8" s="55" t="s">
        <v>13</v>
      </c>
      <c r="BB8" s="3">
        <v>6500</v>
      </c>
      <c r="BC8" s="3">
        <v>61285</v>
      </c>
      <c r="BD8" s="70">
        <f t="shared" si="14"/>
        <v>0.60243548314184125</v>
      </c>
      <c r="BE8" s="3" t="s">
        <v>13</v>
      </c>
      <c r="BF8" s="3">
        <v>8450</v>
      </c>
      <c r="BG8" s="3">
        <v>5633</v>
      </c>
      <c r="BH8" s="111">
        <f t="shared" si="3"/>
        <v>0.66662721893491128</v>
      </c>
    </row>
    <row r="9" spans="1:60" s="3" customFormat="1" ht="15" customHeight="1" x14ac:dyDescent="0.3">
      <c r="A9" s="55" t="s">
        <v>108</v>
      </c>
      <c r="B9" s="45" t="s">
        <v>198</v>
      </c>
      <c r="C9" s="45" t="s">
        <v>104</v>
      </c>
      <c r="D9" s="47"/>
      <c r="E9" s="47"/>
      <c r="F9" s="70" t="str">
        <f t="shared" si="4"/>
        <v/>
      </c>
      <c r="G9" s="45" t="s">
        <v>104</v>
      </c>
      <c r="H9" s="47"/>
      <c r="I9" s="47"/>
      <c r="J9" s="70" t="str">
        <f t="shared" si="5"/>
        <v/>
      </c>
      <c r="K9" s="55" t="s">
        <v>104</v>
      </c>
      <c r="L9" s="47"/>
      <c r="M9" s="47"/>
      <c r="N9" s="70" t="str">
        <f t="shared" si="6"/>
        <v/>
      </c>
      <c r="O9" s="55" t="s">
        <v>104</v>
      </c>
      <c r="P9" s="47"/>
      <c r="Q9" s="47"/>
      <c r="R9" s="70" t="str">
        <f t="shared" si="7"/>
        <v/>
      </c>
      <c r="S9" s="55" t="s">
        <v>104</v>
      </c>
      <c r="T9" s="47"/>
      <c r="U9" s="47"/>
      <c r="V9" s="70" t="str">
        <f t="shared" si="8"/>
        <v/>
      </c>
      <c r="W9" s="45" t="s">
        <v>104</v>
      </c>
      <c r="X9" s="47">
        <v>4</v>
      </c>
      <c r="Y9" s="47">
        <v>264</v>
      </c>
      <c r="Z9" s="70">
        <f t="shared" si="9"/>
        <v>66</v>
      </c>
      <c r="AA9" s="47"/>
      <c r="AB9" s="47"/>
      <c r="AC9" s="70" t="str">
        <f t="shared" si="10"/>
        <v/>
      </c>
      <c r="AD9" s="87"/>
      <c r="AE9" s="18"/>
      <c r="AF9" s="18"/>
      <c r="AG9" s="105" t="str">
        <f t="shared" si="0"/>
        <v/>
      </c>
      <c r="AH9" s="86"/>
      <c r="AI9" s="18"/>
      <c r="AJ9" s="18"/>
      <c r="AK9" s="105" t="str">
        <f t="shared" si="1"/>
        <v/>
      </c>
      <c r="AL9" s="18"/>
      <c r="AM9" s="18"/>
      <c r="AN9" s="105" t="str">
        <f t="shared" si="2"/>
        <v/>
      </c>
      <c r="AO9" s="55" t="s">
        <v>104</v>
      </c>
      <c r="AR9" s="70" t="str">
        <f t="shared" si="11"/>
        <v/>
      </c>
      <c r="AS9" s="55" t="s">
        <v>104</v>
      </c>
      <c r="AV9" s="70" t="str">
        <f t="shared" si="12"/>
        <v/>
      </c>
      <c r="AW9" s="55" t="s">
        <v>104</v>
      </c>
      <c r="AZ9" s="70" t="str">
        <f t="shared" si="13"/>
        <v/>
      </c>
      <c r="BA9" s="55" t="s">
        <v>104</v>
      </c>
      <c r="BD9" s="70" t="str">
        <f t="shared" si="14"/>
        <v/>
      </c>
      <c r="BH9" s="111" t="str">
        <f t="shared" si="3"/>
        <v/>
      </c>
    </row>
    <row r="10" spans="1:60" s="3" customFormat="1" ht="15" customHeight="1" x14ac:dyDescent="0.3">
      <c r="A10" s="55" t="s">
        <v>255</v>
      </c>
      <c r="B10" s="45" t="s">
        <v>195</v>
      </c>
      <c r="C10" s="45" t="s">
        <v>72</v>
      </c>
      <c r="D10" s="47"/>
      <c r="E10" s="47"/>
      <c r="F10" s="70" t="str">
        <f t="shared" si="4"/>
        <v/>
      </c>
      <c r="G10" s="45" t="s">
        <v>72</v>
      </c>
      <c r="H10" s="47"/>
      <c r="I10" s="47"/>
      <c r="J10" s="70" t="str">
        <f t="shared" si="5"/>
        <v/>
      </c>
      <c r="K10" s="55" t="s">
        <v>72</v>
      </c>
      <c r="L10" s="47"/>
      <c r="M10" s="47"/>
      <c r="N10" s="70" t="str">
        <f t="shared" si="6"/>
        <v/>
      </c>
      <c r="O10" s="55" t="s">
        <v>72</v>
      </c>
      <c r="P10" s="47"/>
      <c r="Q10" s="47"/>
      <c r="R10" s="70" t="str">
        <f t="shared" si="7"/>
        <v/>
      </c>
      <c r="S10" s="55" t="s">
        <v>72</v>
      </c>
      <c r="T10" s="47"/>
      <c r="U10" s="47"/>
      <c r="V10" s="70" t="str">
        <f t="shared" si="8"/>
        <v/>
      </c>
      <c r="W10" s="45" t="s">
        <v>72</v>
      </c>
      <c r="X10" s="47">
        <v>38</v>
      </c>
      <c r="Y10" s="47">
        <v>7516</v>
      </c>
      <c r="Z10" s="70">
        <f t="shared" si="9"/>
        <v>197.78947368421052</v>
      </c>
      <c r="AA10" s="47"/>
      <c r="AB10" s="47"/>
      <c r="AC10" s="70" t="str">
        <f t="shared" si="10"/>
        <v/>
      </c>
      <c r="AD10" s="86"/>
      <c r="AE10" s="18"/>
      <c r="AF10" s="18"/>
      <c r="AG10" s="105" t="str">
        <f t="shared" si="0"/>
        <v/>
      </c>
      <c r="AH10" s="86"/>
      <c r="AI10" s="18"/>
      <c r="AJ10" s="18"/>
      <c r="AK10" s="105" t="str">
        <f t="shared" si="1"/>
        <v/>
      </c>
      <c r="AL10" s="18"/>
      <c r="AM10" s="18"/>
      <c r="AN10" s="105" t="str">
        <f t="shared" si="2"/>
        <v/>
      </c>
      <c r="AO10" s="55" t="s">
        <v>72</v>
      </c>
      <c r="AR10" s="70" t="str">
        <f t="shared" si="11"/>
        <v/>
      </c>
      <c r="AS10" s="55" t="s">
        <v>72</v>
      </c>
      <c r="AV10" s="70" t="str">
        <f t="shared" si="12"/>
        <v/>
      </c>
      <c r="AW10" s="55" t="s">
        <v>72</v>
      </c>
      <c r="AZ10" s="70" t="str">
        <f t="shared" si="13"/>
        <v/>
      </c>
      <c r="BA10" s="55" t="s">
        <v>72</v>
      </c>
      <c r="BD10" s="70" t="str">
        <f t="shared" si="14"/>
        <v/>
      </c>
      <c r="BH10" s="111" t="str">
        <f t="shared" si="3"/>
        <v/>
      </c>
    </row>
    <row r="11" spans="1:60" s="3" customFormat="1" ht="14.4" customHeight="1" x14ac:dyDescent="0.3">
      <c r="A11" s="55" t="s">
        <v>105</v>
      </c>
      <c r="B11" s="45" t="s">
        <v>195</v>
      </c>
      <c r="C11" s="45" t="s">
        <v>72</v>
      </c>
      <c r="D11" s="47"/>
      <c r="E11" s="47"/>
      <c r="F11" s="70" t="str">
        <f t="shared" si="4"/>
        <v/>
      </c>
      <c r="G11" s="45" t="s">
        <v>72</v>
      </c>
      <c r="H11" s="47"/>
      <c r="I11" s="47"/>
      <c r="J11" s="70" t="str">
        <f t="shared" si="5"/>
        <v/>
      </c>
      <c r="K11" s="55" t="s">
        <v>72</v>
      </c>
      <c r="L11" s="47"/>
      <c r="M11" s="47"/>
      <c r="N11" s="70" t="str">
        <f t="shared" si="6"/>
        <v/>
      </c>
      <c r="O11" s="55" t="s">
        <v>72</v>
      </c>
      <c r="P11" s="47"/>
      <c r="Q11" s="47"/>
      <c r="R11" s="70" t="str">
        <f t="shared" si="7"/>
        <v/>
      </c>
      <c r="S11" s="55" t="s">
        <v>72</v>
      </c>
      <c r="T11" s="47"/>
      <c r="U11" s="47"/>
      <c r="V11" s="70" t="str">
        <f t="shared" si="8"/>
        <v/>
      </c>
      <c r="W11" s="45" t="s">
        <v>72</v>
      </c>
      <c r="X11" s="47">
        <v>133</v>
      </c>
      <c r="Y11" s="47">
        <v>501</v>
      </c>
      <c r="Z11" s="70">
        <f t="shared" si="9"/>
        <v>3.7669172932330826</v>
      </c>
      <c r="AA11" s="47"/>
      <c r="AB11" s="47"/>
      <c r="AC11" s="70" t="str">
        <f t="shared" si="10"/>
        <v/>
      </c>
      <c r="AD11" s="86"/>
      <c r="AE11" s="18"/>
      <c r="AF11" s="18"/>
      <c r="AG11" s="105" t="str">
        <f t="shared" si="0"/>
        <v/>
      </c>
      <c r="AH11" s="86"/>
      <c r="AI11" s="18"/>
      <c r="AJ11" s="18"/>
      <c r="AK11" s="105" t="str">
        <f t="shared" si="1"/>
        <v/>
      </c>
      <c r="AL11" s="18"/>
      <c r="AM11" s="18"/>
      <c r="AN11" s="105" t="str">
        <f t="shared" si="2"/>
        <v/>
      </c>
      <c r="AO11" s="55" t="s">
        <v>72</v>
      </c>
      <c r="AR11" s="70" t="str">
        <f t="shared" si="11"/>
        <v/>
      </c>
      <c r="AS11" s="55" t="s">
        <v>72</v>
      </c>
      <c r="AV11" s="70" t="str">
        <f t="shared" si="12"/>
        <v/>
      </c>
      <c r="AW11" s="55" t="s">
        <v>72</v>
      </c>
      <c r="AZ11" s="70" t="str">
        <f t="shared" si="13"/>
        <v/>
      </c>
      <c r="BA11" s="55" t="s">
        <v>72</v>
      </c>
      <c r="BD11" s="70" t="str">
        <f t="shared" si="14"/>
        <v/>
      </c>
      <c r="BH11" s="111" t="str">
        <f t="shared" si="3"/>
        <v/>
      </c>
    </row>
    <row r="12" spans="1:60" s="3" customFormat="1" ht="14.4" customHeight="1" x14ac:dyDescent="0.3">
      <c r="A12" s="55" t="s">
        <v>53</v>
      </c>
      <c r="B12" s="45" t="s">
        <v>198</v>
      </c>
      <c r="C12" s="45" t="s">
        <v>104</v>
      </c>
      <c r="D12" s="47"/>
      <c r="E12" s="47"/>
      <c r="F12" s="70" t="str">
        <f t="shared" si="4"/>
        <v/>
      </c>
      <c r="G12" s="45" t="s">
        <v>104</v>
      </c>
      <c r="H12" s="47"/>
      <c r="I12" s="47"/>
      <c r="J12" s="70" t="str">
        <f t="shared" si="5"/>
        <v/>
      </c>
      <c r="K12" s="55" t="s">
        <v>104</v>
      </c>
      <c r="L12" s="47"/>
      <c r="M12" s="47"/>
      <c r="N12" s="70" t="str">
        <f t="shared" si="6"/>
        <v/>
      </c>
      <c r="O12" s="55" t="s">
        <v>104</v>
      </c>
      <c r="P12" s="47"/>
      <c r="Q12" s="47"/>
      <c r="R12" s="70" t="str">
        <f t="shared" si="7"/>
        <v/>
      </c>
      <c r="S12" s="55" t="s">
        <v>104</v>
      </c>
      <c r="T12" s="47"/>
      <c r="U12" s="47"/>
      <c r="V12" s="70" t="str">
        <f t="shared" si="8"/>
        <v/>
      </c>
      <c r="W12" s="45" t="s">
        <v>104</v>
      </c>
      <c r="X12" s="47">
        <v>200</v>
      </c>
      <c r="Y12" s="47">
        <v>1758</v>
      </c>
      <c r="Z12" s="70">
        <f t="shared" si="9"/>
        <v>8.7899999999999991</v>
      </c>
      <c r="AA12" s="47">
        <v>60</v>
      </c>
      <c r="AB12" s="47">
        <v>1494</v>
      </c>
      <c r="AC12" s="70">
        <f t="shared" si="10"/>
        <v>24.9</v>
      </c>
      <c r="AD12" s="86"/>
      <c r="AE12" s="18"/>
      <c r="AF12" s="18"/>
      <c r="AG12" s="105" t="str">
        <f t="shared" si="0"/>
        <v/>
      </c>
      <c r="AH12" s="86"/>
      <c r="AI12" s="18"/>
      <c r="AJ12" s="18"/>
      <c r="AK12" s="105" t="str">
        <f t="shared" si="1"/>
        <v/>
      </c>
      <c r="AL12" s="18"/>
      <c r="AM12" s="18"/>
      <c r="AN12" s="105" t="str">
        <f t="shared" si="2"/>
        <v/>
      </c>
      <c r="AO12" s="55" t="s">
        <v>104</v>
      </c>
      <c r="AR12" s="70" t="str">
        <f t="shared" si="11"/>
        <v/>
      </c>
      <c r="AS12" s="55" t="s">
        <v>104</v>
      </c>
      <c r="AV12" s="70" t="str">
        <f t="shared" si="12"/>
        <v/>
      </c>
      <c r="AW12" s="55" t="s">
        <v>104</v>
      </c>
      <c r="AZ12" s="70" t="str">
        <f t="shared" si="13"/>
        <v/>
      </c>
      <c r="BA12" s="55" t="s">
        <v>104</v>
      </c>
      <c r="BD12" s="70" t="str">
        <f t="shared" si="14"/>
        <v/>
      </c>
      <c r="BH12" s="111" t="str">
        <f t="shared" si="3"/>
        <v/>
      </c>
    </row>
    <row r="13" spans="1:60" s="3" customFormat="1" ht="14.4" customHeight="1" x14ac:dyDescent="0.3">
      <c r="A13" s="55" t="s">
        <v>5</v>
      </c>
      <c r="B13" s="45" t="s">
        <v>26</v>
      </c>
      <c r="C13" s="45" t="s">
        <v>135</v>
      </c>
      <c r="D13" s="47">
        <v>257</v>
      </c>
      <c r="E13" s="47">
        <v>20160</v>
      </c>
      <c r="F13" s="70">
        <f t="shared" si="4"/>
        <v>5.5090392833583506</v>
      </c>
      <c r="G13" s="45" t="s">
        <v>135</v>
      </c>
      <c r="H13" s="47">
        <v>642</v>
      </c>
      <c r="I13" s="47">
        <v>28800</v>
      </c>
      <c r="J13" s="70">
        <f t="shared" si="5"/>
        <v>3.1366965946405201</v>
      </c>
      <c r="K13" s="55" t="s">
        <v>135</v>
      </c>
      <c r="L13" s="47">
        <v>571</v>
      </c>
      <c r="M13" s="47">
        <v>30400</v>
      </c>
      <c r="N13" s="70">
        <f t="shared" si="6"/>
        <v>4.1641386650143222</v>
      </c>
      <c r="O13" s="55" t="s">
        <v>135</v>
      </c>
      <c r="P13" s="47">
        <v>85</v>
      </c>
      <c r="Q13" s="47">
        <v>4000</v>
      </c>
      <c r="R13" s="70">
        <f t="shared" si="7"/>
        <v>3.4735270029387681</v>
      </c>
      <c r="S13" s="55" t="s">
        <v>91</v>
      </c>
      <c r="T13" s="47">
        <v>300</v>
      </c>
      <c r="U13" s="47">
        <v>8000</v>
      </c>
      <c r="V13" s="70">
        <f t="shared" si="8"/>
        <v>1.7362817362817362</v>
      </c>
      <c r="W13" s="55" t="s">
        <v>91</v>
      </c>
      <c r="X13" s="47">
        <v>250</v>
      </c>
      <c r="Y13" s="47">
        <v>988</v>
      </c>
      <c r="Z13" s="70">
        <f t="shared" si="9"/>
        <v>3.952</v>
      </c>
      <c r="AA13" s="47">
        <v>50</v>
      </c>
      <c r="AB13" s="47">
        <v>274</v>
      </c>
      <c r="AC13" s="70">
        <f t="shared" si="10"/>
        <v>5.48</v>
      </c>
      <c r="AD13" s="103" t="s">
        <v>91</v>
      </c>
      <c r="AE13" s="18">
        <v>300</v>
      </c>
      <c r="AF13" s="18">
        <v>1000</v>
      </c>
      <c r="AG13" s="105">
        <f t="shared" si="0"/>
        <v>3.3333333333333335</v>
      </c>
      <c r="AH13" s="55" t="s">
        <v>136</v>
      </c>
      <c r="AI13" s="18">
        <v>300</v>
      </c>
      <c r="AJ13" s="18">
        <v>555</v>
      </c>
      <c r="AK13" s="105">
        <f t="shared" si="1"/>
        <v>1.85</v>
      </c>
      <c r="AL13" s="18">
        <v>250</v>
      </c>
      <c r="AM13" s="18">
        <v>490</v>
      </c>
      <c r="AN13" s="105">
        <f t="shared" si="2"/>
        <v>1.96</v>
      </c>
      <c r="AO13" s="55" t="s">
        <v>136</v>
      </c>
      <c r="AP13" s="3">
        <v>500</v>
      </c>
      <c r="AQ13" s="2">
        <v>15714</v>
      </c>
      <c r="AR13" s="70">
        <f t="shared" si="11"/>
        <v>1.9067381756756754</v>
      </c>
      <c r="AS13" s="55" t="s">
        <v>136</v>
      </c>
      <c r="AT13" s="3">
        <v>700</v>
      </c>
      <c r="AU13" s="3">
        <v>40000</v>
      </c>
      <c r="AV13" s="70">
        <f t="shared" si="12"/>
        <v>3.5496977905447791</v>
      </c>
      <c r="AW13" s="55" t="s">
        <v>136</v>
      </c>
      <c r="AX13" s="3">
        <v>650</v>
      </c>
      <c r="AY13" s="3">
        <v>41145</v>
      </c>
      <c r="AZ13" s="70">
        <f t="shared" si="13"/>
        <v>3.8749864865833619</v>
      </c>
      <c r="BA13" s="55" t="s">
        <v>136</v>
      </c>
      <c r="BB13" s="3">
        <v>600</v>
      </c>
      <c r="BC13" s="3">
        <v>45714</v>
      </c>
      <c r="BD13" s="70">
        <f t="shared" si="14"/>
        <v>4.8681918331361631</v>
      </c>
      <c r="BE13" s="3" t="s">
        <v>136</v>
      </c>
      <c r="BF13" s="3">
        <v>455</v>
      </c>
      <c r="BG13" s="3">
        <v>2578</v>
      </c>
      <c r="BH13" s="111">
        <f t="shared" si="3"/>
        <v>5.6659340659340662</v>
      </c>
    </row>
    <row r="14" spans="1:60" s="3" customFormat="1" ht="15" customHeight="1" x14ac:dyDescent="0.3">
      <c r="A14" s="55" t="s">
        <v>254</v>
      </c>
      <c r="B14" s="45" t="s">
        <v>26</v>
      </c>
      <c r="C14" s="55" t="s">
        <v>136</v>
      </c>
      <c r="D14" s="47"/>
      <c r="F14" s="70" t="str">
        <f t="shared" si="4"/>
        <v/>
      </c>
      <c r="G14" s="55" t="s">
        <v>136</v>
      </c>
      <c r="J14" s="70" t="str">
        <f t="shared" si="5"/>
        <v/>
      </c>
      <c r="K14" s="55" t="s">
        <v>136</v>
      </c>
      <c r="L14" s="47"/>
      <c r="M14" s="47"/>
      <c r="N14" s="70" t="str">
        <f t="shared" si="6"/>
        <v/>
      </c>
      <c r="O14" s="55" t="s">
        <v>136</v>
      </c>
      <c r="P14" s="47"/>
      <c r="Q14" s="47"/>
      <c r="R14" s="70" t="str">
        <f t="shared" si="7"/>
        <v/>
      </c>
      <c r="S14" s="55" t="s">
        <v>136</v>
      </c>
      <c r="T14" s="47"/>
      <c r="U14" s="47"/>
      <c r="V14" s="70" t="str">
        <f t="shared" si="8"/>
        <v/>
      </c>
      <c r="W14" s="55" t="s">
        <v>136</v>
      </c>
      <c r="X14" s="47">
        <v>20600</v>
      </c>
      <c r="Y14" s="47">
        <v>52749</v>
      </c>
      <c r="Z14" s="70">
        <f t="shared" si="9"/>
        <v>2.560631067961165</v>
      </c>
      <c r="AA14" s="47">
        <v>8000</v>
      </c>
      <c r="AB14" s="47">
        <v>21120</v>
      </c>
      <c r="AC14" s="70">
        <f t="shared" si="10"/>
        <v>2.64</v>
      </c>
      <c r="AD14" s="86" t="s">
        <v>136</v>
      </c>
      <c r="AE14" s="18">
        <v>10000</v>
      </c>
      <c r="AF14" s="18">
        <v>31111</v>
      </c>
      <c r="AG14" s="105">
        <f t="shared" si="0"/>
        <v>3.1111</v>
      </c>
      <c r="AH14" s="86"/>
      <c r="AI14" s="18">
        <v>8500</v>
      </c>
      <c r="AJ14" s="18">
        <v>19676</v>
      </c>
      <c r="AK14" s="105">
        <f t="shared" si="1"/>
        <v>2.3148235294117647</v>
      </c>
      <c r="AL14" s="18">
        <v>5000</v>
      </c>
      <c r="AM14" s="18">
        <v>14706</v>
      </c>
      <c r="AN14" s="105">
        <f t="shared" si="2"/>
        <v>2.9411999999999998</v>
      </c>
      <c r="AO14" s="55" t="s">
        <v>136</v>
      </c>
      <c r="AP14" s="3">
        <v>6000</v>
      </c>
      <c r="AQ14" s="3">
        <v>300000</v>
      </c>
      <c r="AR14" s="70">
        <f t="shared" si="11"/>
        <v>3.0335022522522515</v>
      </c>
      <c r="AS14" s="55" t="s">
        <v>136</v>
      </c>
      <c r="AT14" s="19">
        <v>3400</v>
      </c>
      <c r="AU14" s="19">
        <v>170000</v>
      </c>
      <c r="AV14" s="70">
        <f t="shared" si="12"/>
        <v>3.105985566726682</v>
      </c>
      <c r="AW14" s="55" t="s">
        <v>136</v>
      </c>
      <c r="AX14" s="19">
        <v>1400</v>
      </c>
      <c r="AY14" s="19">
        <v>90000</v>
      </c>
      <c r="AZ14" s="70">
        <f t="shared" si="13"/>
        <v>3.9353281854265689</v>
      </c>
      <c r="BA14" s="55" t="s">
        <v>136</v>
      </c>
      <c r="BB14" s="3">
        <v>2500</v>
      </c>
      <c r="BC14" s="3">
        <v>175571</v>
      </c>
      <c r="BD14" s="70">
        <f t="shared" si="14"/>
        <v>4.4872729142173471</v>
      </c>
      <c r="BE14" s="3" t="s">
        <v>136</v>
      </c>
      <c r="BF14" s="3">
        <v>1800</v>
      </c>
      <c r="BG14" s="3">
        <v>8520</v>
      </c>
      <c r="BH14" s="111">
        <f t="shared" si="3"/>
        <v>4.7333333333333334</v>
      </c>
    </row>
    <row r="15" spans="1:60" s="3" customFormat="1" ht="15" customHeight="1" x14ac:dyDescent="0.3">
      <c r="A15" s="55" t="s">
        <v>124</v>
      </c>
      <c r="B15" s="45" t="s">
        <v>26</v>
      </c>
      <c r="C15" s="55" t="s">
        <v>136</v>
      </c>
      <c r="D15" s="47"/>
      <c r="E15" s="47">
        <v>1124000</v>
      </c>
      <c r="F15" s="70" t="str">
        <f t="shared" si="4"/>
        <v/>
      </c>
      <c r="G15" s="55" t="s">
        <v>136</v>
      </c>
      <c r="H15" s="47"/>
      <c r="I15" s="47">
        <v>1124000</v>
      </c>
      <c r="J15" s="70" t="str">
        <f t="shared" si="5"/>
        <v/>
      </c>
      <c r="K15" s="55" t="s">
        <v>136</v>
      </c>
      <c r="L15" s="47"/>
      <c r="M15" s="47">
        <v>2062100</v>
      </c>
      <c r="N15" s="70" t="str">
        <f t="shared" si="6"/>
        <v/>
      </c>
      <c r="O15" s="55" t="s">
        <v>136</v>
      </c>
      <c r="P15" s="47"/>
      <c r="Q15" s="47">
        <v>1003600</v>
      </c>
      <c r="R15" s="70" t="str">
        <f t="shared" si="7"/>
        <v/>
      </c>
      <c r="S15" s="55" t="s">
        <v>136</v>
      </c>
      <c r="T15" s="47">
        <f>F98*48000</f>
        <v>144000</v>
      </c>
      <c r="U15" s="47">
        <v>9600000</v>
      </c>
      <c r="V15" s="70">
        <f t="shared" si="8"/>
        <v>4.3407043407043409</v>
      </c>
      <c r="W15" s="55" t="s">
        <v>136</v>
      </c>
      <c r="X15" s="47">
        <f>F98*46000</f>
        <v>138000</v>
      </c>
      <c r="Y15" s="47">
        <v>505494</v>
      </c>
      <c r="Z15" s="70">
        <f t="shared" si="9"/>
        <v>3.6629999999999998</v>
      </c>
      <c r="AA15" s="47">
        <f>F98*46000</f>
        <v>138000</v>
      </c>
      <c r="AB15" s="47">
        <v>403516</v>
      </c>
      <c r="AC15" s="70">
        <f t="shared" si="10"/>
        <v>2.9240289855072463</v>
      </c>
      <c r="AD15" s="86" t="s">
        <v>136</v>
      </c>
      <c r="AE15" s="18">
        <f>F98*59000</f>
        <v>177000</v>
      </c>
      <c r="AF15" s="18">
        <v>855556</v>
      </c>
      <c r="AG15" s="105">
        <f t="shared" si="0"/>
        <v>4.833649717514124</v>
      </c>
      <c r="AH15" s="86"/>
      <c r="AI15" s="18">
        <f>F98*67000</f>
        <v>201000</v>
      </c>
      <c r="AJ15" s="18">
        <v>682408</v>
      </c>
      <c r="AK15" s="105">
        <f t="shared" si="1"/>
        <v>3.3950646766169155</v>
      </c>
      <c r="AL15" s="18">
        <f>F98*35000</f>
        <v>105000</v>
      </c>
      <c r="AM15" s="18">
        <v>343138</v>
      </c>
      <c r="AN15" s="105">
        <f t="shared" si="2"/>
        <v>3.2679809523809524</v>
      </c>
      <c r="AO15" s="55" t="s">
        <v>136</v>
      </c>
      <c r="AP15" s="2">
        <f>F98*42000</f>
        <v>126000</v>
      </c>
      <c r="AQ15" s="3">
        <v>5970265</v>
      </c>
      <c r="AR15" s="70">
        <f t="shared" si="11"/>
        <v>2.874732114927427</v>
      </c>
      <c r="AS15" s="55" t="s">
        <v>136</v>
      </c>
      <c r="AT15" s="19">
        <f>F98*38500</f>
        <v>115500</v>
      </c>
      <c r="AU15" s="19">
        <v>5000500</v>
      </c>
      <c r="AV15" s="70">
        <f t="shared" si="12"/>
        <v>2.6894339093362376</v>
      </c>
      <c r="AW15" s="55" t="s">
        <v>136</v>
      </c>
      <c r="AX15" s="19">
        <f>F98*32250</f>
        <v>96750</v>
      </c>
      <c r="AY15" s="19">
        <v>5528565</v>
      </c>
      <c r="AZ15" s="70">
        <f t="shared" si="13"/>
        <v>3.4980654306342784</v>
      </c>
      <c r="BA15" s="55" t="s">
        <v>136</v>
      </c>
      <c r="BB15" s="3">
        <f>F98*45500</f>
        <v>136500</v>
      </c>
      <c r="BC15" s="3">
        <v>7150000</v>
      </c>
      <c r="BD15" s="70">
        <f t="shared" si="14"/>
        <v>3.3469028034236334</v>
      </c>
      <c r="BE15" s="3" t="s">
        <v>136</v>
      </c>
      <c r="BF15" s="3">
        <f>F98*38750</f>
        <v>116250</v>
      </c>
      <c r="BG15" s="3">
        <v>44030</v>
      </c>
      <c r="BH15" s="111">
        <f t="shared" si="3"/>
        <v>0.37875268817204299</v>
      </c>
    </row>
    <row r="16" spans="1:60" s="3" customFormat="1" ht="15" customHeight="1" x14ac:dyDescent="0.3">
      <c r="A16" s="55" t="s">
        <v>106</v>
      </c>
      <c r="B16" s="45" t="s">
        <v>199</v>
      </c>
      <c r="C16" s="45" t="s">
        <v>70</v>
      </c>
      <c r="D16" s="47"/>
      <c r="E16" s="47">
        <v>33030</v>
      </c>
      <c r="F16" s="70" t="str">
        <f t="shared" si="4"/>
        <v/>
      </c>
      <c r="G16" s="45" t="s">
        <v>70</v>
      </c>
      <c r="H16" s="47"/>
      <c r="I16" s="47">
        <v>21600</v>
      </c>
      <c r="J16" s="70" t="str">
        <f t="shared" si="5"/>
        <v/>
      </c>
      <c r="K16" s="55" t="s">
        <v>70</v>
      </c>
      <c r="L16" s="47"/>
      <c r="M16" s="47">
        <v>208330</v>
      </c>
      <c r="N16" s="70" t="str">
        <f t="shared" si="6"/>
        <v/>
      </c>
      <c r="O16" s="55" t="s">
        <v>70</v>
      </c>
      <c r="P16" s="47"/>
      <c r="Q16" s="47">
        <v>25860</v>
      </c>
      <c r="R16" s="70" t="str">
        <f t="shared" si="7"/>
        <v/>
      </c>
      <c r="S16" s="55" t="s">
        <v>70</v>
      </c>
      <c r="T16" s="47">
        <v>300</v>
      </c>
      <c r="U16" s="47">
        <v>6000</v>
      </c>
      <c r="V16" s="70">
        <f t="shared" si="8"/>
        <v>1.3022113022113022</v>
      </c>
      <c r="W16" s="50" t="s">
        <v>70</v>
      </c>
      <c r="X16" s="47">
        <v>310</v>
      </c>
      <c r="Y16" s="47">
        <v>483</v>
      </c>
      <c r="Z16" s="70">
        <f t="shared" si="9"/>
        <v>1.5580645161290323</v>
      </c>
      <c r="AA16" s="47"/>
      <c r="AB16" s="47"/>
      <c r="AC16" s="70" t="str">
        <f t="shared" si="10"/>
        <v/>
      </c>
      <c r="AD16" s="100" t="s">
        <v>91</v>
      </c>
      <c r="AE16" s="18">
        <v>725</v>
      </c>
      <c r="AF16" s="18">
        <v>1804</v>
      </c>
      <c r="AG16" s="105">
        <f>IFERROR(AF16/AE16,"")</f>
        <v>2.4882758620689653</v>
      </c>
      <c r="AH16" s="86" t="s">
        <v>13</v>
      </c>
      <c r="AI16" s="18">
        <v>650</v>
      </c>
      <c r="AJ16" s="18">
        <v>6019</v>
      </c>
      <c r="AK16" s="105">
        <f>IFERROR(AJ16/AI16,"")</f>
        <v>9.26</v>
      </c>
      <c r="AL16" s="18">
        <v>60</v>
      </c>
      <c r="AM16" s="18">
        <v>588</v>
      </c>
      <c r="AN16" s="105">
        <f>IFERROR(AM16/AL16,"")</f>
        <v>9.8000000000000007</v>
      </c>
      <c r="AO16" s="55" t="s">
        <v>13</v>
      </c>
      <c r="AP16" s="3">
        <v>550</v>
      </c>
      <c r="AQ16" s="3">
        <v>47143</v>
      </c>
      <c r="AR16" s="70">
        <f t="shared" si="11"/>
        <v>5.2003053337428327</v>
      </c>
      <c r="AS16" s="55" t="s">
        <v>13</v>
      </c>
      <c r="AT16" s="19">
        <v>2100</v>
      </c>
      <c r="AU16" s="19">
        <v>150000</v>
      </c>
      <c r="AV16" s="70">
        <f t="shared" si="12"/>
        <v>4.4371222381809732</v>
      </c>
      <c r="AW16" s="55" t="s">
        <v>13</v>
      </c>
      <c r="AX16" s="19">
        <v>2300</v>
      </c>
      <c r="AY16" s="19">
        <v>111420</v>
      </c>
      <c r="AZ16" s="70">
        <f t="shared" si="13"/>
        <v>2.9655264395570997</v>
      </c>
      <c r="BA16" s="55" t="s">
        <v>13</v>
      </c>
      <c r="BB16" s="3">
        <v>2500</v>
      </c>
      <c r="BC16" s="3">
        <v>250000</v>
      </c>
      <c r="BD16" s="70">
        <f t="shared" si="14"/>
        <v>6.3895417156269358</v>
      </c>
      <c r="BE16" s="3" t="s">
        <v>13</v>
      </c>
      <c r="BF16" s="3">
        <v>3500</v>
      </c>
      <c r="BG16" s="3">
        <v>18666</v>
      </c>
      <c r="BH16" s="111">
        <f>IFERROR(BG16/BF16,"")</f>
        <v>5.3331428571428567</v>
      </c>
    </row>
    <row r="17" spans="1:60" s="3" customFormat="1" ht="15" customHeight="1" x14ac:dyDescent="0.3">
      <c r="A17" s="55" t="s">
        <v>256</v>
      </c>
      <c r="B17" s="45" t="s">
        <v>199</v>
      </c>
      <c r="C17" s="45" t="s">
        <v>70</v>
      </c>
      <c r="D17" s="47"/>
      <c r="E17" s="47"/>
      <c r="F17" s="70" t="str">
        <f t="shared" si="4"/>
        <v/>
      </c>
      <c r="G17" s="45" t="s">
        <v>70</v>
      </c>
      <c r="H17" s="47"/>
      <c r="I17" s="47"/>
      <c r="J17" s="70" t="str">
        <f t="shared" si="5"/>
        <v/>
      </c>
      <c r="K17" s="55" t="s">
        <v>70</v>
      </c>
      <c r="L17" s="47"/>
      <c r="M17" s="47"/>
      <c r="N17" s="70" t="str">
        <f t="shared" si="6"/>
        <v/>
      </c>
      <c r="O17" s="55" t="s">
        <v>70</v>
      </c>
      <c r="P17" s="47"/>
      <c r="Q17" s="47"/>
      <c r="R17" s="70" t="str">
        <f t="shared" si="7"/>
        <v/>
      </c>
      <c r="S17" s="55" t="s">
        <v>70</v>
      </c>
      <c r="T17" s="47"/>
      <c r="U17" s="47"/>
      <c r="V17" s="70" t="str">
        <f t="shared" si="8"/>
        <v/>
      </c>
      <c r="W17" s="45" t="s">
        <v>70</v>
      </c>
      <c r="X17" s="47">
        <v>40</v>
      </c>
      <c r="Y17" s="47">
        <v>132</v>
      </c>
      <c r="Z17" s="70">
        <f t="shared" si="9"/>
        <v>3.3</v>
      </c>
      <c r="AA17" s="47"/>
      <c r="AB17" s="47"/>
      <c r="AC17" s="70" t="str">
        <f t="shared" si="10"/>
        <v/>
      </c>
      <c r="AD17" s="87"/>
      <c r="AE17" s="18"/>
      <c r="AF17" s="18"/>
      <c r="AG17" s="105" t="str">
        <f t="shared" ref="AG17:AG47" si="15">IFERROR(AF17/AE17,"")</f>
        <v/>
      </c>
      <c r="AH17" s="86"/>
      <c r="AI17" s="18"/>
      <c r="AJ17" s="18"/>
      <c r="AK17" s="105" t="str">
        <f t="shared" ref="AK17:AK47" si="16">IFERROR(AJ17/AI17,"")</f>
        <v/>
      </c>
      <c r="AL17" s="18"/>
      <c r="AM17" s="18"/>
      <c r="AN17" s="105" t="str">
        <f t="shared" ref="AN17:AN47" si="17">IFERROR(AM17/AL17,"")</f>
        <v/>
      </c>
      <c r="AO17" s="55" t="s">
        <v>70</v>
      </c>
      <c r="AR17" s="70" t="str">
        <f t="shared" si="11"/>
        <v/>
      </c>
      <c r="AS17" s="55" t="s">
        <v>70</v>
      </c>
      <c r="AV17" s="70" t="str">
        <f t="shared" si="12"/>
        <v/>
      </c>
      <c r="AW17" s="55" t="s">
        <v>70</v>
      </c>
      <c r="AZ17" s="70" t="str">
        <f t="shared" si="13"/>
        <v/>
      </c>
      <c r="BA17" s="55" t="s">
        <v>70</v>
      </c>
      <c r="BD17" s="70" t="str">
        <f t="shared" si="14"/>
        <v/>
      </c>
      <c r="BH17" s="111" t="str">
        <f t="shared" ref="BH17:BH47" si="18">IFERROR(BG17/BF17,"")</f>
        <v/>
      </c>
    </row>
    <row r="18" spans="1:60" s="3" customFormat="1" ht="15" customHeight="1" x14ac:dyDescent="0.3">
      <c r="A18" s="55" t="s">
        <v>109</v>
      </c>
      <c r="B18" s="45" t="s">
        <v>199</v>
      </c>
      <c r="C18" s="45" t="s">
        <v>70</v>
      </c>
      <c r="D18" s="47"/>
      <c r="E18" s="47"/>
      <c r="F18" s="70" t="str">
        <f t="shared" si="4"/>
        <v/>
      </c>
      <c r="G18" s="45" t="s">
        <v>70</v>
      </c>
      <c r="H18" s="47"/>
      <c r="I18" s="47"/>
      <c r="J18" s="70" t="str">
        <f t="shared" si="5"/>
        <v/>
      </c>
      <c r="K18" s="55" t="s">
        <v>70</v>
      </c>
      <c r="L18" s="47"/>
      <c r="M18" s="47"/>
      <c r="N18" s="70" t="str">
        <f t="shared" si="6"/>
        <v/>
      </c>
      <c r="O18" s="55" t="s">
        <v>70</v>
      </c>
      <c r="P18" s="47"/>
      <c r="Q18" s="47"/>
      <c r="R18" s="70" t="str">
        <f t="shared" si="7"/>
        <v/>
      </c>
      <c r="S18" s="55" t="s">
        <v>70</v>
      </c>
      <c r="T18" s="47"/>
      <c r="U18" s="47"/>
      <c r="V18" s="70" t="str">
        <f t="shared" si="8"/>
        <v/>
      </c>
      <c r="W18" s="45" t="s">
        <v>70</v>
      </c>
      <c r="X18" s="47">
        <v>10</v>
      </c>
      <c r="Y18" s="47">
        <v>87</v>
      </c>
      <c r="Z18" s="70">
        <f t="shared" si="9"/>
        <v>8.6999999999999993</v>
      </c>
      <c r="AA18" s="47">
        <v>2000</v>
      </c>
      <c r="AB18" s="47">
        <v>528</v>
      </c>
      <c r="AC18" s="70">
        <f t="shared" si="10"/>
        <v>0.26400000000000001</v>
      </c>
      <c r="AD18" s="86"/>
      <c r="AE18" s="18"/>
      <c r="AF18" s="18"/>
      <c r="AG18" s="105" t="str">
        <f t="shared" si="15"/>
        <v/>
      </c>
      <c r="AH18" s="86"/>
      <c r="AI18" s="18"/>
      <c r="AJ18" s="18"/>
      <c r="AK18" s="105" t="str">
        <f t="shared" si="16"/>
        <v/>
      </c>
      <c r="AL18" s="18"/>
      <c r="AM18" s="18"/>
      <c r="AN18" s="105" t="str">
        <f t="shared" si="17"/>
        <v/>
      </c>
      <c r="AO18" s="55" t="s">
        <v>70</v>
      </c>
      <c r="AR18" s="70" t="str">
        <f t="shared" si="11"/>
        <v/>
      </c>
      <c r="AS18" s="55" t="s">
        <v>70</v>
      </c>
      <c r="AV18" s="70" t="str">
        <f t="shared" si="12"/>
        <v/>
      </c>
      <c r="AW18" s="55" t="s">
        <v>70</v>
      </c>
      <c r="AZ18" s="70" t="str">
        <f t="shared" si="13"/>
        <v/>
      </c>
      <c r="BA18" s="55" t="s">
        <v>70</v>
      </c>
      <c r="BD18" s="70" t="str">
        <f t="shared" si="14"/>
        <v/>
      </c>
      <c r="BH18" s="111" t="str">
        <f t="shared" si="18"/>
        <v/>
      </c>
    </row>
    <row r="19" spans="1:60" s="3" customFormat="1" ht="15" customHeight="1" x14ac:dyDescent="0.3">
      <c r="A19" s="55" t="s">
        <v>110</v>
      </c>
      <c r="B19" s="45" t="s">
        <v>26</v>
      </c>
      <c r="C19" s="55" t="s">
        <v>136</v>
      </c>
      <c r="D19" s="47">
        <f>F99*2150</f>
        <v>14333.339732142858</v>
      </c>
      <c r="E19" s="47">
        <v>31400</v>
      </c>
      <c r="F19" s="70">
        <f t="shared" si="4"/>
        <v>0.15385113981882675</v>
      </c>
      <c r="G19" s="55" t="s">
        <v>136</v>
      </c>
      <c r="H19" s="47">
        <f>F99*2150</f>
        <v>14333.339732142858</v>
      </c>
      <c r="I19" s="47">
        <v>31400</v>
      </c>
      <c r="J19" s="70">
        <f t="shared" si="5"/>
        <v>0.15317832142311757</v>
      </c>
      <c r="K19" s="55" t="s">
        <v>136</v>
      </c>
      <c r="L19" s="47">
        <f>F99*1300</f>
        <v>8666.6705357142855</v>
      </c>
      <c r="M19" s="47">
        <v>23440</v>
      </c>
      <c r="N19" s="70">
        <f t="shared" si="6"/>
        <v>0.21154025710273677</v>
      </c>
      <c r="O19" s="55" t="s">
        <v>136</v>
      </c>
      <c r="P19" s="47">
        <f>F99*2430</f>
        <v>16200.007232142858</v>
      </c>
      <c r="Q19" s="47">
        <v>73000</v>
      </c>
      <c r="R19" s="70">
        <f t="shared" si="7"/>
        <v>0.33261150356881813</v>
      </c>
      <c r="S19" s="55" t="s">
        <v>136</v>
      </c>
      <c r="T19" s="47">
        <f>F99*1400</f>
        <v>9333.3375000000015</v>
      </c>
      <c r="U19" s="47">
        <v>58000</v>
      </c>
      <c r="V19" s="70">
        <f t="shared" si="8"/>
        <v>0.40461547398374653</v>
      </c>
      <c r="W19" s="55" t="s">
        <v>136</v>
      </c>
      <c r="X19" s="47">
        <f>F99*150</f>
        <v>1000.0004464285715</v>
      </c>
      <c r="Y19" s="47">
        <v>1318</v>
      </c>
      <c r="Z19" s="70">
        <f t="shared" si="9"/>
        <v>1.3179994116074054</v>
      </c>
      <c r="AA19" s="47">
        <f>F99*400</f>
        <v>2666.6678571428574</v>
      </c>
      <c r="AB19" s="47">
        <v>348</v>
      </c>
      <c r="AC19" s="70">
        <f t="shared" si="10"/>
        <v>0.13049994174109741</v>
      </c>
      <c r="AD19" s="86" t="s">
        <v>136</v>
      </c>
      <c r="AE19" s="18">
        <f>F99*400</f>
        <v>2666.6678571428574</v>
      </c>
      <c r="AF19" s="18">
        <v>2133</v>
      </c>
      <c r="AG19" s="105">
        <f t="shared" si="15"/>
        <v>0.79987464291310573</v>
      </c>
      <c r="AH19" s="86"/>
      <c r="AI19" s="18">
        <f>F99*150</f>
        <v>1000.0004464285715</v>
      </c>
      <c r="AJ19" s="18">
        <v>838</v>
      </c>
      <c r="AK19" s="105">
        <f t="shared" si="16"/>
        <v>0.83799962589302401</v>
      </c>
      <c r="AL19" s="18">
        <f>F99*100</f>
        <v>666.66696428571436</v>
      </c>
      <c r="AM19" s="18">
        <v>588</v>
      </c>
      <c r="AN19" s="105">
        <f t="shared" si="17"/>
        <v>0.88199960625017571</v>
      </c>
      <c r="AO19" s="55" t="s">
        <v>136</v>
      </c>
      <c r="AP19" s="3">
        <f>F99*350</f>
        <v>2333.3343750000004</v>
      </c>
      <c r="AQ19" s="3">
        <v>35000</v>
      </c>
      <c r="AR19" s="70">
        <f t="shared" si="11"/>
        <v>0.91005026940323375</v>
      </c>
      <c r="AS19" s="55" t="s">
        <v>136</v>
      </c>
      <c r="AT19" s="19">
        <f>F99*150</f>
        <v>1000.0004464285715</v>
      </c>
      <c r="AU19" s="19">
        <v>30000</v>
      </c>
      <c r="AV19" s="70">
        <f t="shared" si="12"/>
        <v>1.8635905080759605</v>
      </c>
      <c r="AW19" s="55" t="s">
        <v>136</v>
      </c>
      <c r="AX19" s="19">
        <f>F99*115</f>
        <v>766.66700892857148</v>
      </c>
      <c r="AY19" s="19">
        <v>49290</v>
      </c>
      <c r="AZ19" s="70">
        <f t="shared" si="13"/>
        <v>3.9356686308825513</v>
      </c>
      <c r="BA19" s="55" t="s">
        <v>136</v>
      </c>
      <c r="BB19" s="3">
        <f>F99*150</f>
        <v>1000.0004464285715</v>
      </c>
      <c r="BC19" s="3">
        <v>53571</v>
      </c>
      <c r="BD19" s="70">
        <f t="shared" si="14"/>
        <v>3.4229398643803517</v>
      </c>
      <c r="BE19" s="55" t="s">
        <v>136</v>
      </c>
      <c r="BF19" s="3">
        <f>F99*1250</f>
        <v>8333.3370535714294</v>
      </c>
      <c r="BG19" s="3">
        <v>5333</v>
      </c>
      <c r="BH19" s="111">
        <f t="shared" si="18"/>
        <v>0.63995971430369891</v>
      </c>
    </row>
    <row r="20" spans="1:60" s="3" customFormat="1" x14ac:dyDescent="0.3">
      <c r="A20" s="55" t="s">
        <v>258</v>
      </c>
      <c r="B20" s="45" t="s">
        <v>198</v>
      </c>
      <c r="C20" s="45" t="s">
        <v>104</v>
      </c>
      <c r="D20" s="47">
        <v>250</v>
      </c>
      <c r="E20" s="47">
        <v>4950</v>
      </c>
      <c r="F20" s="70">
        <f t="shared" si="4"/>
        <v>1.3905405405405409</v>
      </c>
      <c r="G20" s="45" t="s">
        <v>104</v>
      </c>
      <c r="H20" s="47">
        <v>250</v>
      </c>
      <c r="I20" s="47">
        <v>4950</v>
      </c>
      <c r="J20" s="70">
        <f t="shared" si="5"/>
        <v>1.3844594594594597</v>
      </c>
      <c r="K20" s="55" t="s">
        <v>104</v>
      </c>
      <c r="L20" s="47">
        <v>500</v>
      </c>
      <c r="M20" s="47">
        <v>29580</v>
      </c>
      <c r="N20" s="70">
        <f t="shared" si="6"/>
        <v>4.6271744471744469</v>
      </c>
      <c r="O20" s="55" t="s">
        <v>104</v>
      </c>
      <c r="P20" s="47">
        <v>400</v>
      </c>
      <c r="Q20" s="47">
        <v>20000</v>
      </c>
      <c r="R20" s="70">
        <f t="shared" si="7"/>
        <v>3.6906224406224406</v>
      </c>
      <c r="S20" s="55" t="s">
        <v>104</v>
      </c>
      <c r="T20" s="47">
        <v>600</v>
      </c>
      <c r="U20" s="47">
        <v>48000</v>
      </c>
      <c r="V20" s="70">
        <f t="shared" si="8"/>
        <v>5.2088452088452089</v>
      </c>
      <c r="W20" s="50" t="s">
        <v>104</v>
      </c>
      <c r="X20" s="47">
        <v>2500</v>
      </c>
      <c r="Y20" s="47">
        <v>1923</v>
      </c>
      <c r="Z20" s="70">
        <f t="shared" si="9"/>
        <v>0.76919999999999999</v>
      </c>
      <c r="AA20" s="47">
        <v>30</v>
      </c>
      <c r="AB20" s="47">
        <v>988</v>
      </c>
      <c r="AC20" s="70">
        <f t="shared" si="10"/>
        <v>32.93333333333333</v>
      </c>
      <c r="AD20" s="100" t="s">
        <v>71</v>
      </c>
      <c r="AE20" s="18">
        <v>40</v>
      </c>
      <c r="AF20" s="18">
        <v>1222</v>
      </c>
      <c r="AG20" s="105">
        <f t="shared" si="15"/>
        <v>30.55</v>
      </c>
      <c r="AH20" s="86"/>
      <c r="AI20" s="18">
        <v>10</v>
      </c>
      <c r="AJ20" s="18">
        <v>483</v>
      </c>
      <c r="AK20" s="105">
        <f t="shared" si="16"/>
        <v>48.3</v>
      </c>
      <c r="AL20" s="18">
        <v>15</v>
      </c>
      <c r="AM20" s="18">
        <v>588</v>
      </c>
      <c r="AN20" s="105">
        <f t="shared" si="17"/>
        <v>39.200000000000003</v>
      </c>
      <c r="AO20" s="55" t="s">
        <v>13</v>
      </c>
      <c r="AP20" s="3">
        <v>45</v>
      </c>
      <c r="AQ20" s="2">
        <v>25714</v>
      </c>
      <c r="AR20" s="70">
        <f t="shared" si="11"/>
        <v>34.668211961961958</v>
      </c>
      <c r="AS20" s="55" t="s">
        <v>13</v>
      </c>
      <c r="AT20" s="19">
        <v>50</v>
      </c>
      <c r="AU20" s="19">
        <v>20000</v>
      </c>
      <c r="AV20" s="70">
        <f t="shared" si="12"/>
        <v>24.847884533813453</v>
      </c>
      <c r="AW20" s="55" t="s">
        <v>13</v>
      </c>
      <c r="AX20" s="19">
        <v>60</v>
      </c>
      <c r="AY20" s="19">
        <v>25710</v>
      </c>
      <c r="AZ20" s="70">
        <f t="shared" si="13"/>
        <v>26.231148649304433</v>
      </c>
      <c r="BA20" s="55" t="s">
        <v>13</v>
      </c>
      <c r="BB20" s="3">
        <v>75</v>
      </c>
      <c r="BC20" s="3">
        <v>42737</v>
      </c>
      <c r="BD20" s="70">
        <f t="shared" si="14"/>
        <v>36.409312573433112</v>
      </c>
      <c r="BE20" s="55" t="s">
        <v>13</v>
      </c>
      <c r="BF20" s="3">
        <v>115</v>
      </c>
      <c r="BG20" s="3">
        <v>3266</v>
      </c>
      <c r="BH20" s="111">
        <f t="shared" si="18"/>
        <v>28.4</v>
      </c>
    </row>
    <row r="21" spans="1:60" s="3" customFormat="1" ht="15" customHeight="1" x14ac:dyDescent="0.3">
      <c r="A21" s="55" t="s">
        <v>257</v>
      </c>
      <c r="B21" s="45" t="s">
        <v>195</v>
      </c>
      <c r="C21" s="45" t="s">
        <v>72</v>
      </c>
      <c r="D21" s="47">
        <v>2000</v>
      </c>
      <c r="E21" s="47">
        <v>22000</v>
      </c>
      <c r="F21" s="70">
        <f t="shared" si="4"/>
        <v>0.77252252252252263</v>
      </c>
      <c r="G21" s="45" t="s">
        <v>72</v>
      </c>
      <c r="H21" s="47">
        <v>2000</v>
      </c>
      <c r="I21" s="47">
        <v>22000</v>
      </c>
      <c r="J21" s="70">
        <f t="shared" si="5"/>
        <v>0.76914414414414423</v>
      </c>
      <c r="K21" s="55" t="s">
        <v>72</v>
      </c>
      <c r="L21" s="47">
        <v>1000</v>
      </c>
      <c r="M21" s="47">
        <v>8000</v>
      </c>
      <c r="N21" s="70">
        <f t="shared" si="6"/>
        <v>0.62571662571662567</v>
      </c>
      <c r="O21" s="50" t="s">
        <v>72</v>
      </c>
      <c r="P21" s="47">
        <v>1500</v>
      </c>
      <c r="Q21" s="47">
        <v>9000</v>
      </c>
      <c r="R21" s="70">
        <f t="shared" si="7"/>
        <v>0.44287469287469289</v>
      </c>
      <c r="S21" s="55" t="s">
        <v>13</v>
      </c>
      <c r="T21" s="47"/>
      <c r="U21" s="47">
        <v>34000</v>
      </c>
      <c r="V21" s="70" t="str">
        <f t="shared" si="8"/>
        <v/>
      </c>
      <c r="W21" s="55" t="s">
        <v>13</v>
      </c>
      <c r="X21" s="47">
        <v>30</v>
      </c>
      <c r="Y21" s="47">
        <v>1208</v>
      </c>
      <c r="Z21" s="70">
        <f t="shared" si="9"/>
        <v>40.266666666666666</v>
      </c>
      <c r="AA21" s="47"/>
      <c r="AB21" s="47"/>
      <c r="AC21" s="70" t="str">
        <f t="shared" si="10"/>
        <v/>
      </c>
      <c r="AD21" s="87" t="s">
        <v>13</v>
      </c>
      <c r="AE21" s="18"/>
      <c r="AF21" s="18">
        <v>800</v>
      </c>
      <c r="AG21" s="105" t="str">
        <f t="shared" si="15"/>
        <v/>
      </c>
      <c r="AH21" s="86"/>
      <c r="AI21" s="18">
        <v>25</v>
      </c>
      <c r="AJ21" s="18">
        <v>463</v>
      </c>
      <c r="AK21" s="105">
        <f t="shared" si="16"/>
        <v>18.52</v>
      </c>
      <c r="AL21" s="18">
        <v>40</v>
      </c>
      <c r="AM21" s="18">
        <v>784</v>
      </c>
      <c r="AN21" s="105">
        <f t="shared" si="17"/>
        <v>19.600000000000001</v>
      </c>
      <c r="AO21" s="55" t="s">
        <v>13</v>
      </c>
      <c r="AP21" s="3">
        <v>20</v>
      </c>
      <c r="AQ21" s="3">
        <v>10080</v>
      </c>
      <c r="AR21" s="70">
        <f t="shared" si="11"/>
        <v>30.577702702702698</v>
      </c>
      <c r="AS21" s="55" t="s">
        <v>13</v>
      </c>
      <c r="AT21" s="19">
        <v>42</v>
      </c>
      <c r="AU21" s="19">
        <v>9000</v>
      </c>
      <c r="AV21" s="70">
        <f t="shared" si="12"/>
        <v>13.31136671454292</v>
      </c>
      <c r="AW21" s="55" t="s">
        <v>13</v>
      </c>
      <c r="AX21" s="19">
        <v>35</v>
      </c>
      <c r="AY21" s="19">
        <v>8010</v>
      </c>
      <c r="AZ21" s="70">
        <f t="shared" si="13"/>
        <v>14.009768340118587</v>
      </c>
      <c r="BA21" s="55" t="s">
        <v>13</v>
      </c>
      <c r="BB21" s="3">
        <v>25</v>
      </c>
      <c r="BC21" s="3">
        <v>10714</v>
      </c>
      <c r="BD21" s="70">
        <f t="shared" si="14"/>
        <v>27.383019976490797</v>
      </c>
      <c r="BE21" s="55" t="s">
        <v>13</v>
      </c>
      <c r="BF21" s="3">
        <v>28</v>
      </c>
      <c r="BG21" s="3">
        <v>803</v>
      </c>
      <c r="BH21" s="111">
        <f t="shared" si="18"/>
        <v>28.678571428571427</v>
      </c>
    </row>
    <row r="22" spans="1:60" s="3" customFormat="1" x14ac:dyDescent="0.3">
      <c r="A22" s="55" t="s">
        <v>94</v>
      </c>
      <c r="B22" s="45" t="s">
        <v>200</v>
      </c>
      <c r="C22" s="45" t="s">
        <v>13</v>
      </c>
      <c r="D22" s="47">
        <v>50</v>
      </c>
      <c r="E22" s="47">
        <v>10000</v>
      </c>
      <c r="F22" s="70">
        <f t="shared" si="4"/>
        <v>14.045864045864048</v>
      </c>
      <c r="G22" s="45" t="s">
        <v>13</v>
      </c>
      <c r="H22" s="47">
        <v>50</v>
      </c>
      <c r="I22" s="47">
        <v>10000</v>
      </c>
      <c r="J22" s="70">
        <f t="shared" si="5"/>
        <v>13.984438984438986</v>
      </c>
      <c r="K22" s="55" t="s">
        <v>13</v>
      </c>
      <c r="L22" s="47">
        <v>50</v>
      </c>
      <c r="M22" s="47">
        <v>10000</v>
      </c>
      <c r="N22" s="70">
        <f t="shared" si="6"/>
        <v>15.642915642915641</v>
      </c>
      <c r="O22" s="55" t="s">
        <v>13</v>
      </c>
      <c r="P22" s="47">
        <v>15</v>
      </c>
      <c r="Q22" s="47">
        <v>1800</v>
      </c>
      <c r="R22" s="70">
        <f t="shared" si="7"/>
        <v>8.8574938574938589</v>
      </c>
      <c r="S22" s="55" t="s">
        <v>13</v>
      </c>
      <c r="T22" s="47">
        <v>90</v>
      </c>
      <c r="U22" s="47">
        <v>7200</v>
      </c>
      <c r="V22" s="70">
        <f t="shared" si="8"/>
        <v>5.2088452088452089</v>
      </c>
      <c r="W22" s="45" t="s">
        <v>13</v>
      </c>
      <c r="X22" s="47">
        <v>700</v>
      </c>
      <c r="Y22" s="47">
        <v>3814</v>
      </c>
      <c r="Z22" s="70">
        <f t="shared" si="9"/>
        <v>5.4485714285714284</v>
      </c>
      <c r="AA22" s="47">
        <v>400</v>
      </c>
      <c r="AB22" s="47">
        <v>2636</v>
      </c>
      <c r="AC22" s="70">
        <f t="shared" si="10"/>
        <v>6.59</v>
      </c>
      <c r="AD22" s="87" t="s">
        <v>13</v>
      </c>
      <c r="AE22" s="18">
        <v>290</v>
      </c>
      <c r="AF22" s="18">
        <v>1111</v>
      </c>
      <c r="AG22" s="105">
        <f t="shared" si="15"/>
        <v>3.8310344827586209</v>
      </c>
      <c r="AH22" s="86"/>
      <c r="AI22" s="18">
        <v>46</v>
      </c>
      <c r="AJ22" s="18">
        <v>426</v>
      </c>
      <c r="AK22" s="105">
        <f t="shared" si="16"/>
        <v>9.2608695652173907</v>
      </c>
      <c r="AL22" s="18">
        <v>200</v>
      </c>
      <c r="AM22" s="18">
        <v>1177</v>
      </c>
      <c r="AN22" s="105">
        <f t="shared" si="17"/>
        <v>5.8849999999999998</v>
      </c>
      <c r="AO22" s="55" t="s">
        <v>13</v>
      </c>
      <c r="AP22" s="3">
        <v>750</v>
      </c>
      <c r="AQ22" s="3">
        <v>63571</v>
      </c>
      <c r="AR22" s="70">
        <f t="shared" si="11"/>
        <v>5.1424739114114111</v>
      </c>
      <c r="AS22" s="55" t="s">
        <v>13</v>
      </c>
      <c r="AT22" s="19">
        <v>400</v>
      </c>
      <c r="AU22" s="19">
        <v>40000</v>
      </c>
      <c r="AV22" s="70">
        <f t="shared" si="12"/>
        <v>6.2119711334533632</v>
      </c>
      <c r="AW22" s="55" t="s">
        <v>13</v>
      </c>
      <c r="AX22" s="19">
        <v>500</v>
      </c>
      <c r="AY22" s="19">
        <v>57135</v>
      </c>
      <c r="AZ22" s="70">
        <f t="shared" si="13"/>
        <v>6.9951770272019074</v>
      </c>
      <c r="BA22" s="55" t="s">
        <v>13</v>
      </c>
      <c r="BB22" s="3">
        <v>950</v>
      </c>
      <c r="BC22" s="3">
        <v>122142</v>
      </c>
      <c r="BD22" s="70">
        <f t="shared" si="14"/>
        <v>8.2150674129484749</v>
      </c>
      <c r="BE22" s="55" t="s">
        <v>13</v>
      </c>
      <c r="BF22" s="3">
        <v>1975</v>
      </c>
      <c r="BG22" s="3">
        <v>24358</v>
      </c>
      <c r="BH22" s="111">
        <f t="shared" si="18"/>
        <v>12.333164556962025</v>
      </c>
    </row>
    <row r="23" spans="1:60" s="3" customFormat="1" x14ac:dyDescent="0.3">
      <c r="A23" s="55" t="s">
        <v>20</v>
      </c>
      <c r="B23" s="45" t="s">
        <v>26</v>
      </c>
      <c r="C23" s="45" t="s">
        <v>136</v>
      </c>
      <c r="D23" s="47">
        <v>4500</v>
      </c>
      <c r="E23" s="47">
        <v>604800</v>
      </c>
      <c r="F23" s="70">
        <f t="shared" si="4"/>
        <v>9.4388206388206406</v>
      </c>
      <c r="G23" s="45" t="s">
        <v>136</v>
      </c>
      <c r="H23" s="47">
        <v>4500</v>
      </c>
      <c r="I23" s="47">
        <v>604800</v>
      </c>
      <c r="J23" s="70">
        <f t="shared" si="5"/>
        <v>9.3975429975429989</v>
      </c>
      <c r="K23" s="55" t="s">
        <v>136</v>
      </c>
      <c r="L23" s="47">
        <v>1857</v>
      </c>
      <c r="M23" s="47">
        <v>319200</v>
      </c>
      <c r="N23" s="70">
        <f t="shared" si="6"/>
        <v>13.444315221374994</v>
      </c>
      <c r="O23" s="55" t="s">
        <v>136</v>
      </c>
      <c r="P23" s="47">
        <v>165</v>
      </c>
      <c r="Q23" s="47">
        <v>25000</v>
      </c>
      <c r="R23" s="70">
        <f t="shared" si="7"/>
        <v>11.183704365522548</v>
      </c>
      <c r="S23" s="55" t="s">
        <v>136</v>
      </c>
      <c r="T23" s="47">
        <f>F100*250</f>
        <v>580.35714285714289</v>
      </c>
      <c r="U23" s="47">
        <v>70000</v>
      </c>
      <c r="V23" s="70">
        <f t="shared" si="8"/>
        <v>7.8533358533358539</v>
      </c>
      <c r="W23" s="55" t="s">
        <v>136</v>
      </c>
      <c r="X23" s="47">
        <f>F100*850</f>
        <v>1973.2142857142858</v>
      </c>
      <c r="Y23" s="47">
        <v>20549</v>
      </c>
      <c r="Z23" s="70">
        <f t="shared" si="9"/>
        <v>10.413972850678732</v>
      </c>
      <c r="AA23" s="47">
        <f>F100*500</f>
        <v>1160.7142857142858</v>
      </c>
      <c r="AB23" s="47">
        <v>5495</v>
      </c>
      <c r="AC23" s="70">
        <f t="shared" si="10"/>
        <v>4.7341538461538457</v>
      </c>
      <c r="AD23" s="87" t="s">
        <v>136</v>
      </c>
      <c r="AE23" s="18">
        <f>F100*500</f>
        <v>1160.7142857142858</v>
      </c>
      <c r="AF23" s="18">
        <v>6000</v>
      </c>
      <c r="AG23" s="105">
        <f t="shared" si="15"/>
        <v>5.1692307692307686</v>
      </c>
      <c r="AH23" s="86" t="s">
        <v>136</v>
      </c>
      <c r="AI23" s="18">
        <f>F100*650</f>
        <v>1508.9285714285716</v>
      </c>
      <c r="AJ23" s="18">
        <v>12037</v>
      </c>
      <c r="AK23" s="105">
        <f t="shared" si="16"/>
        <v>7.9771834319526622</v>
      </c>
      <c r="AL23" s="18">
        <f>F100*450</f>
        <v>1044.6428571428573</v>
      </c>
      <c r="AM23" s="18">
        <v>8823</v>
      </c>
      <c r="AN23" s="105">
        <f t="shared" si="17"/>
        <v>8.4459487179487169</v>
      </c>
      <c r="AO23" s="55" t="s">
        <v>136</v>
      </c>
      <c r="AP23" s="3">
        <f>F100*340</f>
        <v>789.28571428571433</v>
      </c>
      <c r="AQ23" s="3">
        <v>84800</v>
      </c>
      <c r="AR23" s="70">
        <f t="shared" si="11"/>
        <v>6.51832375361787</v>
      </c>
      <c r="AS23" s="55" t="s">
        <v>136</v>
      </c>
      <c r="AT23" s="19">
        <f>F100*770</f>
        <v>1787.5000000000002</v>
      </c>
      <c r="AU23" s="19">
        <v>165000</v>
      </c>
      <c r="AV23" s="70">
        <f t="shared" si="12"/>
        <v>5.7341272001107964</v>
      </c>
      <c r="AW23" s="55" t="s">
        <v>136</v>
      </c>
      <c r="AX23" s="19">
        <f>F100*850</f>
        <v>1973.2142857142858</v>
      </c>
      <c r="AY23" s="19">
        <v>194280</v>
      </c>
      <c r="AZ23" s="70">
        <f t="shared" si="13"/>
        <v>6.0272655498632908</v>
      </c>
      <c r="BA23" s="55" t="s">
        <v>136</v>
      </c>
      <c r="BB23" s="3">
        <f>F100*1500</f>
        <v>3482.1428571428573</v>
      </c>
      <c r="BC23" s="3">
        <v>385714</v>
      </c>
      <c r="BD23" s="70">
        <f t="shared" si="14"/>
        <v>7.0776409653781727</v>
      </c>
      <c r="BE23" s="55" t="s">
        <v>136</v>
      </c>
      <c r="BF23" s="3">
        <f>F100*1175</f>
        <v>2727.6785714285716</v>
      </c>
      <c r="BG23" s="3">
        <v>391667</v>
      </c>
      <c r="BH23" s="111">
        <f>IFERROR(BG23/$D$118/BF23,"")</f>
        <v>8.8935164624526308</v>
      </c>
    </row>
    <row r="24" spans="1:60" s="3" customFormat="1" x14ac:dyDescent="0.3">
      <c r="A24" s="55" t="s">
        <v>138</v>
      </c>
      <c r="B24" s="45" t="s">
        <v>26</v>
      </c>
      <c r="C24" s="55" t="s">
        <v>136</v>
      </c>
      <c r="D24" s="47"/>
      <c r="E24" s="47">
        <v>279900</v>
      </c>
      <c r="F24" s="70" t="str">
        <f t="shared" si="4"/>
        <v/>
      </c>
      <c r="G24" s="55" t="s">
        <v>136</v>
      </c>
      <c r="H24" s="47"/>
      <c r="I24" s="47">
        <v>321500</v>
      </c>
      <c r="J24" s="70" t="str">
        <f t="shared" si="5"/>
        <v/>
      </c>
      <c r="K24" s="55" t="s">
        <v>136</v>
      </c>
      <c r="L24" s="47"/>
      <c r="M24" s="47">
        <v>252480</v>
      </c>
      <c r="N24" s="70" t="str">
        <f t="shared" si="6"/>
        <v/>
      </c>
      <c r="O24" s="55" t="s">
        <v>136</v>
      </c>
      <c r="P24" s="47"/>
      <c r="Q24" s="47">
        <v>119560</v>
      </c>
      <c r="R24" s="70" t="str">
        <f t="shared" si="7"/>
        <v/>
      </c>
      <c r="S24" s="55" t="s">
        <v>136</v>
      </c>
      <c r="T24" s="47"/>
      <c r="U24" s="47">
        <v>580000</v>
      </c>
      <c r="V24" s="70" t="str">
        <f t="shared" si="8"/>
        <v/>
      </c>
      <c r="W24" s="55" t="s">
        <v>136</v>
      </c>
      <c r="X24" s="47">
        <v>30000</v>
      </c>
      <c r="Y24" s="47">
        <v>1648</v>
      </c>
      <c r="Z24" s="70">
        <f t="shared" si="9"/>
        <v>5.4933333333333334E-2</v>
      </c>
      <c r="AA24" s="47">
        <v>2500</v>
      </c>
      <c r="AB24" s="47">
        <v>1659</v>
      </c>
      <c r="AC24" s="70">
        <f t="shared" si="10"/>
        <v>0.66359999999999997</v>
      </c>
      <c r="AD24" s="86" t="s">
        <v>136</v>
      </c>
      <c r="AE24" s="18">
        <v>2000</v>
      </c>
      <c r="AF24" s="18">
        <v>1333</v>
      </c>
      <c r="AG24" s="105">
        <f t="shared" si="15"/>
        <v>0.66649999999999998</v>
      </c>
      <c r="AH24" s="86"/>
      <c r="AI24" s="18">
        <v>750</v>
      </c>
      <c r="AJ24" s="18">
        <v>486</v>
      </c>
      <c r="AK24" s="105">
        <f t="shared" si="16"/>
        <v>0.64800000000000002</v>
      </c>
      <c r="AL24" s="18">
        <v>1000</v>
      </c>
      <c r="AM24" s="18">
        <v>706</v>
      </c>
      <c r="AN24" s="105">
        <f t="shared" si="17"/>
        <v>0.70599999999999996</v>
      </c>
      <c r="AO24" s="55" t="s">
        <v>136</v>
      </c>
      <c r="AP24" s="3">
        <v>4000</v>
      </c>
      <c r="AQ24" s="3">
        <v>48714</v>
      </c>
      <c r="AR24" s="70">
        <f t="shared" si="11"/>
        <v>0.73887014358108105</v>
      </c>
      <c r="AS24" s="55" t="s">
        <v>136</v>
      </c>
      <c r="AT24" s="19">
        <v>3000</v>
      </c>
      <c r="AU24" s="19">
        <v>60000</v>
      </c>
      <c r="AV24" s="70">
        <f t="shared" si="12"/>
        <v>1.2423942266906727</v>
      </c>
      <c r="AW24" s="55" t="s">
        <v>136</v>
      </c>
      <c r="AX24" s="19">
        <v>3200</v>
      </c>
      <c r="AY24" s="19">
        <v>68565</v>
      </c>
      <c r="AZ24" s="70">
        <f t="shared" si="13"/>
        <v>1.3116530828030619</v>
      </c>
      <c r="BA24" s="55" t="s">
        <v>136</v>
      </c>
      <c r="BB24" s="3">
        <v>4500</v>
      </c>
      <c r="BC24" s="3">
        <v>77142</v>
      </c>
      <c r="BD24" s="70">
        <f t="shared" si="14"/>
        <v>1.0953378378375402</v>
      </c>
      <c r="BE24" s="55" t="s">
        <v>136</v>
      </c>
      <c r="BF24" s="3">
        <v>3960</v>
      </c>
      <c r="BG24" s="3">
        <v>5280</v>
      </c>
      <c r="BH24" s="111">
        <f t="shared" si="18"/>
        <v>1.3333333333333333</v>
      </c>
    </row>
    <row r="25" spans="1:60" s="3" customFormat="1" ht="15" customHeight="1" x14ac:dyDescent="0.3">
      <c r="A25" s="55" t="s">
        <v>19</v>
      </c>
      <c r="B25" s="45" t="s">
        <v>201</v>
      </c>
      <c r="C25" s="55" t="s">
        <v>178</v>
      </c>
      <c r="D25" s="47">
        <f>D70*3000</f>
        <v>27000</v>
      </c>
      <c r="E25" s="47">
        <v>22800</v>
      </c>
      <c r="F25" s="70">
        <f t="shared" si="4"/>
        <v>5.9304759304759314E-2</v>
      </c>
      <c r="G25" s="55" t="s">
        <v>178</v>
      </c>
      <c r="H25" s="47">
        <f>D70*3500</f>
        <v>31500</v>
      </c>
      <c r="I25" s="47">
        <v>25200</v>
      </c>
      <c r="J25" s="70">
        <f t="shared" si="5"/>
        <v>5.5937755937755941E-2</v>
      </c>
      <c r="K25" s="55" t="s">
        <v>178</v>
      </c>
      <c r="L25" s="47">
        <f>D70*4000</f>
        <v>36000</v>
      </c>
      <c r="M25" s="47">
        <v>24000</v>
      </c>
      <c r="N25" s="70">
        <f t="shared" si="6"/>
        <v>5.2143052143052142E-2</v>
      </c>
      <c r="O25" s="55" t="s">
        <v>178</v>
      </c>
      <c r="P25" s="47">
        <f>D70*2000</f>
        <v>18000</v>
      </c>
      <c r="Q25" s="47">
        <v>19200</v>
      </c>
      <c r="R25" s="70">
        <f t="shared" si="7"/>
        <v>7.8733278733278747E-2</v>
      </c>
      <c r="S25" s="55" t="s">
        <v>178</v>
      </c>
      <c r="T25" s="47">
        <f>D70*1500</f>
        <v>13500</v>
      </c>
      <c r="U25" s="47">
        <v>9000</v>
      </c>
      <c r="V25" s="70">
        <f t="shared" si="8"/>
        <v>4.3407043407043405E-2</v>
      </c>
      <c r="W25" s="55" t="s">
        <v>178</v>
      </c>
      <c r="X25" s="47">
        <f>D70*4000</f>
        <v>36000</v>
      </c>
      <c r="Y25" s="47">
        <v>29000</v>
      </c>
      <c r="Z25" s="70">
        <f>IFERROR(U25/$D$109/T25,"")</f>
        <v>4.1732054636121819E-2</v>
      </c>
      <c r="AA25" s="47">
        <f>D70*4000</f>
        <v>36000</v>
      </c>
      <c r="AB25" s="47">
        <v>2198</v>
      </c>
      <c r="AC25" s="70">
        <f t="shared" si="10"/>
        <v>6.1055555555555557E-2</v>
      </c>
      <c r="AD25" s="86" t="s">
        <v>178</v>
      </c>
      <c r="AE25" s="18">
        <f>D70*6000</f>
        <v>54000</v>
      </c>
      <c r="AF25" s="18">
        <v>3333</v>
      </c>
      <c r="AG25" s="105">
        <f t="shared" si="15"/>
        <v>6.172222222222222E-2</v>
      </c>
      <c r="AH25" s="86"/>
      <c r="AI25" s="18">
        <f>D70*3000</f>
        <v>27000</v>
      </c>
      <c r="AJ25" s="18">
        <v>1667</v>
      </c>
      <c r="AK25" s="105">
        <f t="shared" si="16"/>
        <v>6.1740740740740742E-2</v>
      </c>
      <c r="AL25" s="18">
        <f>D70*5000</f>
        <v>45000</v>
      </c>
      <c r="AM25" s="18">
        <v>2745</v>
      </c>
      <c r="AN25" s="105">
        <f t="shared" si="17"/>
        <v>6.0999999999999999E-2</v>
      </c>
      <c r="AO25" s="55" t="s">
        <v>178</v>
      </c>
      <c r="AP25" s="3">
        <f>D70*4500</f>
        <v>40500</v>
      </c>
      <c r="AQ25" s="3">
        <v>38571</v>
      </c>
      <c r="AR25" s="70">
        <f t="shared" si="11"/>
        <v>5.7780353269936593E-2</v>
      </c>
      <c r="AS25" s="55" t="s">
        <v>178</v>
      </c>
      <c r="AT25" s="19">
        <f>D70*8000</f>
        <v>72000</v>
      </c>
      <c r="AU25" s="19">
        <v>60570</v>
      </c>
      <c r="AV25" s="70">
        <f t="shared" si="12"/>
        <v>5.2258207160176422E-2</v>
      </c>
      <c r="AW25" s="55" t="s">
        <v>178</v>
      </c>
      <c r="AX25" s="19">
        <f>D70*8500</f>
        <v>76500</v>
      </c>
      <c r="AY25" s="19">
        <v>67995</v>
      </c>
      <c r="AZ25" s="70">
        <f t="shared" si="13"/>
        <v>5.4410413355891266E-2</v>
      </c>
      <c r="BA25" s="55" t="s">
        <v>178</v>
      </c>
      <c r="BB25" s="3">
        <f>D70*9500</f>
        <v>85500</v>
      </c>
      <c r="BC25" s="3">
        <v>81428</v>
      </c>
      <c r="BD25" s="70">
        <f t="shared" si="14"/>
        <v>6.085235120702575E-2</v>
      </c>
      <c r="BE25" s="55" t="s">
        <v>178</v>
      </c>
      <c r="BF25" s="3">
        <f>D70*2350</f>
        <v>21150</v>
      </c>
      <c r="BG25" s="3">
        <v>1238</v>
      </c>
      <c r="BH25" s="111">
        <f t="shared" si="18"/>
        <v>5.8534278959810872E-2</v>
      </c>
    </row>
    <row r="26" spans="1:60" s="3" customFormat="1" ht="15" customHeight="1" x14ac:dyDescent="0.3">
      <c r="A26" s="55" t="s">
        <v>111</v>
      </c>
      <c r="B26" s="45" t="s">
        <v>195</v>
      </c>
      <c r="C26" s="45" t="s">
        <v>72</v>
      </c>
      <c r="D26" s="47"/>
      <c r="E26" s="47"/>
      <c r="F26" s="70" t="str">
        <f t="shared" si="4"/>
        <v/>
      </c>
      <c r="G26" s="45" t="s">
        <v>72</v>
      </c>
      <c r="H26" s="47"/>
      <c r="I26" s="47"/>
      <c r="J26" s="70" t="str">
        <f t="shared" si="5"/>
        <v/>
      </c>
      <c r="K26" s="55" t="s">
        <v>72</v>
      </c>
      <c r="L26" s="47"/>
      <c r="M26" s="47"/>
      <c r="N26" s="70" t="str">
        <f t="shared" si="6"/>
        <v/>
      </c>
      <c r="O26" s="55" t="s">
        <v>72</v>
      </c>
      <c r="P26" s="47"/>
      <c r="Q26" s="47"/>
      <c r="R26" s="70" t="str">
        <f t="shared" si="7"/>
        <v/>
      </c>
      <c r="S26" s="55" t="s">
        <v>72</v>
      </c>
      <c r="T26" s="47"/>
      <c r="U26" s="47"/>
      <c r="V26" s="70" t="str">
        <f t="shared" si="8"/>
        <v/>
      </c>
      <c r="W26" s="45" t="s">
        <v>72</v>
      </c>
      <c r="X26" s="47">
        <v>10</v>
      </c>
      <c r="Y26" s="47">
        <v>110</v>
      </c>
      <c r="Z26" s="70">
        <f t="shared" si="9"/>
        <v>11</v>
      </c>
      <c r="AA26" s="47"/>
      <c r="AB26" s="47"/>
      <c r="AC26" s="70" t="str">
        <f t="shared" si="10"/>
        <v/>
      </c>
      <c r="AD26" s="86"/>
      <c r="AE26" s="18"/>
      <c r="AF26" s="18"/>
      <c r="AG26" s="105" t="str">
        <f t="shared" si="15"/>
        <v/>
      </c>
      <c r="AH26" s="86"/>
      <c r="AI26" s="18"/>
      <c r="AJ26" s="18"/>
      <c r="AK26" s="105" t="str">
        <f t="shared" si="16"/>
        <v/>
      </c>
      <c r="AL26" s="18"/>
      <c r="AM26" s="18"/>
      <c r="AN26" s="105" t="str">
        <f t="shared" si="17"/>
        <v/>
      </c>
      <c r="AO26" s="55" t="s">
        <v>72</v>
      </c>
      <c r="AR26" s="70" t="str">
        <f t="shared" si="11"/>
        <v/>
      </c>
      <c r="AS26" s="55" t="s">
        <v>72</v>
      </c>
      <c r="AV26" s="70" t="str">
        <f t="shared" si="12"/>
        <v/>
      </c>
      <c r="AW26" s="55" t="s">
        <v>72</v>
      </c>
      <c r="AZ26" s="70" t="str">
        <f t="shared" si="13"/>
        <v/>
      </c>
      <c r="BA26" s="55" t="s">
        <v>72</v>
      </c>
      <c r="BD26" s="70" t="str">
        <f t="shared" si="14"/>
        <v/>
      </c>
      <c r="BH26" s="111" t="str">
        <f t="shared" si="18"/>
        <v/>
      </c>
    </row>
    <row r="27" spans="1:60" s="3" customFormat="1" ht="15" customHeight="1" x14ac:dyDescent="0.3">
      <c r="A27" s="55" t="s">
        <v>10</v>
      </c>
      <c r="B27" s="45" t="s">
        <v>199</v>
      </c>
      <c r="C27" s="45" t="s">
        <v>70</v>
      </c>
      <c r="D27" s="47"/>
      <c r="E27" s="47"/>
      <c r="F27" s="70" t="str">
        <f t="shared" si="4"/>
        <v/>
      </c>
      <c r="G27" s="45" t="s">
        <v>70</v>
      </c>
      <c r="H27" s="47"/>
      <c r="I27" s="47"/>
      <c r="J27" s="70" t="str">
        <f t="shared" si="5"/>
        <v/>
      </c>
      <c r="K27" s="55" t="s">
        <v>70</v>
      </c>
      <c r="L27" s="47"/>
      <c r="M27" s="47"/>
      <c r="N27" s="70" t="str">
        <f t="shared" si="6"/>
        <v/>
      </c>
      <c r="O27" s="55" t="s">
        <v>70</v>
      </c>
      <c r="P27" s="47"/>
      <c r="Q27" s="47"/>
      <c r="R27" s="70" t="str">
        <f t="shared" si="7"/>
        <v/>
      </c>
      <c r="S27" s="55" t="s">
        <v>70</v>
      </c>
      <c r="T27" s="47"/>
      <c r="U27" s="47"/>
      <c r="V27" s="70" t="str">
        <f t="shared" si="8"/>
        <v/>
      </c>
      <c r="W27" s="45" t="s">
        <v>70</v>
      </c>
      <c r="X27" s="47">
        <v>120</v>
      </c>
      <c r="Y27" s="47">
        <v>132</v>
      </c>
      <c r="Z27" s="70">
        <f t="shared" si="9"/>
        <v>1.1000000000000001</v>
      </c>
      <c r="AA27" s="47"/>
      <c r="AB27" s="47"/>
      <c r="AC27" s="70" t="str">
        <f t="shared" si="10"/>
        <v/>
      </c>
      <c r="AD27" s="86"/>
      <c r="AE27" s="18"/>
      <c r="AF27" s="18"/>
      <c r="AG27" s="105" t="str">
        <f t="shared" si="15"/>
        <v/>
      </c>
      <c r="AH27" s="86"/>
      <c r="AI27" s="18"/>
      <c r="AJ27" s="18"/>
      <c r="AK27" s="105" t="str">
        <f t="shared" si="16"/>
        <v/>
      </c>
      <c r="AL27" s="18"/>
      <c r="AM27" s="18"/>
      <c r="AN27" s="105" t="str">
        <f t="shared" si="17"/>
        <v/>
      </c>
      <c r="AO27" s="55" t="s">
        <v>70</v>
      </c>
      <c r="AR27" s="70" t="str">
        <f t="shared" si="11"/>
        <v/>
      </c>
      <c r="AS27" s="55" t="s">
        <v>70</v>
      </c>
      <c r="AV27" s="70" t="str">
        <f t="shared" si="12"/>
        <v/>
      </c>
      <c r="AW27" s="55" t="s">
        <v>70</v>
      </c>
      <c r="AZ27" s="70" t="str">
        <f t="shared" si="13"/>
        <v/>
      </c>
      <c r="BA27" s="55" t="s">
        <v>70</v>
      </c>
      <c r="BD27" s="70" t="str">
        <f t="shared" si="14"/>
        <v/>
      </c>
      <c r="BH27" s="111" t="str">
        <f t="shared" si="18"/>
        <v/>
      </c>
    </row>
    <row r="28" spans="1:60" s="3" customFormat="1" ht="15" customHeight="1" x14ac:dyDescent="0.3">
      <c r="A28" s="55" t="s">
        <v>125</v>
      </c>
      <c r="B28" s="45" t="s">
        <v>200</v>
      </c>
      <c r="C28" s="45" t="s">
        <v>13</v>
      </c>
      <c r="D28" s="47"/>
      <c r="E28" s="47"/>
      <c r="F28" s="70" t="str">
        <f t="shared" si="4"/>
        <v/>
      </c>
      <c r="G28" s="45" t="s">
        <v>13</v>
      </c>
      <c r="H28" s="47"/>
      <c r="I28" s="47"/>
      <c r="J28" s="70" t="str">
        <f t="shared" si="5"/>
        <v/>
      </c>
      <c r="K28" s="55" t="s">
        <v>13</v>
      </c>
      <c r="L28" s="47"/>
      <c r="M28" s="47"/>
      <c r="N28" s="70" t="str">
        <f t="shared" si="6"/>
        <v/>
      </c>
      <c r="O28" s="55" t="s">
        <v>13</v>
      </c>
      <c r="P28" s="47"/>
      <c r="Q28" s="47"/>
      <c r="R28" s="70" t="str">
        <f t="shared" si="7"/>
        <v/>
      </c>
      <c r="S28" s="55" t="s">
        <v>13</v>
      </c>
      <c r="T28" s="47"/>
      <c r="U28" s="47"/>
      <c r="V28" s="70" t="str">
        <f t="shared" si="8"/>
        <v/>
      </c>
      <c r="W28" s="45" t="s">
        <v>13</v>
      </c>
      <c r="X28" s="47"/>
      <c r="Y28" s="47"/>
      <c r="Z28" s="70" t="str">
        <f t="shared" si="9"/>
        <v/>
      </c>
      <c r="AA28" s="47">
        <v>2000</v>
      </c>
      <c r="AB28" s="47">
        <v>3954</v>
      </c>
      <c r="AC28" s="70">
        <f t="shared" si="10"/>
        <v>1.9770000000000001</v>
      </c>
      <c r="AD28" s="86"/>
      <c r="AE28" s="18"/>
      <c r="AF28" s="18"/>
      <c r="AG28" s="105" t="str">
        <f t="shared" si="15"/>
        <v/>
      </c>
      <c r="AH28" s="86"/>
      <c r="AI28" s="18"/>
      <c r="AJ28" s="18"/>
      <c r="AK28" s="105" t="str">
        <f t="shared" si="16"/>
        <v/>
      </c>
      <c r="AL28" s="18"/>
      <c r="AM28" s="18"/>
      <c r="AN28" s="105" t="str">
        <f t="shared" si="17"/>
        <v/>
      </c>
      <c r="AO28" s="55" t="s">
        <v>13</v>
      </c>
      <c r="AR28" s="70" t="str">
        <f t="shared" si="11"/>
        <v/>
      </c>
      <c r="AS28" s="55" t="s">
        <v>13</v>
      </c>
      <c r="AV28" s="70" t="str">
        <f t="shared" si="12"/>
        <v/>
      </c>
      <c r="AW28" s="55" t="s">
        <v>13</v>
      </c>
      <c r="AZ28" s="70" t="str">
        <f t="shared" si="13"/>
        <v/>
      </c>
      <c r="BA28" s="55" t="s">
        <v>13</v>
      </c>
      <c r="BD28" s="70" t="str">
        <f t="shared" si="14"/>
        <v/>
      </c>
      <c r="BH28" s="111" t="str">
        <f t="shared" si="18"/>
        <v/>
      </c>
    </row>
    <row r="29" spans="1:60" s="3" customFormat="1" ht="15" customHeight="1" x14ac:dyDescent="0.3">
      <c r="A29" s="55" t="s">
        <v>259</v>
      </c>
      <c r="B29" s="45" t="s">
        <v>200</v>
      </c>
      <c r="C29" s="45" t="s">
        <v>13</v>
      </c>
      <c r="D29" s="47">
        <v>1000</v>
      </c>
      <c r="E29" s="47">
        <v>100000</v>
      </c>
      <c r="F29" s="70">
        <f t="shared" si="4"/>
        <v>7.0229320229320233</v>
      </c>
      <c r="G29" s="45" t="s">
        <v>13</v>
      </c>
      <c r="H29" s="47">
        <v>1000</v>
      </c>
      <c r="I29" s="47">
        <v>100000</v>
      </c>
      <c r="J29" s="70">
        <f t="shared" si="5"/>
        <v>6.9922194922194931</v>
      </c>
      <c r="K29" s="55" t="s">
        <v>13</v>
      </c>
      <c r="L29" s="47">
        <v>950</v>
      </c>
      <c r="M29" s="47">
        <v>95000</v>
      </c>
      <c r="N29" s="70">
        <f t="shared" si="6"/>
        <v>7.8214578214578214</v>
      </c>
      <c r="O29" s="55" t="s">
        <v>13</v>
      </c>
      <c r="P29" s="47">
        <v>1200</v>
      </c>
      <c r="Q29" s="47">
        <v>62400</v>
      </c>
      <c r="R29" s="70">
        <f t="shared" si="7"/>
        <v>3.8382473382473381</v>
      </c>
      <c r="S29" s="55" t="s">
        <v>13</v>
      </c>
      <c r="T29" s="47">
        <v>1500</v>
      </c>
      <c r="U29" s="47">
        <v>84000</v>
      </c>
      <c r="V29" s="70">
        <f t="shared" si="8"/>
        <v>3.6461916461916464</v>
      </c>
      <c r="W29" s="45" t="s">
        <v>13</v>
      </c>
      <c r="X29" s="47">
        <v>1500</v>
      </c>
      <c r="Y29" s="47">
        <v>5272</v>
      </c>
      <c r="Z29" s="70">
        <f t="shared" si="9"/>
        <v>3.5146666666666668</v>
      </c>
      <c r="AA29" s="47">
        <v>1500</v>
      </c>
      <c r="AB29" s="47">
        <v>5272</v>
      </c>
      <c r="AC29" s="70">
        <f t="shared" si="10"/>
        <v>3.5146666666666668</v>
      </c>
      <c r="AD29" s="86" t="s">
        <v>13</v>
      </c>
      <c r="AE29" s="18">
        <v>1000</v>
      </c>
      <c r="AF29" s="18">
        <v>3778</v>
      </c>
      <c r="AG29" s="105">
        <f t="shared" si="15"/>
        <v>3.778</v>
      </c>
      <c r="AH29" s="86"/>
      <c r="AI29" s="18">
        <v>900</v>
      </c>
      <c r="AJ29" s="18">
        <v>2500</v>
      </c>
      <c r="AK29" s="105">
        <f t="shared" si="16"/>
        <v>2.7777777777777777</v>
      </c>
      <c r="AL29" s="18">
        <v>600</v>
      </c>
      <c r="AM29" s="18">
        <v>2118</v>
      </c>
      <c r="AN29" s="105">
        <f t="shared" si="17"/>
        <v>3.53</v>
      </c>
      <c r="AO29" s="55" t="s">
        <v>13</v>
      </c>
      <c r="AP29" s="3">
        <v>420</v>
      </c>
      <c r="AQ29" s="3">
        <v>24000</v>
      </c>
      <c r="AR29" s="70">
        <f t="shared" si="11"/>
        <v>3.4668597168597164</v>
      </c>
      <c r="AS29" s="55" t="s">
        <v>13</v>
      </c>
      <c r="AT29" s="19">
        <v>350</v>
      </c>
      <c r="AU29" s="19">
        <v>20000</v>
      </c>
      <c r="AV29" s="70">
        <f t="shared" si="12"/>
        <v>3.5496977905447791</v>
      </c>
      <c r="AW29" s="55" t="s">
        <v>13</v>
      </c>
      <c r="AX29" s="19">
        <v>400</v>
      </c>
      <c r="AY29" s="19">
        <v>25155</v>
      </c>
      <c r="AZ29" s="70">
        <f t="shared" si="13"/>
        <v>3.8497347973935416</v>
      </c>
      <c r="BA29" s="55" t="s">
        <v>13</v>
      </c>
      <c r="BB29" s="3">
        <v>350</v>
      </c>
      <c r="BC29" s="3">
        <v>25000</v>
      </c>
      <c r="BD29" s="70">
        <f t="shared" si="14"/>
        <v>4.563958368304954</v>
      </c>
      <c r="BE29" s="3" t="s">
        <v>13</v>
      </c>
      <c r="BF29" s="3">
        <v>675</v>
      </c>
      <c r="BG29" s="3">
        <v>2836</v>
      </c>
      <c r="BH29" s="111">
        <f t="shared" si="18"/>
        <v>4.2014814814814816</v>
      </c>
    </row>
    <row r="30" spans="1:60" s="3" customFormat="1" ht="15" customHeight="1" x14ac:dyDescent="0.3">
      <c r="A30" s="55" t="s">
        <v>113</v>
      </c>
      <c r="B30" s="45" t="s">
        <v>200</v>
      </c>
      <c r="C30" s="45" t="s">
        <v>13</v>
      </c>
      <c r="D30" s="47"/>
      <c r="E30" s="47"/>
      <c r="F30" s="70" t="str">
        <f t="shared" si="4"/>
        <v/>
      </c>
      <c r="G30" s="45" t="s">
        <v>13</v>
      </c>
      <c r="H30" s="47"/>
      <c r="I30" s="47"/>
      <c r="J30" s="70" t="str">
        <f t="shared" si="5"/>
        <v/>
      </c>
      <c r="K30" s="55" t="s">
        <v>13</v>
      </c>
      <c r="L30" s="47"/>
      <c r="M30" s="47"/>
      <c r="N30" s="70" t="str">
        <f t="shared" si="6"/>
        <v/>
      </c>
      <c r="O30" s="55" t="s">
        <v>13</v>
      </c>
      <c r="P30" s="47"/>
      <c r="Q30" s="47"/>
      <c r="R30" s="70" t="str">
        <f t="shared" si="7"/>
        <v/>
      </c>
      <c r="S30" s="55" t="s">
        <v>13</v>
      </c>
      <c r="T30" s="47"/>
      <c r="U30" s="47"/>
      <c r="V30" s="70" t="str">
        <f t="shared" si="8"/>
        <v/>
      </c>
      <c r="W30" s="45" t="s">
        <v>13</v>
      </c>
      <c r="X30" s="47">
        <v>10</v>
      </c>
      <c r="Y30" s="47">
        <v>110</v>
      </c>
      <c r="Z30" s="70">
        <f t="shared" si="9"/>
        <v>11</v>
      </c>
      <c r="AA30" s="47">
        <v>2000</v>
      </c>
      <c r="AB30" s="47">
        <v>132</v>
      </c>
      <c r="AC30" s="70">
        <f t="shared" si="10"/>
        <v>6.6000000000000003E-2</v>
      </c>
      <c r="AD30" s="87"/>
      <c r="AE30" s="18"/>
      <c r="AF30" s="18"/>
      <c r="AG30" s="105" t="str">
        <f t="shared" si="15"/>
        <v/>
      </c>
      <c r="AH30" s="86"/>
      <c r="AI30" s="18"/>
      <c r="AJ30" s="18"/>
      <c r="AK30" s="105" t="str">
        <f t="shared" si="16"/>
        <v/>
      </c>
      <c r="AL30" s="18"/>
      <c r="AM30" s="18"/>
      <c r="AN30" s="105" t="str">
        <f t="shared" si="17"/>
        <v/>
      </c>
      <c r="AO30" s="55" t="s">
        <v>13</v>
      </c>
      <c r="AR30" s="70" t="str">
        <f t="shared" si="11"/>
        <v/>
      </c>
      <c r="AS30" s="55" t="s">
        <v>13</v>
      </c>
      <c r="AV30" s="70" t="str">
        <f t="shared" si="12"/>
        <v/>
      </c>
      <c r="AW30" s="55" t="s">
        <v>13</v>
      </c>
      <c r="AZ30" s="70" t="str">
        <f t="shared" si="13"/>
        <v/>
      </c>
      <c r="BA30" s="55" t="s">
        <v>13</v>
      </c>
      <c r="BD30" s="70" t="str">
        <f t="shared" si="14"/>
        <v/>
      </c>
      <c r="BH30" s="111" t="str">
        <f t="shared" si="18"/>
        <v/>
      </c>
    </row>
    <row r="31" spans="1:60" s="3" customFormat="1" ht="15" customHeight="1" x14ac:dyDescent="0.3">
      <c r="A31" s="55" t="s">
        <v>107</v>
      </c>
      <c r="B31" s="45" t="s">
        <v>200</v>
      </c>
      <c r="C31" s="45" t="s">
        <v>13</v>
      </c>
      <c r="D31" s="47"/>
      <c r="E31" s="47"/>
      <c r="F31" s="70" t="str">
        <f t="shared" si="4"/>
        <v/>
      </c>
      <c r="G31" s="45" t="s">
        <v>13</v>
      </c>
      <c r="H31" s="47"/>
      <c r="I31" s="47"/>
      <c r="J31" s="70" t="str">
        <f t="shared" si="5"/>
        <v/>
      </c>
      <c r="K31" s="55" t="s">
        <v>13</v>
      </c>
      <c r="L31" s="47"/>
      <c r="M31" s="47"/>
      <c r="N31" s="70" t="str">
        <f t="shared" si="6"/>
        <v/>
      </c>
      <c r="O31" s="55" t="s">
        <v>13</v>
      </c>
      <c r="P31" s="47"/>
      <c r="Q31" s="47"/>
      <c r="R31" s="70" t="str">
        <f t="shared" si="7"/>
        <v/>
      </c>
      <c r="S31" s="55" t="s">
        <v>13</v>
      </c>
      <c r="T31" s="47"/>
      <c r="U31" s="47"/>
      <c r="V31" s="70" t="str">
        <f t="shared" si="8"/>
        <v/>
      </c>
      <c r="W31" s="45" t="s">
        <v>13</v>
      </c>
      <c r="X31" s="47">
        <v>200</v>
      </c>
      <c r="Y31" s="47">
        <v>153</v>
      </c>
      <c r="Z31" s="70">
        <f t="shared" si="9"/>
        <v>0.76500000000000001</v>
      </c>
      <c r="AA31" s="47">
        <v>150</v>
      </c>
      <c r="AB31" s="47">
        <v>230</v>
      </c>
      <c r="AC31" s="70">
        <f t="shared" si="10"/>
        <v>1.5333333333333334</v>
      </c>
      <c r="AD31" s="86"/>
      <c r="AE31" s="18"/>
      <c r="AF31" s="18"/>
      <c r="AG31" s="105" t="str">
        <f t="shared" si="15"/>
        <v/>
      </c>
      <c r="AH31" s="86"/>
      <c r="AI31" s="18"/>
      <c r="AJ31" s="18"/>
      <c r="AK31" s="105" t="str">
        <f t="shared" si="16"/>
        <v/>
      </c>
      <c r="AL31" s="18"/>
      <c r="AM31" s="18"/>
      <c r="AN31" s="105" t="str">
        <f t="shared" si="17"/>
        <v/>
      </c>
      <c r="AO31" s="55" t="s">
        <v>13</v>
      </c>
      <c r="AR31" s="70" t="str">
        <f t="shared" si="11"/>
        <v/>
      </c>
      <c r="AS31" s="55" t="s">
        <v>13</v>
      </c>
      <c r="AV31" s="70" t="str">
        <f t="shared" si="12"/>
        <v/>
      </c>
      <c r="AW31" s="55" t="s">
        <v>13</v>
      </c>
      <c r="AZ31" s="70" t="str">
        <f t="shared" si="13"/>
        <v/>
      </c>
      <c r="BA31" s="55" t="s">
        <v>13</v>
      </c>
      <c r="BD31" s="70" t="str">
        <f t="shared" si="14"/>
        <v/>
      </c>
      <c r="BH31" s="111" t="str">
        <f t="shared" si="18"/>
        <v/>
      </c>
    </row>
    <row r="32" spans="1:60" s="3" customFormat="1" ht="15" customHeight="1" x14ac:dyDescent="0.3">
      <c r="A32" s="55" t="s">
        <v>126</v>
      </c>
      <c r="B32" s="45" t="s">
        <v>198</v>
      </c>
      <c r="C32" s="45" t="s">
        <v>104</v>
      </c>
      <c r="D32" s="47">
        <v>550</v>
      </c>
      <c r="E32" s="47">
        <v>35300</v>
      </c>
      <c r="F32" s="70">
        <f t="shared" si="4"/>
        <v>4.5074454619909172</v>
      </c>
      <c r="G32" s="45" t="s">
        <v>104</v>
      </c>
      <c r="H32" s="47">
        <v>550</v>
      </c>
      <c r="I32" s="47">
        <v>35300</v>
      </c>
      <c r="J32" s="70">
        <f t="shared" si="5"/>
        <v>4.4877336013699649</v>
      </c>
      <c r="K32" s="55" t="s">
        <v>104</v>
      </c>
      <c r="L32" s="47">
        <v>250</v>
      </c>
      <c r="M32" s="47">
        <v>36080</v>
      </c>
      <c r="N32" s="70">
        <f t="shared" si="6"/>
        <v>11.287927927927926</v>
      </c>
      <c r="O32" s="55" t="s">
        <v>104</v>
      </c>
      <c r="P32" s="47">
        <v>3650</v>
      </c>
      <c r="Q32" s="47">
        <v>135000</v>
      </c>
      <c r="R32" s="70">
        <f t="shared" si="7"/>
        <v>2.7300494766248193</v>
      </c>
      <c r="S32" s="50" t="s">
        <v>104</v>
      </c>
      <c r="T32" s="47">
        <v>1500</v>
      </c>
      <c r="U32" s="47">
        <v>75000</v>
      </c>
      <c r="V32" s="70">
        <f t="shared" si="8"/>
        <v>3.2555282555282554</v>
      </c>
      <c r="W32" s="50" t="s">
        <v>91</v>
      </c>
      <c r="X32" s="47"/>
      <c r="Y32" s="47"/>
      <c r="Z32" s="70" t="str">
        <f t="shared" si="9"/>
        <v/>
      </c>
      <c r="AA32" s="47">
        <f>200</f>
        <v>200</v>
      </c>
      <c r="AB32" s="47">
        <v>28571</v>
      </c>
      <c r="AC32" s="70">
        <f t="shared" si="10"/>
        <v>142.85499999999999</v>
      </c>
      <c r="AD32" s="87"/>
      <c r="AE32" s="18"/>
      <c r="AF32" s="18"/>
      <c r="AG32" s="105" t="str">
        <f t="shared" si="15"/>
        <v/>
      </c>
      <c r="AH32" s="86" t="s">
        <v>136</v>
      </c>
      <c r="AI32" s="18">
        <f>F91*130</f>
        <v>280.89285714285711</v>
      </c>
      <c r="AJ32" s="18">
        <v>2408</v>
      </c>
      <c r="AK32" s="105">
        <f t="shared" si="16"/>
        <v>8.5726636999364274</v>
      </c>
      <c r="AL32" s="18">
        <f>F92*30</f>
        <v>78.75</v>
      </c>
      <c r="AM32" s="18">
        <v>882</v>
      </c>
      <c r="AN32" s="105">
        <f t="shared" si="17"/>
        <v>11.2</v>
      </c>
      <c r="AO32" s="55" t="s">
        <v>136</v>
      </c>
      <c r="AP32" s="3">
        <v>35</v>
      </c>
      <c r="AQ32" s="3">
        <v>10000</v>
      </c>
      <c r="AR32" s="70">
        <f t="shared" si="11"/>
        <v>17.334298584298583</v>
      </c>
      <c r="AS32" s="55" t="s">
        <v>136</v>
      </c>
      <c r="AT32" s="19">
        <v>100</v>
      </c>
      <c r="AU32" s="19">
        <v>30000</v>
      </c>
      <c r="AV32" s="70">
        <f t="shared" si="12"/>
        <v>18.635913400360089</v>
      </c>
      <c r="AW32" s="55" t="s">
        <v>136</v>
      </c>
      <c r="AZ32" s="70" t="str">
        <f t="shared" si="13"/>
        <v/>
      </c>
      <c r="BA32" s="55" t="s">
        <v>136</v>
      </c>
      <c r="BD32" s="70" t="str">
        <f t="shared" si="14"/>
        <v/>
      </c>
      <c r="BH32" s="111" t="str">
        <f t="shared" si="18"/>
        <v/>
      </c>
    </row>
    <row r="33" spans="1:60" s="3" customFormat="1" x14ac:dyDescent="0.3">
      <c r="A33" s="55" t="s">
        <v>129</v>
      </c>
      <c r="B33" s="45" t="s">
        <v>196</v>
      </c>
      <c r="C33" s="45" t="s">
        <v>91</v>
      </c>
      <c r="D33" s="47"/>
      <c r="E33" s="47"/>
      <c r="F33" s="70" t="str">
        <f t="shared" si="4"/>
        <v/>
      </c>
      <c r="G33" s="45" t="s">
        <v>91</v>
      </c>
      <c r="H33" s="47"/>
      <c r="I33" s="47"/>
      <c r="J33" s="70" t="str">
        <f t="shared" si="5"/>
        <v/>
      </c>
      <c r="K33" s="55" t="s">
        <v>91</v>
      </c>
      <c r="L33" s="47"/>
      <c r="M33" s="47"/>
      <c r="N33" s="70" t="str">
        <f t="shared" si="6"/>
        <v/>
      </c>
      <c r="O33" s="55" t="s">
        <v>91</v>
      </c>
      <c r="P33" s="47"/>
      <c r="Q33" s="47"/>
      <c r="R33" s="70" t="str">
        <f t="shared" si="7"/>
        <v/>
      </c>
      <c r="S33" s="55" t="s">
        <v>91</v>
      </c>
      <c r="T33" s="47"/>
      <c r="U33" s="47"/>
      <c r="V33" s="70" t="str">
        <f t="shared" si="8"/>
        <v/>
      </c>
      <c r="W33" s="45" t="s">
        <v>91</v>
      </c>
      <c r="X33" s="47"/>
      <c r="Y33" s="47"/>
      <c r="Z33" s="70" t="str">
        <f t="shared" si="9"/>
        <v/>
      </c>
      <c r="AA33" s="47">
        <v>80</v>
      </c>
      <c r="AB33" s="47">
        <v>10990</v>
      </c>
      <c r="AC33" s="70">
        <f t="shared" si="10"/>
        <v>137.375</v>
      </c>
      <c r="AD33" s="86"/>
      <c r="AE33" s="18"/>
      <c r="AF33" s="18"/>
      <c r="AG33" s="105" t="str">
        <f t="shared" si="15"/>
        <v/>
      </c>
      <c r="AH33" s="86"/>
      <c r="AI33" s="18"/>
      <c r="AJ33" s="18"/>
      <c r="AK33" s="105" t="str">
        <f t="shared" si="16"/>
        <v/>
      </c>
      <c r="AL33" s="18"/>
      <c r="AM33" s="18"/>
      <c r="AN33" s="105" t="str">
        <f t="shared" si="17"/>
        <v/>
      </c>
      <c r="AO33" s="55" t="s">
        <v>91</v>
      </c>
      <c r="AR33" s="70" t="str">
        <f t="shared" si="11"/>
        <v/>
      </c>
      <c r="AS33" s="55" t="s">
        <v>91</v>
      </c>
      <c r="AV33" s="70" t="str">
        <f t="shared" si="12"/>
        <v/>
      </c>
      <c r="AW33" s="55" t="s">
        <v>91</v>
      </c>
      <c r="AZ33" s="70" t="str">
        <f t="shared" si="13"/>
        <v/>
      </c>
      <c r="BA33" s="55" t="s">
        <v>91</v>
      </c>
      <c r="BD33" s="70" t="str">
        <f t="shared" si="14"/>
        <v/>
      </c>
      <c r="BH33" s="111" t="str">
        <f t="shared" si="18"/>
        <v/>
      </c>
    </row>
    <row r="34" spans="1:60" s="3" customFormat="1" x14ac:dyDescent="0.3">
      <c r="A34" s="55" t="s">
        <v>115</v>
      </c>
      <c r="B34" s="45" t="s">
        <v>26</v>
      </c>
      <c r="C34" s="45" t="s">
        <v>136</v>
      </c>
      <c r="D34" s="47">
        <v>6420</v>
      </c>
      <c r="E34" s="47">
        <v>132670</v>
      </c>
      <c r="F34" s="70">
        <f t="shared" si="4"/>
        <v>1.45129655994142</v>
      </c>
      <c r="G34" s="45" t="s">
        <v>136</v>
      </c>
      <c r="H34" s="47">
        <v>7700</v>
      </c>
      <c r="I34" s="47">
        <v>158770</v>
      </c>
      <c r="J34" s="70">
        <f t="shared" si="5"/>
        <v>1.441759336077518</v>
      </c>
      <c r="K34" s="55" t="s">
        <v>136</v>
      </c>
      <c r="L34" s="47">
        <v>4100</v>
      </c>
      <c r="M34" s="47">
        <v>132320</v>
      </c>
      <c r="N34" s="70">
        <f t="shared" si="6"/>
        <v>2.5242324364275581</v>
      </c>
      <c r="O34" s="50" t="s">
        <v>136</v>
      </c>
      <c r="P34" s="47">
        <v>11670</v>
      </c>
      <c r="Q34" s="47">
        <v>470160</v>
      </c>
      <c r="R34" s="70">
        <f t="shared" si="7"/>
        <v>2.973749865780714</v>
      </c>
      <c r="S34" s="55" t="s">
        <v>91</v>
      </c>
      <c r="T34" s="47">
        <v>2700</v>
      </c>
      <c r="U34" s="47">
        <v>75600</v>
      </c>
      <c r="V34" s="70">
        <f t="shared" si="8"/>
        <v>1.8230958230958232</v>
      </c>
      <c r="W34" s="50" t="s">
        <v>91</v>
      </c>
      <c r="X34" s="47">
        <v>3800</v>
      </c>
      <c r="Y34" s="47">
        <v>8571</v>
      </c>
      <c r="Z34" s="70">
        <f t="shared" si="9"/>
        <v>2.2555263157894738</v>
      </c>
      <c r="AA34" s="47">
        <v>2400</v>
      </c>
      <c r="AB34" s="47">
        <v>2892</v>
      </c>
      <c r="AC34" s="70">
        <f t="shared" si="10"/>
        <v>1.2050000000000001</v>
      </c>
      <c r="AD34" s="86"/>
      <c r="AE34" s="18"/>
      <c r="AF34" s="18"/>
      <c r="AG34" s="105" t="str">
        <f t="shared" si="15"/>
        <v/>
      </c>
      <c r="AH34" s="86" t="s">
        <v>136</v>
      </c>
      <c r="AI34" s="18">
        <v>6000</v>
      </c>
      <c r="AJ34" s="18">
        <v>7778</v>
      </c>
      <c r="AK34" s="105">
        <f t="shared" si="16"/>
        <v>1.2963333333333333</v>
      </c>
      <c r="AL34" s="18">
        <v>5100</v>
      </c>
      <c r="AM34" s="18">
        <v>10000</v>
      </c>
      <c r="AN34" s="105">
        <f t="shared" si="17"/>
        <v>1.9607843137254901</v>
      </c>
      <c r="AO34" s="55" t="s">
        <v>136</v>
      </c>
      <c r="AP34" s="3">
        <v>6500</v>
      </c>
      <c r="AQ34" s="3">
        <v>222857</v>
      </c>
      <c r="AR34" s="70">
        <f t="shared" si="11"/>
        <v>2.0801144967082466</v>
      </c>
      <c r="AS34" s="50" t="s">
        <v>136</v>
      </c>
      <c r="AT34" s="19">
        <v>7600</v>
      </c>
      <c r="AU34" s="19">
        <v>185710</v>
      </c>
      <c r="AV34" s="70">
        <f t="shared" si="12"/>
        <v>1.5179278410442423</v>
      </c>
      <c r="AW34" s="55" t="s">
        <v>91</v>
      </c>
      <c r="AX34" s="19">
        <v>6400</v>
      </c>
      <c r="AY34" s="19">
        <v>274275</v>
      </c>
      <c r="AZ34" s="70">
        <f t="shared" si="13"/>
        <v>2.623449641112884</v>
      </c>
      <c r="BA34" s="55" t="s">
        <v>91</v>
      </c>
      <c r="BB34" s="3">
        <v>5500</v>
      </c>
      <c r="BC34" s="3">
        <v>251428</v>
      </c>
      <c r="BD34" s="70">
        <f t="shared" si="14"/>
        <v>2.9209267172302713</v>
      </c>
      <c r="BE34" s="3" t="s">
        <v>91</v>
      </c>
      <c r="BF34" s="3">
        <v>2250</v>
      </c>
      <c r="BG34" s="3">
        <v>15000</v>
      </c>
      <c r="BH34" s="111">
        <f t="shared" si="18"/>
        <v>6.666666666666667</v>
      </c>
    </row>
    <row r="35" spans="1:60" s="3" customFormat="1" x14ac:dyDescent="0.3">
      <c r="A35" s="55" t="s">
        <v>127</v>
      </c>
      <c r="B35" s="45" t="s">
        <v>199</v>
      </c>
      <c r="C35" s="45" t="s">
        <v>70</v>
      </c>
      <c r="D35" s="47"/>
      <c r="E35" s="47"/>
      <c r="F35" s="70" t="str">
        <f t="shared" si="4"/>
        <v/>
      </c>
      <c r="G35" s="45" t="s">
        <v>70</v>
      </c>
      <c r="H35" s="47"/>
      <c r="I35" s="47"/>
      <c r="J35" s="70" t="str">
        <f t="shared" si="5"/>
        <v/>
      </c>
      <c r="K35" s="55" t="s">
        <v>70</v>
      </c>
      <c r="L35" s="47"/>
      <c r="M35" s="47"/>
      <c r="N35" s="70" t="str">
        <f t="shared" si="6"/>
        <v/>
      </c>
      <c r="O35" s="55" t="s">
        <v>70</v>
      </c>
      <c r="P35" s="47"/>
      <c r="Q35" s="47"/>
      <c r="R35" s="70" t="str">
        <f t="shared" si="7"/>
        <v/>
      </c>
      <c r="S35" s="55" t="s">
        <v>70</v>
      </c>
      <c r="T35" s="47"/>
      <c r="U35" s="47"/>
      <c r="V35" s="70" t="str">
        <f t="shared" si="8"/>
        <v/>
      </c>
      <c r="W35" s="45" t="s">
        <v>70</v>
      </c>
      <c r="X35" s="47"/>
      <c r="Y35" s="47"/>
      <c r="Z35" s="70" t="str">
        <f t="shared" si="9"/>
        <v/>
      </c>
      <c r="AA35" s="47">
        <v>50</v>
      </c>
      <c r="AB35" s="47">
        <v>110</v>
      </c>
      <c r="AC35" s="70">
        <f t="shared" si="10"/>
        <v>2.2000000000000002</v>
      </c>
      <c r="AD35" s="86"/>
      <c r="AE35" s="18"/>
      <c r="AF35" s="18"/>
      <c r="AG35" s="105" t="str">
        <f t="shared" si="15"/>
        <v/>
      </c>
      <c r="AH35" s="86"/>
      <c r="AI35" s="18"/>
      <c r="AJ35" s="18"/>
      <c r="AK35" s="105" t="str">
        <f t="shared" si="16"/>
        <v/>
      </c>
      <c r="AL35" s="18"/>
      <c r="AM35" s="18"/>
      <c r="AN35" s="105" t="str">
        <f t="shared" si="17"/>
        <v/>
      </c>
      <c r="AO35" s="55" t="s">
        <v>70</v>
      </c>
      <c r="AR35" s="70" t="str">
        <f t="shared" si="11"/>
        <v/>
      </c>
      <c r="AS35" s="55" t="s">
        <v>70</v>
      </c>
      <c r="AV35" s="70" t="str">
        <f t="shared" si="12"/>
        <v/>
      </c>
      <c r="AW35" s="55" t="s">
        <v>70</v>
      </c>
      <c r="AZ35" s="70" t="str">
        <f t="shared" si="13"/>
        <v/>
      </c>
      <c r="BA35" s="55" t="s">
        <v>70</v>
      </c>
      <c r="BD35" s="70" t="str">
        <f t="shared" si="14"/>
        <v/>
      </c>
      <c r="BH35" s="111" t="str">
        <f t="shared" si="18"/>
        <v/>
      </c>
    </row>
    <row r="36" spans="1:60" s="3" customFormat="1" x14ac:dyDescent="0.3">
      <c r="A36" s="55" t="s">
        <v>116</v>
      </c>
      <c r="B36" s="45" t="s">
        <v>196</v>
      </c>
      <c r="C36" s="45" t="s">
        <v>91</v>
      </c>
      <c r="D36" s="47"/>
      <c r="E36" s="47"/>
      <c r="F36" s="70" t="str">
        <f t="shared" si="4"/>
        <v/>
      </c>
      <c r="G36" s="45" t="s">
        <v>91</v>
      </c>
      <c r="H36" s="47"/>
      <c r="I36" s="47"/>
      <c r="J36" s="70" t="str">
        <f t="shared" si="5"/>
        <v/>
      </c>
      <c r="K36" s="55" t="s">
        <v>91</v>
      </c>
      <c r="L36" s="47"/>
      <c r="M36" s="47"/>
      <c r="N36" s="70" t="str">
        <f t="shared" si="6"/>
        <v/>
      </c>
      <c r="O36" s="55" t="s">
        <v>91</v>
      </c>
      <c r="P36" s="47"/>
      <c r="Q36" s="47"/>
      <c r="R36" s="70" t="str">
        <f t="shared" si="7"/>
        <v/>
      </c>
      <c r="S36" s="55" t="s">
        <v>91</v>
      </c>
      <c r="T36" s="47"/>
      <c r="U36" s="47"/>
      <c r="V36" s="70" t="str">
        <f t="shared" si="8"/>
        <v/>
      </c>
      <c r="W36" s="45" t="s">
        <v>137</v>
      </c>
      <c r="X36" s="47">
        <v>50</v>
      </c>
      <c r="Y36" s="47">
        <v>44</v>
      </c>
      <c r="Z36" s="70">
        <f t="shared" si="9"/>
        <v>0.88</v>
      </c>
      <c r="AA36" s="47">
        <v>50</v>
      </c>
      <c r="AB36" s="47">
        <v>55</v>
      </c>
      <c r="AC36" s="70">
        <f t="shared" si="10"/>
        <v>1.1000000000000001</v>
      </c>
      <c r="AD36" s="86"/>
      <c r="AE36" s="18"/>
      <c r="AF36" s="18"/>
      <c r="AG36" s="105" t="str">
        <f t="shared" si="15"/>
        <v/>
      </c>
      <c r="AH36" s="86"/>
      <c r="AI36" s="18"/>
      <c r="AJ36" s="18"/>
      <c r="AK36" s="105" t="str">
        <f t="shared" si="16"/>
        <v/>
      </c>
      <c r="AL36" s="18"/>
      <c r="AM36" s="18"/>
      <c r="AN36" s="105" t="str">
        <f t="shared" si="17"/>
        <v/>
      </c>
      <c r="AO36" s="55" t="s">
        <v>91</v>
      </c>
      <c r="AR36" s="70" t="str">
        <f t="shared" si="11"/>
        <v/>
      </c>
      <c r="AS36" s="55" t="s">
        <v>91</v>
      </c>
      <c r="AV36" s="70" t="str">
        <f t="shared" si="12"/>
        <v/>
      </c>
      <c r="AW36" s="55" t="s">
        <v>91</v>
      </c>
      <c r="AZ36" s="70" t="str">
        <f t="shared" si="13"/>
        <v/>
      </c>
      <c r="BA36" s="55" t="s">
        <v>91</v>
      </c>
      <c r="BD36" s="70" t="str">
        <f t="shared" si="14"/>
        <v/>
      </c>
      <c r="BH36" s="111" t="str">
        <f t="shared" si="18"/>
        <v/>
      </c>
    </row>
    <row r="37" spans="1:60" s="3" customFormat="1" ht="15" customHeight="1" x14ac:dyDescent="0.3">
      <c r="A37" s="55" t="s">
        <v>114</v>
      </c>
      <c r="B37" s="45" t="s">
        <v>26</v>
      </c>
      <c r="C37" s="45" t="s">
        <v>136</v>
      </c>
      <c r="D37" s="47">
        <v>18000</v>
      </c>
      <c r="E37" s="47">
        <v>322560</v>
      </c>
      <c r="F37" s="70">
        <f t="shared" si="4"/>
        <v>1.2585094185094188</v>
      </c>
      <c r="G37" s="45" t="s">
        <v>136</v>
      </c>
      <c r="H37" s="47">
        <v>15000</v>
      </c>
      <c r="I37" s="47">
        <v>302400</v>
      </c>
      <c r="J37" s="70">
        <f t="shared" si="5"/>
        <v>1.4096314496314497</v>
      </c>
      <c r="K37" s="55" t="s">
        <v>136</v>
      </c>
      <c r="L37" s="47">
        <v>35714</v>
      </c>
      <c r="M37" s="47">
        <v>550000</v>
      </c>
      <c r="N37" s="70">
        <f t="shared" si="6"/>
        <v>1.2045141406176294</v>
      </c>
      <c r="O37" s="55" t="s">
        <v>136</v>
      </c>
      <c r="P37" s="47">
        <v>50000</v>
      </c>
      <c r="Q37" s="47">
        <v>700000</v>
      </c>
      <c r="R37" s="70">
        <f t="shared" si="7"/>
        <v>1.0333742833742834</v>
      </c>
      <c r="S37" s="55" t="s">
        <v>136</v>
      </c>
      <c r="T37" s="47">
        <f>F73*22000</f>
        <v>34375</v>
      </c>
      <c r="U37" s="47">
        <v>550000</v>
      </c>
      <c r="V37" s="70">
        <f t="shared" si="8"/>
        <v>1.0417690417690419</v>
      </c>
      <c r="W37" s="55" t="s">
        <v>136</v>
      </c>
      <c r="X37" s="47">
        <f>F73*42000</f>
        <v>65625</v>
      </c>
      <c r="Y37" s="47">
        <v>78461</v>
      </c>
      <c r="Z37" s="70">
        <f t="shared" si="9"/>
        <v>1.1955961904761905</v>
      </c>
      <c r="AA37" s="47">
        <f>F73*32000</f>
        <v>50000</v>
      </c>
      <c r="AB37" s="47">
        <v>63360</v>
      </c>
      <c r="AC37" s="70">
        <f t="shared" si="10"/>
        <v>1.2672000000000001</v>
      </c>
      <c r="AD37" s="86" t="s">
        <v>136</v>
      </c>
      <c r="AE37" s="18">
        <f>F73*22000</f>
        <v>34375</v>
      </c>
      <c r="AF37" s="18">
        <v>44000</v>
      </c>
      <c r="AG37" s="105">
        <f t="shared" si="15"/>
        <v>1.28</v>
      </c>
      <c r="AH37" s="86" t="s">
        <v>136</v>
      </c>
      <c r="AI37" s="18">
        <v>22000</v>
      </c>
      <c r="AJ37" s="18">
        <v>21185</v>
      </c>
      <c r="AK37" s="105">
        <f t="shared" si="16"/>
        <v>0.96295454545454551</v>
      </c>
      <c r="AL37" s="18">
        <v>18000</v>
      </c>
      <c r="AM37" s="18">
        <v>17647</v>
      </c>
      <c r="AN37" s="105">
        <f t="shared" si="17"/>
        <v>0.98038888888888887</v>
      </c>
      <c r="AO37" s="55" t="s">
        <v>136</v>
      </c>
      <c r="AP37" s="19">
        <f>F73*9000</f>
        <v>14062.5</v>
      </c>
      <c r="AQ37" s="3">
        <v>205714</v>
      </c>
      <c r="AR37" s="70">
        <f t="shared" si="11"/>
        <v>0.88751485485485471</v>
      </c>
      <c r="AS37" s="55" t="s">
        <v>136</v>
      </c>
      <c r="AT37" s="19">
        <f>F73*12000</f>
        <v>18750</v>
      </c>
      <c r="AU37" s="19">
        <v>308570</v>
      </c>
      <c r="AV37" s="70">
        <f t="shared" si="12"/>
        <v>1.022308230746509</v>
      </c>
      <c r="AW37" s="55" t="s">
        <v>136</v>
      </c>
      <c r="AX37" s="19">
        <f>F73*15000</f>
        <v>23437.5</v>
      </c>
      <c r="AY37" s="19">
        <v>342855</v>
      </c>
      <c r="AZ37" s="70">
        <f t="shared" si="13"/>
        <v>0.89550019461698227</v>
      </c>
      <c r="BA37" s="55" t="s">
        <v>136</v>
      </c>
      <c r="BB37" s="3">
        <f>F73*42000</f>
        <v>65625</v>
      </c>
      <c r="BC37" s="3">
        <v>960000</v>
      </c>
      <c r="BD37" s="70">
        <f t="shared" si="14"/>
        <v>0.93469867382885463</v>
      </c>
      <c r="BE37" s="3" t="s">
        <v>136</v>
      </c>
      <c r="BF37" s="3">
        <f>F73*48000</f>
        <v>75000</v>
      </c>
      <c r="BG37" s="3">
        <v>49800</v>
      </c>
      <c r="BH37" s="111">
        <f t="shared" si="18"/>
        <v>0.66400000000000003</v>
      </c>
    </row>
    <row r="38" spans="1:60" s="3" customFormat="1" ht="15" customHeight="1" x14ac:dyDescent="0.3">
      <c r="A38" s="55" t="s">
        <v>134</v>
      </c>
      <c r="B38" s="45" t="s">
        <v>26</v>
      </c>
      <c r="C38" s="45" t="s">
        <v>136</v>
      </c>
      <c r="D38" s="47">
        <v>46607</v>
      </c>
      <c r="E38" s="47">
        <v>745200</v>
      </c>
      <c r="F38" s="70">
        <f t="shared" si="4"/>
        <v>1.1228976212776931</v>
      </c>
      <c r="G38" s="45" t="s">
        <v>136</v>
      </c>
      <c r="H38" s="47">
        <v>41428</v>
      </c>
      <c r="I38" s="47">
        <v>691200</v>
      </c>
      <c r="J38" s="70">
        <f t="shared" si="5"/>
        <v>1.1666076356623813</v>
      </c>
      <c r="K38" s="55" t="s">
        <v>136</v>
      </c>
      <c r="L38" s="47">
        <v>32850</v>
      </c>
      <c r="M38" s="47">
        <v>726160</v>
      </c>
      <c r="N38" s="70">
        <f t="shared" si="6"/>
        <v>1.7289588467670658</v>
      </c>
      <c r="O38" s="45" t="s">
        <v>136</v>
      </c>
      <c r="P38" s="47">
        <v>52500</v>
      </c>
      <c r="Q38" s="47">
        <v>840000</v>
      </c>
      <c r="R38" s="70">
        <f t="shared" si="7"/>
        <v>1.1809991809991811</v>
      </c>
      <c r="S38" s="45" t="s">
        <v>136</v>
      </c>
      <c r="T38" s="47">
        <f>F73*30000</f>
        <v>46875</v>
      </c>
      <c r="U38" s="47">
        <v>600000</v>
      </c>
      <c r="V38" s="70">
        <f t="shared" si="8"/>
        <v>0.83341523341523349</v>
      </c>
      <c r="W38" s="55" t="s">
        <v>136</v>
      </c>
      <c r="X38" s="47">
        <f>F73*36000</f>
        <v>56250</v>
      </c>
      <c r="Y38" s="47">
        <v>47472</v>
      </c>
      <c r="Z38" s="70">
        <f t="shared" si="9"/>
        <v>0.84394666666666662</v>
      </c>
      <c r="AA38" s="47">
        <f>F73*24000</f>
        <v>37500</v>
      </c>
      <c r="AB38" s="47">
        <v>31680</v>
      </c>
      <c r="AC38" s="70">
        <f t="shared" si="10"/>
        <v>0.8448</v>
      </c>
      <c r="AD38" s="86" t="s">
        <v>136</v>
      </c>
      <c r="AE38" s="18">
        <f>F73*14000</f>
        <v>21875</v>
      </c>
      <c r="AF38" s="18">
        <v>17111</v>
      </c>
      <c r="AG38" s="105">
        <f t="shared" si="15"/>
        <v>0.78221714285714283</v>
      </c>
      <c r="AH38" s="86" t="s">
        <v>136</v>
      </c>
      <c r="AI38" s="18">
        <v>30000</v>
      </c>
      <c r="AJ38" s="18">
        <v>25000</v>
      </c>
      <c r="AK38" s="105">
        <f t="shared" si="16"/>
        <v>0.83333333333333337</v>
      </c>
      <c r="AL38" s="18">
        <f>F73*12000</f>
        <v>18750</v>
      </c>
      <c r="AM38" s="18">
        <v>11765</v>
      </c>
      <c r="AN38" s="105">
        <f t="shared" si="17"/>
        <v>0.62746666666666662</v>
      </c>
      <c r="AO38" s="45" t="s">
        <v>136</v>
      </c>
      <c r="AP38" s="19">
        <f>F73*13500</f>
        <v>21093.75</v>
      </c>
      <c r="AQ38" s="3">
        <v>230000</v>
      </c>
      <c r="AR38" s="70">
        <f t="shared" si="11"/>
        <v>0.66152819486152814</v>
      </c>
      <c r="AS38" s="45" t="s">
        <v>136</v>
      </c>
      <c r="AT38" s="19">
        <f>F73*14000</f>
        <v>21875</v>
      </c>
      <c r="AU38" s="19">
        <v>310000</v>
      </c>
      <c r="AV38" s="70">
        <f t="shared" si="12"/>
        <v>0.88032505205510514</v>
      </c>
      <c r="AW38" s="45" t="s">
        <v>136</v>
      </c>
      <c r="AX38" s="19">
        <f>F73*13500</f>
        <v>21093.75</v>
      </c>
      <c r="AY38" s="19">
        <v>385725</v>
      </c>
      <c r="AZ38" s="70">
        <f t="shared" si="13"/>
        <v>1.119413333361319</v>
      </c>
      <c r="BA38" s="45" t="s">
        <v>136</v>
      </c>
      <c r="BB38" s="3">
        <f>F73*36000</f>
        <v>56250</v>
      </c>
      <c r="BC38" s="3">
        <v>720000</v>
      </c>
      <c r="BD38" s="70">
        <f t="shared" si="14"/>
        <v>0.81786133960024776</v>
      </c>
      <c r="BE38" s="3" t="s">
        <v>136</v>
      </c>
      <c r="BF38" s="3">
        <f>F73*44000</f>
        <v>68750</v>
      </c>
      <c r="BG38" s="3">
        <v>56467</v>
      </c>
      <c r="BH38" s="111">
        <f t="shared" si="18"/>
        <v>0.82133818181818186</v>
      </c>
    </row>
    <row r="39" spans="1:60" s="3" customFormat="1" ht="15" customHeight="1" x14ac:dyDescent="0.3">
      <c r="A39" s="55" t="s">
        <v>18</v>
      </c>
      <c r="B39" s="45" t="s">
        <v>26</v>
      </c>
      <c r="C39" s="45" t="s">
        <v>136</v>
      </c>
      <c r="D39" s="47">
        <v>1570</v>
      </c>
      <c r="E39" s="47">
        <v>137000</v>
      </c>
      <c r="F39" s="70">
        <f t="shared" si="4"/>
        <v>6.1282910009024674</v>
      </c>
      <c r="G39" s="45" t="s">
        <v>136</v>
      </c>
      <c r="H39" s="47">
        <v>1830</v>
      </c>
      <c r="I39" s="47">
        <v>134500</v>
      </c>
      <c r="J39" s="70">
        <f t="shared" si="5"/>
        <v>5.1390902825329059</v>
      </c>
      <c r="K39" s="55" t="s">
        <v>136</v>
      </c>
      <c r="L39" s="47">
        <v>1900</v>
      </c>
      <c r="M39" s="47">
        <v>141400</v>
      </c>
      <c r="N39" s="70">
        <f t="shared" si="6"/>
        <v>5.8208112418638729</v>
      </c>
      <c r="O39" s="45" t="s">
        <v>136</v>
      </c>
      <c r="P39" s="47">
        <v>2400</v>
      </c>
      <c r="Q39" s="47">
        <v>223800</v>
      </c>
      <c r="R39" s="70">
        <f t="shared" si="7"/>
        <v>6.8830108517608517</v>
      </c>
      <c r="S39" s="45" t="s">
        <v>136</v>
      </c>
      <c r="T39" s="47">
        <f>D93*2000</f>
        <v>1768</v>
      </c>
      <c r="U39" s="47">
        <v>144000</v>
      </c>
      <c r="V39" s="70">
        <f t="shared" si="8"/>
        <v>5.3031229501817743</v>
      </c>
      <c r="W39" s="45" t="s">
        <v>136</v>
      </c>
      <c r="X39" s="47"/>
      <c r="Y39" s="47"/>
      <c r="Z39" s="70" t="str">
        <f t="shared" si="9"/>
        <v/>
      </c>
      <c r="AA39" s="47"/>
      <c r="AB39" s="47"/>
      <c r="AC39" s="70" t="str">
        <f t="shared" si="10"/>
        <v/>
      </c>
      <c r="AD39" s="86" t="s">
        <v>136</v>
      </c>
      <c r="AE39" s="18">
        <f>D93*12000</f>
        <v>10608</v>
      </c>
      <c r="AF39" s="18">
        <v>53334</v>
      </c>
      <c r="AG39" s="105">
        <f t="shared" si="15"/>
        <v>5.0277149321266972</v>
      </c>
      <c r="AH39" s="86"/>
      <c r="AI39" s="18">
        <f>D93*15000</f>
        <v>13260</v>
      </c>
      <c r="AJ39" s="18">
        <v>50000</v>
      </c>
      <c r="AK39" s="105">
        <f t="shared" si="16"/>
        <v>3.7707390648567118</v>
      </c>
      <c r="AL39" s="18">
        <f>D93*9000</f>
        <v>7956</v>
      </c>
      <c r="AM39" s="18">
        <v>30000</v>
      </c>
      <c r="AN39" s="105">
        <f t="shared" si="17"/>
        <v>3.7707390648567118</v>
      </c>
      <c r="AO39" s="45" t="s">
        <v>136</v>
      </c>
      <c r="AP39" s="19">
        <f>D93*12000</f>
        <v>10608</v>
      </c>
      <c r="AQ39" s="3">
        <v>617143</v>
      </c>
      <c r="AR39" s="70">
        <f t="shared" si="11"/>
        <v>3.5296091260590337</v>
      </c>
      <c r="AS39" s="45" t="s">
        <v>136</v>
      </c>
      <c r="AT39" s="19">
        <f>D93*13500</f>
        <v>11934</v>
      </c>
      <c r="AU39" s="19">
        <v>945000</v>
      </c>
      <c r="AV39" s="70">
        <f t="shared" si="12"/>
        <v>4.918981666761713</v>
      </c>
      <c r="AW39" s="45" t="s">
        <v>136</v>
      </c>
      <c r="AX39" s="19">
        <f>D93*15000</f>
        <v>13260</v>
      </c>
      <c r="AY39" s="19">
        <v>1071420</v>
      </c>
      <c r="AZ39" s="70">
        <f t="shared" si="13"/>
        <v>4.9463256696846223</v>
      </c>
      <c r="BA39" s="45" t="s">
        <v>136</v>
      </c>
      <c r="BB39" s="3">
        <f>D93*20500</f>
        <v>18122</v>
      </c>
      <c r="BC39" s="3">
        <v>1285571</v>
      </c>
      <c r="BD39" s="70">
        <f t="shared" si="14"/>
        <v>4.5327279179451692</v>
      </c>
      <c r="BE39" s="3" t="s">
        <v>136</v>
      </c>
      <c r="BF39" s="3">
        <f>D93*18500</f>
        <v>16354</v>
      </c>
      <c r="BG39" s="3">
        <v>86900</v>
      </c>
      <c r="BH39" s="111">
        <f t="shared" si="18"/>
        <v>5.3136847254494315</v>
      </c>
    </row>
    <row r="40" spans="1:60" s="3" customFormat="1" ht="15" customHeight="1" x14ac:dyDescent="0.3">
      <c r="A40" s="55" t="s">
        <v>117</v>
      </c>
      <c r="B40" s="45" t="s">
        <v>26</v>
      </c>
      <c r="C40" s="45" t="s">
        <v>136</v>
      </c>
      <c r="D40" s="47"/>
      <c r="E40" s="47"/>
      <c r="F40" s="70" t="str">
        <f t="shared" si="4"/>
        <v/>
      </c>
      <c r="G40" s="45" t="s">
        <v>136</v>
      </c>
      <c r="H40" s="47"/>
      <c r="I40" s="47"/>
      <c r="J40" s="70" t="str">
        <f t="shared" si="5"/>
        <v/>
      </c>
      <c r="K40" s="45" t="s">
        <v>136</v>
      </c>
      <c r="L40" s="47"/>
      <c r="M40" s="47"/>
      <c r="N40" s="70" t="str">
        <f t="shared" si="6"/>
        <v/>
      </c>
      <c r="O40" s="45" t="s">
        <v>136</v>
      </c>
      <c r="P40" s="47"/>
      <c r="Q40" s="47"/>
      <c r="R40" s="70" t="str">
        <f t="shared" si="7"/>
        <v/>
      </c>
      <c r="S40" s="45" t="s">
        <v>136</v>
      </c>
      <c r="T40" s="47"/>
      <c r="U40" s="47"/>
      <c r="V40" s="70" t="str">
        <f t="shared" si="8"/>
        <v/>
      </c>
      <c r="W40" s="45" t="s">
        <v>136</v>
      </c>
      <c r="X40" s="47">
        <f>D93*4000</f>
        <v>3536</v>
      </c>
      <c r="Y40" s="47">
        <v>15816</v>
      </c>
      <c r="Z40" s="70">
        <f t="shared" si="9"/>
        <v>4.4728506787330318</v>
      </c>
      <c r="AA40" s="47">
        <f>D93*3000</f>
        <v>2652</v>
      </c>
      <c r="AB40" s="47">
        <v>9891</v>
      </c>
      <c r="AC40" s="70">
        <f t="shared" si="10"/>
        <v>3.7296380090497738</v>
      </c>
      <c r="AG40" s="105" t="str">
        <f t="shared" si="15"/>
        <v/>
      </c>
      <c r="AK40" s="105" t="str">
        <f t="shared" si="16"/>
        <v/>
      </c>
      <c r="AN40" s="105" t="str">
        <f t="shared" si="17"/>
        <v/>
      </c>
      <c r="AO40" s="45" t="s">
        <v>136</v>
      </c>
      <c r="AR40" s="70" t="str">
        <f t="shared" si="11"/>
        <v/>
      </c>
      <c r="AS40" s="45" t="s">
        <v>136</v>
      </c>
      <c r="AV40" s="70" t="str">
        <f t="shared" si="12"/>
        <v/>
      </c>
      <c r="AW40" s="45" t="s">
        <v>136</v>
      </c>
      <c r="AZ40" s="70" t="str">
        <f t="shared" si="13"/>
        <v/>
      </c>
      <c r="BA40" s="45" t="s">
        <v>136</v>
      </c>
      <c r="BD40" s="70" t="str">
        <f t="shared" si="14"/>
        <v/>
      </c>
      <c r="BH40" s="111" t="str">
        <f t="shared" si="18"/>
        <v/>
      </c>
    </row>
    <row r="41" spans="1:60" s="3" customFormat="1" ht="15" customHeight="1" x14ac:dyDescent="0.3">
      <c r="A41" s="55" t="s">
        <v>131</v>
      </c>
      <c r="B41" s="45" t="s">
        <v>26</v>
      </c>
      <c r="C41" s="45" t="s">
        <v>136</v>
      </c>
      <c r="D41" s="47"/>
      <c r="E41" s="47"/>
      <c r="F41" s="70" t="str">
        <f t="shared" si="4"/>
        <v/>
      </c>
      <c r="G41" s="45" t="s">
        <v>136</v>
      </c>
      <c r="H41" s="47"/>
      <c r="I41" s="47"/>
      <c r="J41" s="70" t="str">
        <f t="shared" si="5"/>
        <v/>
      </c>
      <c r="K41" s="45" t="s">
        <v>136</v>
      </c>
      <c r="L41" s="47"/>
      <c r="M41" s="47"/>
      <c r="N41" s="70" t="str">
        <f t="shared" si="6"/>
        <v/>
      </c>
      <c r="O41" s="45" t="s">
        <v>136</v>
      </c>
      <c r="P41" s="47"/>
      <c r="Q41" s="47"/>
      <c r="R41" s="70" t="str">
        <f t="shared" si="7"/>
        <v/>
      </c>
      <c r="S41" s="45" t="s">
        <v>136</v>
      </c>
      <c r="T41" s="47"/>
      <c r="U41" s="47"/>
      <c r="V41" s="70" t="str">
        <f t="shared" si="8"/>
        <v/>
      </c>
      <c r="W41" s="45" t="s">
        <v>136</v>
      </c>
      <c r="X41" s="47"/>
      <c r="Y41" s="47"/>
      <c r="Z41" s="70" t="str">
        <f t="shared" si="9"/>
        <v/>
      </c>
      <c r="AA41" s="47">
        <f>D93*3000</f>
        <v>2652</v>
      </c>
      <c r="AB41" s="47">
        <v>16489</v>
      </c>
      <c r="AC41" s="70">
        <f t="shared" si="10"/>
        <v>6.2175716440422324</v>
      </c>
      <c r="AG41" s="105" t="str">
        <f t="shared" si="15"/>
        <v/>
      </c>
      <c r="AK41" s="105" t="str">
        <f t="shared" si="16"/>
        <v/>
      </c>
      <c r="AN41" s="105" t="str">
        <f t="shared" si="17"/>
        <v/>
      </c>
      <c r="AO41" s="45" t="s">
        <v>136</v>
      </c>
      <c r="AP41"/>
      <c r="AQ41"/>
      <c r="AR41" s="70" t="str">
        <f t="shared" si="11"/>
        <v/>
      </c>
      <c r="AS41" s="45" t="s">
        <v>136</v>
      </c>
      <c r="AT41"/>
      <c r="AU41"/>
      <c r="AV41" s="70" t="str">
        <f t="shared" si="12"/>
        <v/>
      </c>
      <c r="AW41" s="45" t="s">
        <v>136</v>
      </c>
      <c r="AX41"/>
      <c r="AY41"/>
      <c r="AZ41" s="70" t="str">
        <f t="shared" si="13"/>
        <v/>
      </c>
      <c r="BA41" s="45" t="s">
        <v>136</v>
      </c>
      <c r="BD41" s="70" t="str">
        <f t="shared" si="14"/>
        <v/>
      </c>
      <c r="BH41" s="111" t="str">
        <f t="shared" si="18"/>
        <v/>
      </c>
    </row>
    <row r="42" spans="1:60" s="3" customFormat="1" ht="15" customHeight="1" x14ac:dyDescent="0.3">
      <c r="A42" s="55" t="s">
        <v>130</v>
      </c>
      <c r="B42" s="45" t="s">
        <v>26</v>
      </c>
      <c r="C42" s="45" t="s">
        <v>136</v>
      </c>
      <c r="D42" s="47"/>
      <c r="E42" s="47"/>
      <c r="F42" s="70" t="str">
        <f t="shared" si="4"/>
        <v/>
      </c>
      <c r="G42" s="45" t="s">
        <v>136</v>
      </c>
      <c r="H42" s="47"/>
      <c r="I42" s="47"/>
      <c r="J42" s="70" t="str">
        <f t="shared" si="5"/>
        <v/>
      </c>
      <c r="K42" s="45" t="s">
        <v>136</v>
      </c>
      <c r="L42" s="47"/>
      <c r="M42" s="47"/>
      <c r="N42" s="70" t="str">
        <f t="shared" si="6"/>
        <v/>
      </c>
      <c r="O42" s="45" t="s">
        <v>136</v>
      </c>
      <c r="P42" s="47"/>
      <c r="Q42" s="47"/>
      <c r="R42" s="70" t="str">
        <f t="shared" si="7"/>
        <v/>
      </c>
      <c r="S42" s="45" t="s">
        <v>136</v>
      </c>
      <c r="T42" s="47"/>
      <c r="U42" s="47"/>
      <c r="V42" s="70" t="str">
        <f t="shared" si="8"/>
        <v/>
      </c>
      <c r="W42" s="45" t="s">
        <v>136</v>
      </c>
      <c r="X42" s="47"/>
      <c r="Y42" s="47"/>
      <c r="Z42" s="70" t="str">
        <f t="shared" si="9"/>
        <v/>
      </c>
      <c r="AA42" s="47">
        <f>D93*2000</f>
        <v>1768</v>
      </c>
      <c r="AB42" s="47">
        <v>6120</v>
      </c>
      <c r="AC42" s="70">
        <f t="shared" si="10"/>
        <v>3.4615384615384617</v>
      </c>
      <c r="AD42" s="86"/>
      <c r="AE42" s="18"/>
      <c r="AF42" s="18"/>
      <c r="AG42" s="105" t="str">
        <f t="shared" si="15"/>
        <v/>
      </c>
      <c r="AH42" s="86"/>
      <c r="AI42" s="18"/>
      <c r="AJ42" s="18"/>
      <c r="AK42" s="105" t="str">
        <f t="shared" si="16"/>
        <v/>
      </c>
      <c r="AL42" s="18"/>
      <c r="AM42" s="18"/>
      <c r="AN42" s="105" t="str">
        <f t="shared" si="17"/>
        <v/>
      </c>
      <c r="AO42" s="45" t="s">
        <v>136</v>
      </c>
      <c r="AQ42"/>
      <c r="AR42" s="70" t="str">
        <f t="shared" si="11"/>
        <v/>
      </c>
      <c r="AS42" s="45" t="s">
        <v>136</v>
      </c>
      <c r="AT42"/>
      <c r="AU42"/>
      <c r="AV42" s="70" t="str">
        <f t="shared" si="12"/>
        <v/>
      </c>
      <c r="AW42" s="45" t="s">
        <v>136</v>
      </c>
      <c r="AX42"/>
      <c r="AY42"/>
      <c r="AZ42" s="70" t="str">
        <f t="shared" si="13"/>
        <v/>
      </c>
      <c r="BA42" s="45" t="s">
        <v>136</v>
      </c>
      <c r="BD42" s="70" t="str">
        <f t="shared" si="14"/>
        <v/>
      </c>
      <c r="BH42" s="111" t="str">
        <f t="shared" si="18"/>
        <v/>
      </c>
    </row>
    <row r="43" spans="1:60" s="3" customFormat="1" ht="15" customHeight="1" x14ac:dyDescent="0.3">
      <c r="A43" s="55" t="s">
        <v>118</v>
      </c>
      <c r="B43" s="45" t="s">
        <v>26</v>
      </c>
      <c r="C43" s="45" t="s">
        <v>136</v>
      </c>
      <c r="D43" s="47"/>
      <c r="E43" s="47"/>
      <c r="F43" s="70" t="str">
        <f t="shared" si="4"/>
        <v/>
      </c>
      <c r="G43" s="45" t="s">
        <v>136</v>
      </c>
      <c r="H43" s="47"/>
      <c r="I43" s="47"/>
      <c r="J43" s="70" t="str">
        <f t="shared" si="5"/>
        <v/>
      </c>
      <c r="K43" s="45" t="s">
        <v>136</v>
      </c>
      <c r="L43" s="47"/>
      <c r="M43" s="47"/>
      <c r="N43" s="70" t="str">
        <f t="shared" si="6"/>
        <v/>
      </c>
      <c r="O43" s="45" t="s">
        <v>136</v>
      </c>
      <c r="P43" s="47"/>
      <c r="Q43" s="47"/>
      <c r="R43" s="70" t="str">
        <f t="shared" si="7"/>
        <v/>
      </c>
      <c r="S43" s="45" t="s">
        <v>136</v>
      </c>
      <c r="T43" s="47"/>
      <c r="U43" s="47"/>
      <c r="V43" s="70" t="str">
        <f t="shared" si="8"/>
        <v/>
      </c>
      <c r="W43" s="45" t="s">
        <v>136</v>
      </c>
      <c r="X43" s="47">
        <f>D93*250</f>
        <v>221</v>
      </c>
      <c r="Y43" s="47">
        <v>1208</v>
      </c>
      <c r="Z43" s="70">
        <f t="shared" si="9"/>
        <v>5.4660633484162897</v>
      </c>
      <c r="AA43" s="47">
        <f>D93*800</f>
        <v>707.2</v>
      </c>
      <c r="AB43" s="47">
        <v>4396</v>
      </c>
      <c r="AC43" s="70">
        <f t="shared" si="10"/>
        <v>6.2160633484162888</v>
      </c>
      <c r="AD43" s="86"/>
      <c r="AE43" s="18"/>
      <c r="AF43" s="18"/>
      <c r="AG43" s="105" t="str">
        <f t="shared" si="15"/>
        <v/>
      </c>
      <c r="AH43" s="86"/>
      <c r="AI43" s="18"/>
      <c r="AJ43" s="18"/>
      <c r="AK43" s="105" t="str">
        <f t="shared" si="16"/>
        <v/>
      </c>
      <c r="AL43" s="18"/>
      <c r="AM43" s="18"/>
      <c r="AN43" s="105" t="str">
        <f t="shared" si="17"/>
        <v/>
      </c>
      <c r="AO43" s="45" t="s">
        <v>136</v>
      </c>
      <c r="AQ43"/>
      <c r="AR43" s="70" t="str">
        <f t="shared" si="11"/>
        <v/>
      </c>
      <c r="AS43" s="45" t="s">
        <v>136</v>
      </c>
      <c r="AT43"/>
      <c r="AU43"/>
      <c r="AV43" s="70" t="str">
        <f t="shared" si="12"/>
        <v/>
      </c>
      <c r="AW43" s="45" t="s">
        <v>136</v>
      </c>
      <c r="AX43"/>
      <c r="AY43"/>
      <c r="AZ43" s="70" t="str">
        <f t="shared" si="13"/>
        <v/>
      </c>
      <c r="BA43" s="45" t="s">
        <v>136</v>
      </c>
      <c r="BD43" s="70" t="str">
        <f t="shared" si="14"/>
        <v/>
      </c>
      <c r="BH43" s="111" t="str">
        <f t="shared" si="18"/>
        <v/>
      </c>
    </row>
    <row r="44" spans="1:60" s="3" customFormat="1" ht="15" customHeight="1" x14ac:dyDescent="0.3">
      <c r="A44" s="55" t="s">
        <v>121</v>
      </c>
      <c r="B44" s="45" t="s">
        <v>195</v>
      </c>
      <c r="C44" s="45" t="s">
        <v>72</v>
      </c>
      <c r="D44" s="47">
        <v>800</v>
      </c>
      <c r="E44" s="47">
        <v>5440</v>
      </c>
      <c r="F44" s="70">
        <f t="shared" si="4"/>
        <v>0.47755937755937766</v>
      </c>
      <c r="G44" s="45" t="s">
        <v>72</v>
      </c>
      <c r="H44" s="47">
        <v>850</v>
      </c>
      <c r="I44" s="47">
        <v>5780</v>
      </c>
      <c r="J44" s="70">
        <f t="shared" si="5"/>
        <v>0.47547092547092551</v>
      </c>
      <c r="K44" s="50" t="s">
        <v>72</v>
      </c>
      <c r="L44" s="47">
        <v>250</v>
      </c>
      <c r="M44" s="47">
        <v>1550</v>
      </c>
      <c r="N44" s="70">
        <f t="shared" si="6"/>
        <v>0.48493038493038487</v>
      </c>
      <c r="O44" s="45" t="s">
        <v>136</v>
      </c>
      <c r="P44" s="47">
        <f>F81*450</f>
        <v>964.28571428571422</v>
      </c>
      <c r="Q44" s="47">
        <v>21800</v>
      </c>
      <c r="R44" s="70">
        <f t="shared" si="7"/>
        <v>1.6687081020414356</v>
      </c>
      <c r="S44" s="45" t="s">
        <v>136</v>
      </c>
      <c r="T44" s="47">
        <f>F80*1500</f>
        <v>4500</v>
      </c>
      <c r="U44" s="47">
        <v>90000</v>
      </c>
      <c r="V44" s="70">
        <f t="shared" si="8"/>
        <v>1.3022113022113022</v>
      </c>
      <c r="W44" s="45" t="s">
        <v>136</v>
      </c>
      <c r="X44" s="47">
        <f>F80*200</f>
        <v>600</v>
      </c>
      <c r="Y44" s="47">
        <v>1318</v>
      </c>
      <c r="Z44" s="70">
        <f t="shared" si="9"/>
        <v>2.1966666666666668</v>
      </c>
      <c r="AA44" s="47">
        <f>F80*500</f>
        <v>1500</v>
      </c>
      <c r="AB44" s="47">
        <v>3297</v>
      </c>
      <c r="AC44" s="70">
        <f t="shared" si="10"/>
        <v>2.198</v>
      </c>
      <c r="AD44" s="86" t="s">
        <v>136</v>
      </c>
      <c r="AE44" s="18">
        <f>F80*400</f>
        <v>1200</v>
      </c>
      <c r="AF44" s="18">
        <v>2667</v>
      </c>
      <c r="AG44" s="105">
        <f t="shared" si="15"/>
        <v>2.2225000000000001</v>
      </c>
      <c r="AH44" s="86"/>
      <c r="AI44" s="18">
        <f>F80*400</f>
        <v>1200</v>
      </c>
      <c r="AJ44" s="18">
        <v>2593</v>
      </c>
      <c r="AK44" s="105">
        <f t="shared" si="16"/>
        <v>2.1608333333333332</v>
      </c>
      <c r="AL44" s="18">
        <f>F80*120</f>
        <v>360</v>
      </c>
      <c r="AM44" s="18">
        <v>941</v>
      </c>
      <c r="AN44" s="105">
        <f t="shared" si="17"/>
        <v>2.6138888888888889</v>
      </c>
      <c r="AO44" s="45" t="s">
        <v>136</v>
      </c>
      <c r="AP44" s="3">
        <f>F80*250</f>
        <v>750</v>
      </c>
      <c r="AQ44" s="3">
        <v>32143</v>
      </c>
      <c r="AR44" s="70">
        <f t="shared" si="11"/>
        <v>2.6001563438438433</v>
      </c>
      <c r="AS44" s="45" t="s">
        <v>136</v>
      </c>
      <c r="AT44" s="19">
        <f>F80*620</f>
        <v>1860</v>
      </c>
      <c r="AU44" s="19">
        <v>62000</v>
      </c>
      <c r="AV44" s="70">
        <f t="shared" si="12"/>
        <v>2.0706570444844545</v>
      </c>
      <c r="AW44" s="45" t="s">
        <v>136</v>
      </c>
      <c r="AX44" s="19">
        <f>F80*1575</f>
        <v>4725</v>
      </c>
      <c r="AY44" s="19">
        <v>180000</v>
      </c>
      <c r="AZ44" s="70">
        <f t="shared" si="13"/>
        <v>2.3320463321046336</v>
      </c>
      <c r="BA44" s="45" t="s">
        <v>136</v>
      </c>
      <c r="BB44" s="3">
        <f>F80*2500</f>
        <v>7500</v>
      </c>
      <c r="BC44" s="3">
        <v>321428</v>
      </c>
      <c r="BD44" s="70">
        <f t="shared" si="14"/>
        <v>2.7383701527607132</v>
      </c>
      <c r="BE44" s="45" t="s">
        <v>136</v>
      </c>
      <c r="BF44" s="3">
        <f>F80*3780</f>
        <v>11340</v>
      </c>
      <c r="BG44" s="3">
        <v>32760</v>
      </c>
      <c r="BH44" s="111">
        <f t="shared" si="18"/>
        <v>2.8888888888888888</v>
      </c>
    </row>
    <row r="45" spans="1:60" s="3" customFormat="1" ht="15" customHeight="1" x14ac:dyDescent="0.3">
      <c r="A45" s="55" t="s">
        <v>119</v>
      </c>
      <c r="B45" s="45" t="s">
        <v>197</v>
      </c>
      <c r="C45" s="45" t="s">
        <v>120</v>
      </c>
      <c r="D45" s="47"/>
      <c r="E45" s="47"/>
      <c r="F45" s="70" t="str">
        <f t="shared" si="4"/>
        <v/>
      </c>
      <c r="G45" s="45" t="s">
        <v>120</v>
      </c>
      <c r="H45" s="47"/>
      <c r="I45" s="47"/>
      <c r="J45" s="70" t="str">
        <f t="shared" si="5"/>
        <v/>
      </c>
      <c r="K45" s="55" t="s">
        <v>120</v>
      </c>
      <c r="L45" s="47"/>
      <c r="M45" s="47"/>
      <c r="N45" s="70" t="str">
        <f t="shared" si="6"/>
        <v/>
      </c>
      <c r="O45" s="55" t="s">
        <v>120</v>
      </c>
      <c r="P45" s="47"/>
      <c r="Q45" s="47"/>
      <c r="R45" s="70" t="str">
        <f t="shared" si="7"/>
        <v/>
      </c>
      <c r="S45" s="55" t="s">
        <v>120</v>
      </c>
      <c r="T45" s="47"/>
      <c r="U45" s="47"/>
      <c r="V45" s="70" t="str">
        <f t="shared" si="8"/>
        <v/>
      </c>
      <c r="W45" s="50" t="s">
        <v>120</v>
      </c>
      <c r="X45" s="47">
        <v>1000</v>
      </c>
      <c r="Y45" s="47">
        <v>1593</v>
      </c>
      <c r="Z45" s="70">
        <f t="shared" si="9"/>
        <v>1.593</v>
      </c>
      <c r="AA45" s="47">
        <v>900</v>
      </c>
      <c r="AB45" s="47">
        <v>1758</v>
      </c>
      <c r="AC45" s="70">
        <f t="shared" si="10"/>
        <v>1.9533333333333334</v>
      </c>
      <c r="AD45" s="86" t="s">
        <v>136</v>
      </c>
      <c r="AE45" s="18">
        <v>450</v>
      </c>
      <c r="AF45" s="18">
        <v>1500</v>
      </c>
      <c r="AG45" s="105">
        <f t="shared" si="15"/>
        <v>3.3333333333333335</v>
      </c>
      <c r="AH45" s="86"/>
      <c r="AI45" s="18">
        <v>300</v>
      </c>
      <c r="AJ45" s="18">
        <v>667</v>
      </c>
      <c r="AK45" s="105">
        <f t="shared" si="16"/>
        <v>2.2233333333333332</v>
      </c>
      <c r="AL45" s="18">
        <v>350</v>
      </c>
      <c r="AM45" s="18">
        <v>1373</v>
      </c>
      <c r="AN45" s="105">
        <f t="shared" si="17"/>
        <v>3.922857142857143</v>
      </c>
      <c r="AO45" s="55" t="s">
        <v>136</v>
      </c>
      <c r="AP45" s="3">
        <v>310</v>
      </c>
      <c r="AQ45" s="3">
        <v>12485</v>
      </c>
      <c r="AR45" s="70">
        <f t="shared" si="11"/>
        <v>2.4434371367335075</v>
      </c>
      <c r="AS45" s="55" t="s">
        <v>136</v>
      </c>
      <c r="AT45" s="19">
        <v>600</v>
      </c>
      <c r="AU45" s="19">
        <v>36000</v>
      </c>
      <c r="AV45" s="70">
        <f t="shared" si="12"/>
        <v>3.7271826800720178</v>
      </c>
      <c r="AW45" s="55" t="s">
        <v>136</v>
      </c>
      <c r="AX45" s="19">
        <v>1300</v>
      </c>
      <c r="AY45" s="19">
        <v>57135</v>
      </c>
      <c r="AZ45" s="70">
        <f t="shared" si="13"/>
        <v>2.6904527027699645</v>
      </c>
      <c r="BA45" s="55" t="s">
        <v>136</v>
      </c>
      <c r="BB45" s="3">
        <v>750</v>
      </c>
      <c r="BC45" s="3">
        <v>35571</v>
      </c>
      <c r="BD45" s="70">
        <f t="shared" si="14"/>
        <v>3.0304318448875431</v>
      </c>
      <c r="BE45" s="3" t="s">
        <v>136</v>
      </c>
      <c r="BG45" s="3">
        <v>5917</v>
      </c>
      <c r="BH45" s="111" t="str">
        <f t="shared" si="18"/>
        <v/>
      </c>
    </row>
    <row r="46" spans="1:60" s="3" customFormat="1" ht="15" customHeight="1" x14ac:dyDescent="0.3">
      <c r="A46" s="55" t="s">
        <v>112</v>
      </c>
      <c r="B46" s="45" t="s">
        <v>26</v>
      </c>
      <c r="C46" s="55" t="s">
        <v>136</v>
      </c>
      <c r="D46" s="47"/>
      <c r="E46" s="47"/>
      <c r="F46" s="70" t="str">
        <f t="shared" si="4"/>
        <v/>
      </c>
      <c r="G46" s="55" t="s">
        <v>136</v>
      </c>
      <c r="H46" s="47"/>
      <c r="I46" s="47"/>
      <c r="J46" s="70" t="str">
        <f t="shared" si="5"/>
        <v/>
      </c>
      <c r="K46" s="55" t="s">
        <v>136</v>
      </c>
      <c r="L46" s="47"/>
      <c r="M46" s="47"/>
      <c r="N46" s="70" t="str">
        <f t="shared" si="6"/>
        <v/>
      </c>
      <c r="O46" s="55" t="s">
        <v>136</v>
      </c>
      <c r="P46" s="47"/>
      <c r="Q46" s="47"/>
      <c r="R46" s="70" t="str">
        <f t="shared" si="7"/>
        <v/>
      </c>
      <c r="S46" s="55" t="s">
        <v>136</v>
      </c>
      <c r="T46" s="47"/>
      <c r="U46" s="47"/>
      <c r="V46" s="70" t="str">
        <f t="shared" si="8"/>
        <v/>
      </c>
      <c r="W46" s="55" t="s">
        <v>136</v>
      </c>
      <c r="X46" s="47">
        <f>F95*280</f>
        <v>410</v>
      </c>
      <c r="Y46" s="47">
        <v>2153</v>
      </c>
      <c r="Z46" s="70">
        <f t="shared" si="9"/>
        <v>5.2512195121951217</v>
      </c>
      <c r="AA46" s="47"/>
      <c r="AB46" s="47"/>
      <c r="AC46" s="70" t="str">
        <f t="shared" si="10"/>
        <v/>
      </c>
      <c r="AD46" s="87" t="s">
        <v>136</v>
      </c>
      <c r="AE46" s="18">
        <f>F95*660</f>
        <v>966.42857142857133</v>
      </c>
      <c r="AF46" s="18">
        <v>5333</v>
      </c>
      <c r="AG46" s="105">
        <f t="shared" si="15"/>
        <v>5.5182557280118258</v>
      </c>
      <c r="AH46" s="86"/>
      <c r="AI46" s="18">
        <f>F95*700</f>
        <v>1025</v>
      </c>
      <c r="AJ46" s="18">
        <v>3241</v>
      </c>
      <c r="AK46" s="105">
        <f t="shared" si="16"/>
        <v>3.1619512195121953</v>
      </c>
      <c r="AL46" s="18">
        <f>F95*500</f>
        <v>732.14285714285711</v>
      </c>
      <c r="AM46" s="18">
        <v>2538</v>
      </c>
      <c r="AN46" s="105">
        <f t="shared" si="17"/>
        <v>3.4665365853658536</v>
      </c>
      <c r="AO46" s="55" t="s">
        <v>136</v>
      </c>
      <c r="AP46" s="3">
        <f>F95*580</f>
        <v>849.28571428571422</v>
      </c>
      <c r="AQ46" s="3">
        <v>43143</v>
      </c>
      <c r="AR46" s="70">
        <f t="shared" si="11"/>
        <v>3.0819872621780733</v>
      </c>
      <c r="AS46" s="55" t="s">
        <v>136</v>
      </c>
      <c r="AT46" s="19">
        <f>F95*1575</f>
        <v>2306.25</v>
      </c>
      <c r="AU46" s="19">
        <v>90000</v>
      </c>
      <c r="AV46" s="70">
        <f t="shared" si="12"/>
        <v>2.4241838569574101</v>
      </c>
      <c r="AW46" s="55" t="s">
        <v>136</v>
      </c>
      <c r="AX46" s="19">
        <f>F95*2400</f>
        <v>3514.2857142857142</v>
      </c>
      <c r="AY46" s="19">
        <v>171435</v>
      </c>
      <c r="AZ46" s="70">
        <f t="shared" si="13"/>
        <v>2.9862688695538928</v>
      </c>
      <c r="BA46" s="55" t="s">
        <v>136</v>
      </c>
      <c r="BB46" s="3">
        <f>F95*2500</f>
        <v>3660.7142857142853</v>
      </c>
      <c r="BC46" s="3">
        <v>171428</v>
      </c>
      <c r="BD46" s="70">
        <f t="shared" si="14"/>
        <v>2.992165658765058</v>
      </c>
      <c r="BE46" s="3" t="s">
        <v>136</v>
      </c>
      <c r="BF46" s="3">
        <f>F95*2280</f>
        <v>3338.5714285714284</v>
      </c>
      <c r="BG46" s="3">
        <v>15200</v>
      </c>
      <c r="BH46" s="111">
        <f t="shared" si="18"/>
        <v>4.5528455284552845</v>
      </c>
    </row>
    <row r="47" spans="1:60" s="3" customFormat="1" ht="15" customHeight="1" x14ac:dyDescent="0.3">
      <c r="A47" s="55" t="s">
        <v>96</v>
      </c>
      <c r="B47" s="45" t="s">
        <v>26</v>
      </c>
      <c r="C47" s="55" t="s">
        <v>136</v>
      </c>
      <c r="D47" s="47"/>
      <c r="E47" s="47">
        <v>139340</v>
      </c>
      <c r="F47" s="70" t="str">
        <f t="shared" si="4"/>
        <v/>
      </c>
      <c r="G47" s="55" t="s">
        <v>136</v>
      </c>
      <c r="H47" s="47"/>
      <c r="I47" s="47">
        <v>139340</v>
      </c>
      <c r="J47" s="70" t="str">
        <f t="shared" si="5"/>
        <v/>
      </c>
      <c r="K47" s="55" t="s">
        <v>136</v>
      </c>
      <c r="L47" s="47">
        <f>F97*1725</f>
        <v>5175</v>
      </c>
      <c r="M47" s="47">
        <v>81120</v>
      </c>
      <c r="N47" s="70">
        <f t="shared" si="6"/>
        <v>1.2260418521288086</v>
      </c>
      <c r="O47" s="55" t="s">
        <v>136</v>
      </c>
      <c r="P47" s="47">
        <f>F97*68</f>
        <v>204</v>
      </c>
      <c r="Q47" s="47">
        <v>126240</v>
      </c>
      <c r="R47" s="70">
        <f t="shared" si="7"/>
        <v>45.676880088644793</v>
      </c>
      <c r="S47" s="55" t="s">
        <v>136</v>
      </c>
      <c r="T47" s="47"/>
      <c r="U47" s="47">
        <v>188000</v>
      </c>
      <c r="V47" s="70" t="str">
        <f t="shared" si="8"/>
        <v/>
      </c>
      <c r="W47" s="55" t="s">
        <v>136</v>
      </c>
      <c r="X47" s="47">
        <f>F97*200</f>
        <v>600</v>
      </c>
      <c r="Y47" s="47">
        <v>659</v>
      </c>
      <c r="Z47" s="70">
        <f t="shared" si="9"/>
        <v>1.0983333333333334</v>
      </c>
      <c r="AA47" s="47"/>
      <c r="AB47" s="47"/>
      <c r="AC47" s="70" t="str">
        <f t="shared" si="10"/>
        <v/>
      </c>
      <c r="AD47" s="86"/>
      <c r="AE47" s="18"/>
      <c r="AF47" s="18"/>
      <c r="AG47" s="105" t="str">
        <f t="shared" si="15"/>
        <v/>
      </c>
      <c r="AH47" s="100" t="s">
        <v>72</v>
      </c>
      <c r="AI47" s="18">
        <v>100</v>
      </c>
      <c r="AJ47" s="18">
        <v>1852</v>
      </c>
      <c r="AK47" s="105">
        <f t="shared" si="16"/>
        <v>18.52</v>
      </c>
      <c r="AL47" s="18">
        <f>F96*75</f>
        <v>456.11324999999999</v>
      </c>
      <c r="AM47" s="18">
        <v>2206</v>
      </c>
      <c r="AN47" s="105">
        <f t="shared" si="17"/>
        <v>4.8365181235142805</v>
      </c>
      <c r="AO47" s="55" t="s">
        <v>136</v>
      </c>
      <c r="AP47" s="19">
        <f>F96*150</f>
        <v>912.22649999999999</v>
      </c>
      <c r="AQ47" s="3">
        <v>85714</v>
      </c>
      <c r="AR47" s="70">
        <f t="shared" si="11"/>
        <v>5.7006371125931885</v>
      </c>
      <c r="AS47" s="55" t="s">
        <v>136</v>
      </c>
      <c r="AT47" s="19">
        <f>F96*210</f>
        <v>1277.1170999999999</v>
      </c>
      <c r="AU47" s="19">
        <v>60000</v>
      </c>
      <c r="AV47" s="70">
        <f t="shared" si="12"/>
        <v>2.9184345586415041</v>
      </c>
      <c r="AW47" s="55" t="s">
        <v>136</v>
      </c>
      <c r="AX47" s="19">
        <f>F96*400</f>
        <v>2432.6039999999998</v>
      </c>
      <c r="AY47" s="19">
        <v>137145</v>
      </c>
      <c r="AZ47" s="70">
        <f>IFERROR(AY47/$D$116/AX47,"")</f>
        <v>3.451239072690361</v>
      </c>
      <c r="BA47" s="55" t="s">
        <v>136</v>
      </c>
      <c r="BB47" s="3">
        <f>F96*300</f>
        <v>1824.453</v>
      </c>
      <c r="BC47" s="3">
        <v>150000</v>
      </c>
      <c r="BD47" s="70">
        <f t="shared" si="14"/>
        <v>5.2532526589834889</v>
      </c>
      <c r="BE47" s="3" t="s">
        <v>136</v>
      </c>
      <c r="BF47" s="3">
        <f>F96*300</f>
        <v>1824.453</v>
      </c>
      <c r="BG47" s="3">
        <v>11450</v>
      </c>
      <c r="BH47" s="111">
        <f t="shared" si="18"/>
        <v>6.2758536394195961</v>
      </c>
    </row>
    <row r="48" spans="1:60" s="3" customFormat="1" ht="15" customHeight="1" x14ac:dyDescent="0.3">
      <c r="A48" s="10" t="s">
        <v>4</v>
      </c>
      <c r="B48" s="10"/>
      <c r="C48" s="11"/>
      <c r="D48" s="47"/>
      <c r="E48" s="47">
        <v>3828670</v>
      </c>
      <c r="G48" s="45"/>
      <c r="H48" s="47"/>
      <c r="I48" s="47">
        <v>3829360</v>
      </c>
      <c r="K48" s="11"/>
      <c r="L48" s="11"/>
      <c r="M48" s="47">
        <v>4791990</v>
      </c>
      <c r="N48" s="47"/>
      <c r="O48" s="47"/>
      <c r="P48" s="47"/>
      <c r="Q48" s="47">
        <v>3932240</v>
      </c>
      <c r="R48" s="11"/>
      <c r="T48" s="10"/>
      <c r="U48" s="47">
        <v>12258800</v>
      </c>
      <c r="V48" s="10"/>
      <c r="W48" s="11"/>
      <c r="X48" s="48"/>
      <c r="Y48" s="49">
        <v>769276</v>
      </c>
      <c r="Z48" s="41"/>
      <c r="AB48" s="3">
        <v>634870</v>
      </c>
      <c r="AD48" s="15"/>
      <c r="AE48" s="89"/>
      <c r="AF48" s="89">
        <v>1083188</v>
      </c>
      <c r="AG48" s="106"/>
      <c r="AH48" s="89"/>
      <c r="AI48" s="89"/>
      <c r="AJ48" s="89">
        <v>861543</v>
      </c>
      <c r="AK48" s="109"/>
      <c r="AL48" s="89"/>
      <c r="AM48" s="89">
        <v>465530</v>
      </c>
      <c r="AN48" s="18"/>
      <c r="AO48" s="59"/>
      <c r="AQ48" s="3">
        <v>8512600</v>
      </c>
      <c r="AS48" s="59"/>
      <c r="AU48" s="19">
        <v>8392350</v>
      </c>
      <c r="AW48" s="59"/>
      <c r="AY48" s="19">
        <v>9142125</v>
      </c>
      <c r="BA48" s="59"/>
      <c r="BC48" s="3">
        <v>12461606</v>
      </c>
      <c r="BG48" s="3">
        <v>794980</v>
      </c>
      <c r="BH48" s="111"/>
    </row>
    <row r="49" spans="1:60" s="3" customFormat="1" x14ac:dyDescent="0.3">
      <c r="A49" s="11"/>
      <c r="J49" s="51"/>
      <c r="K49" s="51"/>
      <c r="R49" s="51"/>
      <c r="S49" s="15"/>
      <c r="T49" s="15"/>
      <c r="U49" s="15"/>
      <c r="AG49" s="67"/>
      <c r="AK49" s="67"/>
      <c r="AN49" s="18"/>
      <c r="BH49" s="112"/>
    </row>
    <row r="50" spans="1:60" s="3" customFormat="1" x14ac:dyDescent="0.3">
      <c r="A50" s="17" t="s">
        <v>11</v>
      </c>
      <c r="B50" s="11"/>
      <c r="E50" s="11"/>
      <c r="I50" s="51"/>
      <c r="J50" s="51"/>
      <c r="Q50" s="51"/>
      <c r="R50" s="15"/>
      <c r="S50" s="15"/>
      <c r="T50" s="15"/>
      <c r="AG50" s="67"/>
      <c r="AK50" s="67"/>
      <c r="AN50" s="18"/>
      <c r="BH50" s="112"/>
    </row>
    <row r="51" spans="1:60" x14ac:dyDescent="0.3">
      <c r="A51" s="11"/>
      <c r="B51" s="11">
        <v>1</v>
      </c>
      <c r="C51" s="4" t="s">
        <v>15</v>
      </c>
      <c r="D51" s="6">
        <v>108</v>
      </c>
      <c r="E51" s="4" t="s">
        <v>12</v>
      </c>
      <c r="J51"/>
      <c r="K51"/>
      <c r="Q51" s="51"/>
      <c r="R51" s="15"/>
      <c r="U51"/>
      <c r="AB51" s="3"/>
      <c r="AC51"/>
      <c r="AN51" s="106"/>
      <c r="AQ51" s="3"/>
      <c r="AR51"/>
      <c r="AU51" s="3"/>
      <c r="AV51"/>
      <c r="AZ51"/>
      <c r="BH51" s="112"/>
    </row>
    <row r="52" spans="1:60" s="3" customFormat="1" x14ac:dyDescent="0.3">
      <c r="A52" s="11"/>
      <c r="B52" s="11">
        <v>1</v>
      </c>
      <c r="C52" s="4" t="s">
        <v>16</v>
      </c>
      <c r="D52" s="6">
        <v>32.5</v>
      </c>
      <c r="E52" s="4" t="s">
        <v>12</v>
      </c>
      <c r="AC52"/>
      <c r="AD52" s="15"/>
      <c r="AG52" s="67"/>
      <c r="AK52" s="84"/>
      <c r="AN52" s="67"/>
      <c r="AO52"/>
      <c r="AP52"/>
      <c r="AR52"/>
      <c r="AS52"/>
      <c r="AT52"/>
      <c r="AV52"/>
      <c r="AW52"/>
      <c r="AZ52"/>
      <c r="BH52" s="112"/>
    </row>
    <row r="53" spans="1:60" x14ac:dyDescent="0.3">
      <c r="B53" s="11">
        <v>1</v>
      </c>
      <c r="C53" s="4" t="s">
        <v>24</v>
      </c>
      <c r="D53" s="6">
        <v>112</v>
      </c>
      <c r="E53" s="4" t="s">
        <v>25</v>
      </c>
      <c r="J53"/>
      <c r="K53"/>
      <c r="Q53" s="51"/>
      <c r="R53" s="15"/>
      <c r="U53"/>
      <c r="AB53" s="3"/>
      <c r="AC53"/>
      <c r="AD53" s="15"/>
      <c r="AE53" s="3"/>
      <c r="AF53" s="3"/>
      <c r="AG53" s="67"/>
      <c r="AH53" s="3"/>
      <c r="AI53" s="3"/>
      <c r="AJ53" s="3"/>
      <c r="AK53" s="84"/>
      <c r="AL53" s="3"/>
      <c r="AM53" s="3"/>
      <c r="AN53" s="67"/>
      <c r="AQ53" s="3"/>
      <c r="AR53"/>
      <c r="AU53" s="3"/>
      <c r="AV53"/>
      <c r="AZ53"/>
      <c r="BE53" s="3"/>
      <c r="BF53" s="3"/>
      <c r="BG53" s="3"/>
      <c r="BH53" s="112"/>
    </row>
    <row r="54" spans="1:60" ht="14.4" customHeight="1" x14ac:dyDescent="0.3">
      <c r="A54" s="11"/>
      <c r="B54" s="123">
        <v>1</v>
      </c>
      <c r="C54" s="124" t="s">
        <v>29</v>
      </c>
      <c r="D54" s="125">
        <v>130</v>
      </c>
      <c r="E54" s="126" t="s">
        <v>12</v>
      </c>
      <c r="J54"/>
      <c r="K54"/>
      <c r="Q54" s="51"/>
      <c r="R54" s="15"/>
      <c r="U54"/>
      <c r="AB54" s="3"/>
      <c r="AC54"/>
      <c r="AD54" s="15"/>
      <c r="AE54" s="3"/>
      <c r="AF54" s="3"/>
      <c r="AG54" s="67"/>
      <c r="AH54" s="3"/>
      <c r="AI54" s="3"/>
      <c r="AJ54" s="3"/>
      <c r="AK54" s="84"/>
      <c r="AL54" s="3"/>
      <c r="AM54" s="3"/>
      <c r="AN54" s="67"/>
      <c r="AQ54" s="3"/>
      <c r="AR54"/>
      <c r="AU54" s="3"/>
      <c r="AV54"/>
      <c r="AZ54"/>
    </row>
    <row r="55" spans="1:60" s="3" customFormat="1" ht="15" customHeight="1" x14ac:dyDescent="0.3">
      <c r="A55" s="11"/>
      <c r="B55" s="123"/>
      <c r="C55" s="124"/>
      <c r="D55" s="125"/>
      <c r="E55" s="126"/>
      <c r="AC55"/>
      <c r="AD55" s="15"/>
      <c r="AG55" s="67"/>
      <c r="AK55" s="84"/>
      <c r="AN55" s="67"/>
      <c r="AO55"/>
      <c r="AP55"/>
      <c r="AR55"/>
      <c r="AS55"/>
      <c r="AT55"/>
      <c r="AV55"/>
      <c r="AW55"/>
      <c r="AZ55"/>
      <c r="BH55" s="112"/>
    </row>
    <row r="56" spans="1:60" s="3" customFormat="1" ht="15" customHeight="1" x14ac:dyDescent="0.3">
      <c r="A56" s="11"/>
      <c r="B56" s="12">
        <v>1</v>
      </c>
      <c r="C56" s="4" t="s">
        <v>30</v>
      </c>
      <c r="D56" s="6">
        <v>260</v>
      </c>
      <c r="E56" s="4" t="s">
        <v>12</v>
      </c>
      <c r="AC56"/>
      <c r="AD56" s="15"/>
      <c r="AG56" s="67"/>
      <c r="AK56" s="84"/>
      <c r="AN56" s="67"/>
      <c r="AO56"/>
      <c r="AP56"/>
      <c r="AR56"/>
      <c r="AS56"/>
      <c r="AT56"/>
      <c r="AV56"/>
      <c r="AW56"/>
      <c r="AZ56"/>
      <c r="BE56"/>
      <c r="BF56"/>
      <c r="BG56"/>
      <c r="BH56" s="113"/>
    </row>
    <row r="57" spans="1:60" s="3" customFormat="1" x14ac:dyDescent="0.3">
      <c r="A57" s="11"/>
      <c r="B57" s="12">
        <v>1</v>
      </c>
      <c r="C57" s="4" t="s">
        <v>261</v>
      </c>
      <c r="D57" s="6">
        <f>D54/D53</f>
        <v>1.1607142857142858</v>
      </c>
      <c r="E57" s="4" t="s">
        <v>24</v>
      </c>
      <c r="AC57"/>
      <c r="AD57" s="15"/>
      <c r="AG57" s="67"/>
      <c r="AK57" s="84"/>
      <c r="AN57" s="67"/>
      <c r="AO57"/>
      <c r="AP57"/>
      <c r="AR57"/>
      <c r="AS57"/>
      <c r="AT57"/>
      <c r="AV57"/>
      <c r="AW57"/>
      <c r="AZ57"/>
      <c r="BE57"/>
      <c r="BF57"/>
      <c r="BG57"/>
      <c r="BH57" s="113"/>
    </row>
    <row r="58" spans="1:60" s="3" customFormat="1" x14ac:dyDescent="0.3">
      <c r="A58" s="11"/>
      <c r="B58" s="12">
        <v>1</v>
      </c>
      <c r="C58" s="4" t="s">
        <v>30</v>
      </c>
      <c r="D58" s="6">
        <f>D56/D53</f>
        <v>2.3214285714285716</v>
      </c>
      <c r="E58" s="4" t="s">
        <v>24</v>
      </c>
      <c r="AC58"/>
      <c r="AD58" s="15"/>
      <c r="AG58" s="67"/>
      <c r="AK58" s="84"/>
      <c r="AN58" s="67"/>
      <c r="AO58"/>
      <c r="AP58"/>
      <c r="AR58"/>
      <c r="AS58"/>
      <c r="AT58"/>
      <c r="AV58"/>
      <c r="AW58"/>
      <c r="AZ58"/>
      <c r="BH58" s="112"/>
    </row>
    <row r="59" spans="1:60" s="3" customFormat="1" x14ac:dyDescent="0.3">
      <c r="AD59" s="15"/>
      <c r="AG59" s="67"/>
      <c r="AK59" s="84"/>
      <c r="AN59" s="67"/>
      <c r="AO59"/>
      <c r="AP59"/>
      <c r="AQ59"/>
      <c r="AS59"/>
      <c r="AT59"/>
      <c r="AU59"/>
      <c r="AW59"/>
      <c r="AX59"/>
      <c r="BH59" s="112"/>
    </row>
    <row r="60" spans="1:60" s="3" customFormat="1" x14ac:dyDescent="0.3">
      <c r="A60" s="3" t="s">
        <v>100</v>
      </c>
      <c r="B60" s="3">
        <v>1</v>
      </c>
      <c r="C60" s="62" t="s">
        <v>48</v>
      </c>
      <c r="D60" s="3">
        <v>373.33</v>
      </c>
      <c r="E60" s="4" t="s">
        <v>12</v>
      </c>
      <c r="F60" s="3">
        <f>D60/D53</f>
        <v>3.3333035714285715</v>
      </c>
      <c r="G60" s="4" t="s">
        <v>24</v>
      </c>
      <c r="AD60" s="15"/>
      <c r="AG60" s="67"/>
      <c r="AK60" s="84"/>
      <c r="AN60" s="67"/>
      <c r="AO60"/>
      <c r="AP60"/>
      <c r="AQ60"/>
      <c r="AS60"/>
      <c r="AT60"/>
      <c r="AU60"/>
      <c r="AW60"/>
      <c r="AX60"/>
      <c r="BH60" s="112"/>
    </row>
    <row r="61" spans="1:60" x14ac:dyDescent="0.3">
      <c r="A61" s="3" t="s">
        <v>167</v>
      </c>
      <c r="B61" s="3">
        <v>1</v>
      </c>
      <c r="C61" s="62" t="s">
        <v>15</v>
      </c>
      <c r="D61" s="3">
        <v>0.5</v>
      </c>
      <c r="E61" s="62" t="s">
        <v>24</v>
      </c>
      <c r="F61" s="3"/>
      <c r="G61" s="3"/>
      <c r="AD61" s="15"/>
      <c r="AE61" s="3"/>
      <c r="AF61" s="3"/>
      <c r="AG61" s="67"/>
      <c r="AH61" s="3"/>
      <c r="AI61" s="3"/>
      <c r="AJ61" s="3"/>
      <c r="AK61" s="84"/>
      <c r="AL61" s="3"/>
      <c r="AM61" s="3"/>
      <c r="AN61" s="67"/>
      <c r="BE61" s="3"/>
      <c r="BF61" s="3"/>
      <c r="BG61" s="3"/>
      <c r="BH61" s="112"/>
    </row>
    <row r="62" spans="1:60" x14ac:dyDescent="0.3">
      <c r="A62" t="s">
        <v>14</v>
      </c>
      <c r="B62">
        <v>1</v>
      </c>
      <c r="C62" s="4" t="s">
        <v>45</v>
      </c>
      <c r="D62" s="6">
        <v>1.5</v>
      </c>
      <c r="E62" s="4" t="s">
        <v>24</v>
      </c>
      <c r="G62" s="4"/>
      <c r="AD62" s="15"/>
      <c r="AE62" s="3"/>
      <c r="AF62" s="3"/>
      <c r="AG62" s="67"/>
      <c r="AH62" s="3"/>
      <c r="AI62" s="3"/>
      <c r="AJ62" s="3"/>
      <c r="AK62" s="84"/>
      <c r="AL62" s="3"/>
      <c r="AM62" s="3"/>
      <c r="AN62" s="67"/>
      <c r="BE62" s="3"/>
      <c r="BF62" s="3"/>
      <c r="BG62" s="3"/>
      <c r="BH62" s="112"/>
    </row>
    <row r="63" spans="1:60" x14ac:dyDescent="0.3">
      <c r="A63" t="s">
        <v>6</v>
      </c>
      <c r="B63">
        <v>1</v>
      </c>
      <c r="C63" s="4" t="s">
        <v>45</v>
      </c>
      <c r="D63" s="6">
        <v>1.75</v>
      </c>
      <c r="E63" s="4" t="s">
        <v>24</v>
      </c>
      <c r="G63" s="4"/>
    </row>
    <row r="64" spans="1:60" x14ac:dyDescent="0.3">
      <c r="A64" t="s">
        <v>46</v>
      </c>
      <c r="B64">
        <v>1</v>
      </c>
      <c r="C64" s="4" t="s">
        <v>45</v>
      </c>
      <c r="D64" s="6">
        <v>1.5</v>
      </c>
      <c r="E64" s="4" t="s">
        <v>24</v>
      </c>
      <c r="G64" s="4"/>
    </row>
    <row r="65" spans="1:7" x14ac:dyDescent="0.3">
      <c r="A65" t="s">
        <v>47</v>
      </c>
      <c r="B65">
        <v>1</v>
      </c>
      <c r="C65" s="4" t="s">
        <v>48</v>
      </c>
      <c r="D65" s="6">
        <v>1.26</v>
      </c>
      <c r="E65" s="4" t="s">
        <v>24</v>
      </c>
      <c r="G65" s="4"/>
    </row>
    <row r="66" spans="1:7" x14ac:dyDescent="0.3">
      <c r="A66" t="s">
        <v>49</v>
      </c>
      <c r="B66">
        <v>1</v>
      </c>
      <c r="C66" s="4" t="s">
        <v>50</v>
      </c>
      <c r="D66" s="6">
        <v>15.9</v>
      </c>
      <c r="E66" s="4" t="s">
        <v>24</v>
      </c>
      <c r="G66" s="4"/>
    </row>
    <row r="67" spans="1:7" x14ac:dyDescent="0.3">
      <c r="A67" t="s">
        <v>81</v>
      </c>
      <c r="B67">
        <v>1</v>
      </c>
      <c r="C67" s="4" t="s">
        <v>52</v>
      </c>
      <c r="D67" s="6">
        <f>439.681/D53</f>
        <v>3.9257232142857141</v>
      </c>
      <c r="E67" s="4" t="s">
        <v>24</v>
      </c>
      <c r="G67" s="4"/>
    </row>
    <row r="68" spans="1:7" x14ac:dyDescent="0.3">
      <c r="A68" t="s">
        <v>51</v>
      </c>
      <c r="B68">
        <v>1</v>
      </c>
      <c r="C68" s="4" t="s">
        <v>52</v>
      </c>
      <c r="D68" s="6">
        <v>3</v>
      </c>
      <c r="E68" s="4" t="s">
        <v>24</v>
      </c>
      <c r="G68" s="4"/>
    </row>
    <row r="69" spans="1:7" x14ac:dyDescent="0.3">
      <c r="A69" t="s">
        <v>53</v>
      </c>
      <c r="B69">
        <v>1</v>
      </c>
      <c r="C69" s="4" t="s">
        <v>52</v>
      </c>
      <c r="D69" s="6">
        <v>2.98</v>
      </c>
      <c r="E69" s="4" t="s">
        <v>24</v>
      </c>
      <c r="G69" s="4"/>
    </row>
    <row r="70" spans="1:7" ht="15" customHeight="1" x14ac:dyDescent="0.3">
      <c r="A70" t="s">
        <v>54</v>
      </c>
      <c r="B70">
        <v>1</v>
      </c>
      <c r="C70" s="4" t="s">
        <v>55</v>
      </c>
      <c r="D70" s="6">
        <v>9</v>
      </c>
      <c r="E70" s="4" t="s">
        <v>56</v>
      </c>
      <c r="G70" s="4"/>
    </row>
    <row r="71" spans="1:7" ht="15" customHeight="1" x14ac:dyDescent="0.3">
      <c r="A71" t="s">
        <v>57</v>
      </c>
      <c r="B71">
        <v>1</v>
      </c>
      <c r="C71" s="4" t="s">
        <v>58</v>
      </c>
      <c r="D71" s="6">
        <v>9</v>
      </c>
      <c r="E71" s="4" t="s">
        <v>56</v>
      </c>
      <c r="G71" s="4"/>
    </row>
    <row r="72" spans="1:7" ht="15" customHeight="1" x14ac:dyDescent="0.3">
      <c r="A72" t="s">
        <v>27</v>
      </c>
      <c r="B72">
        <v>1</v>
      </c>
      <c r="C72" s="4" t="s">
        <v>45</v>
      </c>
      <c r="D72" s="6">
        <v>1.75</v>
      </c>
      <c r="E72" s="4" t="s">
        <v>24</v>
      </c>
      <c r="G72" s="4"/>
    </row>
    <row r="73" spans="1:7" ht="15" customHeight="1" x14ac:dyDescent="0.3">
      <c r="A73" t="s">
        <v>27</v>
      </c>
      <c r="B73">
        <v>1</v>
      </c>
      <c r="C73" s="4" t="s">
        <v>48</v>
      </c>
      <c r="D73" s="6">
        <v>175</v>
      </c>
      <c r="E73" s="4" t="s">
        <v>12</v>
      </c>
      <c r="F73" s="6">
        <f>D73/D53</f>
        <v>1.5625</v>
      </c>
      <c r="G73" s="4" t="s">
        <v>24</v>
      </c>
    </row>
    <row r="74" spans="1:7" ht="15" customHeight="1" x14ac:dyDescent="0.3">
      <c r="A74" t="s">
        <v>60</v>
      </c>
      <c r="B74">
        <v>1</v>
      </c>
      <c r="C74" s="4" t="s">
        <v>61</v>
      </c>
      <c r="D74" s="6">
        <v>0.15175</v>
      </c>
      <c r="E74" s="4" t="s">
        <v>24</v>
      </c>
      <c r="F74" s="6">
        <v>16.997</v>
      </c>
      <c r="G74" s="4" t="s">
        <v>12</v>
      </c>
    </row>
    <row r="75" spans="1:7" x14ac:dyDescent="0.3">
      <c r="A75" t="s">
        <v>7</v>
      </c>
      <c r="B75">
        <v>1</v>
      </c>
      <c r="C75" s="4" t="s">
        <v>45</v>
      </c>
      <c r="D75" s="6">
        <v>1.5</v>
      </c>
      <c r="E75" s="4" t="s">
        <v>24</v>
      </c>
      <c r="G75" s="4"/>
    </row>
    <row r="76" spans="1:7" ht="15" customHeight="1" x14ac:dyDescent="0.3">
      <c r="A76" t="s">
        <v>62</v>
      </c>
      <c r="B76">
        <v>1</v>
      </c>
      <c r="C76" s="4" t="s">
        <v>45</v>
      </c>
      <c r="D76" s="6">
        <v>1.625</v>
      </c>
      <c r="E76" s="4" t="s">
        <v>24</v>
      </c>
      <c r="G76" s="4"/>
    </row>
    <row r="77" spans="1:7" x14ac:dyDescent="0.3">
      <c r="A77" t="s">
        <v>5</v>
      </c>
      <c r="B77">
        <v>1</v>
      </c>
      <c r="C77" s="4" t="s">
        <v>45</v>
      </c>
      <c r="D77" s="6">
        <v>1.5</v>
      </c>
      <c r="E77" s="4" t="s">
        <v>24</v>
      </c>
      <c r="G77" s="4"/>
    </row>
    <row r="78" spans="1:7" x14ac:dyDescent="0.3">
      <c r="A78" t="s">
        <v>63</v>
      </c>
      <c r="B78">
        <v>1</v>
      </c>
      <c r="C78" s="4" t="s">
        <v>45</v>
      </c>
      <c r="D78" s="6">
        <v>1.5</v>
      </c>
      <c r="E78" s="4" t="s">
        <v>24</v>
      </c>
      <c r="G78" s="4"/>
    </row>
    <row r="79" spans="1:7" x14ac:dyDescent="0.3">
      <c r="A79" t="s">
        <v>64</v>
      </c>
      <c r="B79">
        <v>1</v>
      </c>
      <c r="C79" s="4" t="s">
        <v>65</v>
      </c>
      <c r="D79" s="6">
        <v>18.559999999999999</v>
      </c>
      <c r="E79" s="4" t="s">
        <v>56</v>
      </c>
      <c r="G79" s="4"/>
    </row>
    <row r="80" spans="1:7" x14ac:dyDescent="0.3">
      <c r="A80" s="128" t="s">
        <v>67</v>
      </c>
      <c r="B80">
        <v>1</v>
      </c>
      <c r="C80" s="4" t="s">
        <v>68</v>
      </c>
      <c r="D80" s="6">
        <v>336</v>
      </c>
      <c r="E80" s="4" t="s">
        <v>12</v>
      </c>
      <c r="F80" s="6">
        <v>3</v>
      </c>
      <c r="G80" s="4" t="s">
        <v>171</v>
      </c>
    </row>
    <row r="81" spans="1:7" x14ac:dyDescent="0.3">
      <c r="A81" s="128"/>
      <c r="B81">
        <v>1</v>
      </c>
      <c r="C81" s="4" t="s">
        <v>181</v>
      </c>
      <c r="D81" s="6">
        <v>240</v>
      </c>
      <c r="E81" s="4" t="s">
        <v>12</v>
      </c>
      <c r="F81" s="6">
        <f>D81/D53</f>
        <v>2.1428571428571428</v>
      </c>
      <c r="G81" s="4" t="s">
        <v>171</v>
      </c>
    </row>
    <row r="82" spans="1:7" ht="15" customHeight="1" x14ac:dyDescent="0.3">
      <c r="A82" s="127" t="s">
        <v>142</v>
      </c>
      <c r="B82">
        <v>1</v>
      </c>
      <c r="C82" s="4" t="s">
        <v>170</v>
      </c>
      <c r="D82" s="6">
        <v>3.40835</v>
      </c>
      <c r="E82" s="4" t="s">
        <v>45</v>
      </c>
      <c r="F82" s="6">
        <f>D82*D83/D53</f>
        <v>5.9646125000000003</v>
      </c>
      <c r="G82" s="4" t="s">
        <v>171</v>
      </c>
    </row>
    <row r="83" spans="1:7" x14ac:dyDescent="0.3">
      <c r="A83" s="127"/>
      <c r="B83">
        <v>1</v>
      </c>
      <c r="C83" s="4" t="s">
        <v>45</v>
      </c>
      <c r="D83" s="64">
        <v>196</v>
      </c>
      <c r="E83" s="4" t="s">
        <v>12</v>
      </c>
      <c r="F83" s="6"/>
      <c r="G83" s="3"/>
    </row>
    <row r="84" spans="1:7" x14ac:dyDescent="0.3">
      <c r="A84" s="127" t="s">
        <v>73</v>
      </c>
      <c r="B84">
        <v>1</v>
      </c>
      <c r="C84" s="4" t="s">
        <v>172</v>
      </c>
      <c r="D84" s="64">
        <v>1</v>
      </c>
      <c r="E84" s="4" t="s">
        <v>52</v>
      </c>
      <c r="F84" s="6">
        <f>F85</f>
        <v>3.0446428571428572</v>
      </c>
      <c r="G84" s="4" t="s">
        <v>171</v>
      </c>
    </row>
    <row r="85" spans="1:7" x14ac:dyDescent="0.3">
      <c r="A85" s="127"/>
      <c r="B85">
        <v>1</v>
      </c>
      <c r="C85" s="4" t="s">
        <v>52</v>
      </c>
      <c r="D85" s="64">
        <f>(355+327)/2</f>
        <v>341</v>
      </c>
      <c r="E85" s="4" t="s">
        <v>12</v>
      </c>
      <c r="F85" s="6">
        <f>D85/D53</f>
        <v>3.0446428571428572</v>
      </c>
      <c r="G85" s="4" t="s">
        <v>171</v>
      </c>
    </row>
    <row r="86" spans="1:7" x14ac:dyDescent="0.3">
      <c r="A86" s="127"/>
      <c r="B86">
        <v>1</v>
      </c>
      <c r="C86" s="62" t="s">
        <v>173</v>
      </c>
      <c r="D86" s="64">
        <f>(2.2+2.5)/2</f>
        <v>2.35</v>
      </c>
      <c r="E86" s="4" t="s">
        <v>12</v>
      </c>
      <c r="F86" s="6">
        <f>D86/D53</f>
        <v>2.0982142857142859E-2</v>
      </c>
      <c r="G86" s="4" t="s">
        <v>171</v>
      </c>
    </row>
    <row r="87" spans="1:7" x14ac:dyDescent="0.3">
      <c r="A87" s="127" t="s">
        <v>47</v>
      </c>
      <c r="B87">
        <v>1</v>
      </c>
      <c r="C87" s="62" t="s">
        <v>48</v>
      </c>
      <c r="D87" s="64">
        <v>140.63</v>
      </c>
      <c r="E87" s="4" t="s">
        <v>12</v>
      </c>
      <c r="F87" s="6">
        <f>D87/D53</f>
        <v>1.255625</v>
      </c>
      <c r="G87" s="4" t="s">
        <v>171</v>
      </c>
    </row>
    <row r="88" spans="1:7" x14ac:dyDescent="0.3">
      <c r="A88" s="127"/>
      <c r="B88">
        <v>1</v>
      </c>
      <c r="C88" s="62" t="s">
        <v>174</v>
      </c>
      <c r="D88" s="64">
        <v>0.91576999999999997</v>
      </c>
      <c r="E88" s="4" t="s">
        <v>48</v>
      </c>
      <c r="F88" s="6">
        <f>F87*D88</f>
        <v>1.1498637062499999</v>
      </c>
      <c r="G88" s="4" t="s">
        <v>171</v>
      </c>
    </row>
    <row r="89" spans="1:7" x14ac:dyDescent="0.3">
      <c r="A89" s="127" t="s">
        <v>88</v>
      </c>
      <c r="B89" s="3">
        <v>1</v>
      </c>
      <c r="C89" s="62" t="s">
        <v>52</v>
      </c>
      <c r="D89" s="64">
        <v>2.37609</v>
      </c>
      <c r="E89" s="62" t="s">
        <v>45</v>
      </c>
      <c r="F89" s="6">
        <f>D89*D90</f>
        <v>4.1366063637000003</v>
      </c>
      <c r="G89" s="4" t="s">
        <v>171</v>
      </c>
    </row>
    <row r="90" spans="1:7" x14ac:dyDescent="0.3">
      <c r="A90" s="127"/>
      <c r="B90">
        <v>1</v>
      </c>
      <c r="C90" s="62" t="s">
        <v>45</v>
      </c>
      <c r="D90" s="64">
        <v>1.7409300000000001</v>
      </c>
      <c r="E90" s="4" t="s">
        <v>24</v>
      </c>
      <c r="F90" s="6"/>
      <c r="G90" s="4"/>
    </row>
    <row r="91" spans="1:7" x14ac:dyDescent="0.3">
      <c r="A91" s="3" t="s">
        <v>179</v>
      </c>
      <c r="B91">
        <v>1</v>
      </c>
      <c r="C91" s="62" t="s">
        <v>52</v>
      </c>
      <c r="D91" s="64">
        <v>242</v>
      </c>
      <c r="E91" s="4" t="s">
        <v>12</v>
      </c>
      <c r="F91" s="6">
        <f>D91/D53</f>
        <v>2.1607142857142856</v>
      </c>
      <c r="G91" s="4" t="s">
        <v>171</v>
      </c>
    </row>
    <row r="92" spans="1:7" x14ac:dyDescent="0.3">
      <c r="A92" s="3" t="s">
        <v>180</v>
      </c>
      <c r="B92">
        <v>1</v>
      </c>
      <c r="C92" s="62" t="s">
        <v>176</v>
      </c>
      <c r="D92" s="64">
        <v>294</v>
      </c>
      <c r="E92" s="4" t="s">
        <v>12</v>
      </c>
      <c r="F92" s="6">
        <f>D92/D53</f>
        <v>2.625</v>
      </c>
      <c r="G92" s="4" t="s">
        <v>171</v>
      </c>
    </row>
    <row r="93" spans="1:7" x14ac:dyDescent="0.3">
      <c r="A93" s="3" t="s">
        <v>18</v>
      </c>
      <c r="B93">
        <v>1</v>
      </c>
      <c r="C93" s="62" t="s">
        <v>48</v>
      </c>
      <c r="D93" s="6">
        <v>0.88400000000000001</v>
      </c>
      <c r="E93" s="62" t="s">
        <v>171</v>
      </c>
    </row>
    <row r="94" spans="1:7" x14ac:dyDescent="0.3">
      <c r="A94" s="3" t="s">
        <v>22</v>
      </c>
      <c r="B94">
        <v>1</v>
      </c>
      <c r="C94" s="62" t="s">
        <v>45</v>
      </c>
      <c r="D94" s="64">
        <v>149</v>
      </c>
      <c r="E94" s="4" t="s">
        <v>12</v>
      </c>
      <c r="F94" s="6">
        <f>D94/D53</f>
        <v>1.3303571428571428</v>
      </c>
      <c r="G94" s="4" t="s">
        <v>171</v>
      </c>
    </row>
    <row r="95" spans="1:7" x14ac:dyDescent="0.3">
      <c r="A95" s="3" t="s">
        <v>64</v>
      </c>
      <c r="B95">
        <v>1</v>
      </c>
      <c r="C95" s="62" t="s">
        <v>48</v>
      </c>
      <c r="D95" s="64">
        <v>164</v>
      </c>
      <c r="E95" s="4" t="s">
        <v>12</v>
      </c>
      <c r="F95" s="6">
        <f>D95/D53</f>
        <v>1.4642857142857142</v>
      </c>
      <c r="G95" s="4" t="s">
        <v>171</v>
      </c>
    </row>
    <row r="96" spans="1:7" x14ac:dyDescent="0.3">
      <c r="A96" s="127" t="s">
        <v>97</v>
      </c>
      <c r="B96">
        <v>1</v>
      </c>
      <c r="C96" s="62" t="s">
        <v>176</v>
      </c>
      <c r="D96" s="64">
        <v>2.0271699999999999</v>
      </c>
      <c r="E96" s="4" t="s">
        <v>52</v>
      </c>
      <c r="F96" s="6">
        <f>D97*D96/D53</f>
        <v>6.0815099999999997</v>
      </c>
      <c r="G96" s="62" t="s">
        <v>171</v>
      </c>
    </row>
    <row r="97" spans="1:13" x14ac:dyDescent="0.3">
      <c r="A97" s="127"/>
      <c r="B97">
        <v>1</v>
      </c>
      <c r="C97" s="62" t="s">
        <v>52</v>
      </c>
      <c r="D97" s="64">
        <v>336</v>
      </c>
      <c r="E97" s="4" t="s">
        <v>12</v>
      </c>
      <c r="F97" s="6">
        <f>D97/D53</f>
        <v>3</v>
      </c>
      <c r="G97" s="62" t="s">
        <v>171</v>
      </c>
    </row>
    <row r="98" spans="1:13" x14ac:dyDescent="0.3">
      <c r="A98" s="67" t="s">
        <v>124</v>
      </c>
      <c r="B98">
        <v>1</v>
      </c>
      <c r="C98" s="62" t="s">
        <v>52</v>
      </c>
      <c r="D98" s="64">
        <v>336</v>
      </c>
      <c r="E98" s="4" t="s">
        <v>12</v>
      </c>
      <c r="F98" s="6">
        <f>D98/D53</f>
        <v>3</v>
      </c>
      <c r="G98" s="62" t="s">
        <v>171</v>
      </c>
    </row>
    <row r="99" spans="1:13" ht="15" customHeight="1" x14ac:dyDescent="0.3">
      <c r="A99" s="67" t="s">
        <v>177</v>
      </c>
      <c r="B99">
        <v>1</v>
      </c>
      <c r="C99" s="62" t="s">
        <v>48</v>
      </c>
      <c r="D99" s="64">
        <v>746.66700000000003</v>
      </c>
      <c r="E99" s="4" t="s">
        <v>12</v>
      </c>
      <c r="F99" s="6">
        <f>D99/D53</f>
        <v>6.6666696428571433</v>
      </c>
      <c r="G99" s="62" t="s">
        <v>171</v>
      </c>
    </row>
    <row r="100" spans="1:13" ht="15" customHeight="1" x14ac:dyDescent="0.3">
      <c r="A100" s="5" t="s">
        <v>20</v>
      </c>
      <c r="B100">
        <v>1</v>
      </c>
      <c r="C100" s="62" t="s">
        <v>174</v>
      </c>
      <c r="D100" s="64">
        <v>260</v>
      </c>
      <c r="E100" s="4" t="s">
        <v>12</v>
      </c>
      <c r="F100" s="6">
        <f>D100/D53</f>
        <v>2.3214285714285716</v>
      </c>
      <c r="G100" s="62" t="s">
        <v>171</v>
      </c>
    </row>
    <row r="102" spans="1:13" x14ac:dyDescent="0.3">
      <c r="A102" s="10" t="s">
        <v>44</v>
      </c>
      <c r="B102" s="3"/>
      <c r="C102" s="3"/>
      <c r="D102" s="3"/>
      <c r="E102" s="3"/>
    </row>
    <row r="103" spans="1:13" x14ac:dyDescent="0.3">
      <c r="A103" s="3">
        <v>1887</v>
      </c>
      <c r="B103" s="3">
        <v>1</v>
      </c>
      <c r="C103" s="62" t="s">
        <v>182</v>
      </c>
      <c r="D103" s="68">
        <v>13.661538461538461</v>
      </c>
      <c r="E103" s="62" t="s">
        <v>183</v>
      </c>
    </row>
    <row r="104" spans="1:13" x14ac:dyDescent="0.3">
      <c r="A104" s="3">
        <v>1888</v>
      </c>
      <c r="B104" s="3">
        <v>1</v>
      </c>
      <c r="C104" s="62" t="s">
        <v>182</v>
      </c>
      <c r="D104" s="68">
        <v>14.239067055393583</v>
      </c>
      <c r="E104" s="62" t="s">
        <v>183</v>
      </c>
    </row>
    <row r="105" spans="1:13" x14ac:dyDescent="0.3">
      <c r="A105" s="3">
        <v>1889</v>
      </c>
      <c r="B105" s="3">
        <v>1</v>
      </c>
      <c r="C105" s="62" t="s">
        <v>182</v>
      </c>
      <c r="D105" s="68">
        <v>14.301610541727671</v>
      </c>
      <c r="E105" s="62" t="s">
        <v>183</v>
      </c>
    </row>
    <row r="106" spans="1:13" x14ac:dyDescent="0.3">
      <c r="A106" s="3">
        <v>1890</v>
      </c>
      <c r="B106" s="3">
        <v>1</v>
      </c>
      <c r="C106" s="62" t="s">
        <v>182</v>
      </c>
      <c r="D106" s="68">
        <v>12.785340314136127</v>
      </c>
      <c r="E106" s="62" t="s">
        <v>183</v>
      </c>
    </row>
    <row r="107" spans="1:13" x14ac:dyDescent="0.3">
      <c r="A107" s="3">
        <v>1891</v>
      </c>
      <c r="B107" s="3">
        <v>1</v>
      </c>
      <c r="C107" s="62" t="s">
        <v>182</v>
      </c>
      <c r="D107" s="68">
        <v>13.547850208044382</v>
      </c>
      <c r="E107" s="62" t="s">
        <v>183</v>
      </c>
    </row>
    <row r="108" spans="1:13" x14ac:dyDescent="0.3">
      <c r="A108" s="3">
        <v>1892</v>
      </c>
      <c r="B108" s="3">
        <v>1</v>
      </c>
      <c r="C108" s="62" t="s">
        <v>182</v>
      </c>
      <c r="D108" s="68">
        <v>15.358490566037736</v>
      </c>
      <c r="E108" s="62" t="s">
        <v>183</v>
      </c>
    </row>
    <row r="109" spans="1:13" x14ac:dyDescent="0.3">
      <c r="A109" s="3">
        <v>1893</v>
      </c>
      <c r="B109" s="3">
        <v>1</v>
      </c>
      <c r="C109" s="62" t="s">
        <v>182</v>
      </c>
      <c r="D109" s="68">
        <v>15.974930361794915</v>
      </c>
      <c r="E109" s="62" t="s">
        <v>183</v>
      </c>
    </row>
    <row r="110" spans="1:13" x14ac:dyDescent="0.3">
      <c r="A110" s="3">
        <v>1894</v>
      </c>
      <c r="B110" s="3">
        <v>1</v>
      </c>
      <c r="C110" s="62" t="s">
        <v>182</v>
      </c>
      <c r="D110" s="68">
        <v>19.978401728261339</v>
      </c>
      <c r="E110" s="62" t="s">
        <v>183</v>
      </c>
    </row>
    <row r="111" spans="1:13" x14ac:dyDescent="0.3">
      <c r="A111" s="3">
        <v>1895</v>
      </c>
      <c r="B111" s="3">
        <v>1</v>
      </c>
      <c r="C111" s="62" t="s">
        <v>182</v>
      </c>
      <c r="D111" s="68">
        <v>19.857442348047169</v>
      </c>
      <c r="E111" s="62" t="s">
        <v>183</v>
      </c>
    </row>
    <row r="112" spans="1:13" x14ac:dyDescent="0.3">
      <c r="A112" s="3">
        <v>1896</v>
      </c>
      <c r="B112" s="3">
        <v>1</v>
      </c>
      <c r="C112" s="62" t="s">
        <v>182</v>
      </c>
      <c r="D112" s="68">
        <v>17.411764705919879</v>
      </c>
      <c r="E112" s="62" t="s">
        <v>183</v>
      </c>
      <c r="M112" s="3"/>
    </row>
    <row r="113" spans="1:14" x14ac:dyDescent="0.3">
      <c r="A113" s="3">
        <v>1897</v>
      </c>
      <c r="B113" s="3">
        <v>1</v>
      </c>
      <c r="C113" s="62" t="s">
        <v>182</v>
      </c>
      <c r="D113" s="68">
        <v>16.276643990510202</v>
      </c>
      <c r="E113" s="62" t="s">
        <v>183</v>
      </c>
      <c r="N113" s="3"/>
    </row>
    <row r="114" spans="1:14" x14ac:dyDescent="0.3">
      <c r="A114" s="3">
        <v>1898</v>
      </c>
      <c r="B114" s="3">
        <v>1</v>
      </c>
      <c r="C114" s="62" t="s">
        <v>182</v>
      </c>
      <c r="D114" s="68">
        <v>16.482598607888633</v>
      </c>
      <c r="E114" s="62" t="s">
        <v>183</v>
      </c>
    </row>
    <row r="115" spans="1:14" x14ac:dyDescent="0.3">
      <c r="A115" s="3">
        <v>1899</v>
      </c>
      <c r="B115" s="3">
        <v>1</v>
      </c>
      <c r="C115" s="62" t="s">
        <v>182</v>
      </c>
      <c r="D115" s="68">
        <v>16.097949886062644</v>
      </c>
      <c r="E115" s="62" t="s">
        <v>183</v>
      </c>
    </row>
    <row r="116" spans="1:14" x14ac:dyDescent="0.3">
      <c r="A116" s="3">
        <v>1900</v>
      </c>
      <c r="B116" s="3">
        <v>1</v>
      </c>
      <c r="C116" s="62" t="s">
        <v>182</v>
      </c>
      <c r="D116" s="68">
        <v>16.335540838443706</v>
      </c>
      <c r="E116" s="62" t="s">
        <v>183</v>
      </c>
    </row>
    <row r="117" spans="1:14" x14ac:dyDescent="0.3">
      <c r="A117" s="3">
        <v>1901</v>
      </c>
      <c r="B117" s="3">
        <v>1</v>
      </c>
      <c r="C117" s="62" t="s">
        <v>182</v>
      </c>
      <c r="D117" s="68">
        <v>15.650574712647931</v>
      </c>
      <c r="E117" s="62" t="s">
        <v>183</v>
      </c>
    </row>
    <row r="118" spans="1:14" x14ac:dyDescent="0.3">
      <c r="A118" s="3">
        <v>1902</v>
      </c>
      <c r="B118" s="3">
        <v>1</v>
      </c>
      <c r="C118" s="62" t="s">
        <v>182</v>
      </c>
      <c r="D118" s="68">
        <v>16.145454545454548</v>
      </c>
      <c r="E118" s="62" t="s">
        <v>183</v>
      </c>
    </row>
    <row r="119" spans="1:14" x14ac:dyDescent="0.3">
      <c r="A119" s="3">
        <v>1903</v>
      </c>
      <c r="B119" s="3">
        <v>1</v>
      </c>
      <c r="C119" s="62" t="s">
        <v>182</v>
      </c>
      <c r="D119" s="68">
        <v>17.191919191923866</v>
      </c>
      <c r="E119" s="62" t="s">
        <v>183</v>
      </c>
    </row>
    <row r="120" spans="1:14" x14ac:dyDescent="0.3">
      <c r="A120" s="3">
        <v>1904</v>
      </c>
      <c r="B120" s="3">
        <v>1</v>
      </c>
      <c r="C120" s="62" t="s">
        <v>182</v>
      </c>
      <c r="D120" s="68">
        <v>16.463905325399999</v>
      </c>
      <c r="E120" s="62" t="s">
        <v>183</v>
      </c>
    </row>
    <row r="121" spans="1:14" x14ac:dyDescent="0.3">
      <c r="A121" s="3">
        <v>1905</v>
      </c>
      <c r="B121" s="3">
        <v>1</v>
      </c>
      <c r="C121" s="62" t="s">
        <v>182</v>
      </c>
      <c r="D121" s="68">
        <v>16.610549943841754</v>
      </c>
      <c r="E121" s="62" t="s">
        <v>183</v>
      </c>
    </row>
    <row r="122" spans="1:14" x14ac:dyDescent="0.3">
      <c r="A122" s="3">
        <v>1906</v>
      </c>
      <c r="B122" s="3">
        <v>1</v>
      </c>
      <c r="C122" s="62" t="s">
        <v>182</v>
      </c>
      <c r="D122" s="68">
        <v>16.477732793559714</v>
      </c>
      <c r="E122" s="62" t="s">
        <v>183</v>
      </c>
    </row>
    <row r="123" spans="1:14" x14ac:dyDescent="0.3">
      <c r="A123" s="3">
        <v>1907</v>
      </c>
      <c r="B123" s="3">
        <v>1</v>
      </c>
      <c r="C123" s="62" t="s">
        <v>182</v>
      </c>
      <c r="D123" s="68">
        <v>15.320910972701864</v>
      </c>
      <c r="E123" s="62" t="s">
        <v>183</v>
      </c>
    </row>
    <row r="124" spans="1:14" x14ac:dyDescent="0.3">
      <c r="A124" s="3">
        <v>1908</v>
      </c>
      <c r="B124" s="3">
        <v>1</v>
      </c>
      <c r="C124" s="62" t="s">
        <v>182</v>
      </c>
      <c r="D124" s="68">
        <v>16.297055057665812</v>
      </c>
      <c r="E124" s="62" t="s">
        <v>183</v>
      </c>
    </row>
    <row r="125" spans="1:14" x14ac:dyDescent="0.3">
      <c r="A125" s="3">
        <v>1909</v>
      </c>
      <c r="B125" s="3">
        <v>1</v>
      </c>
      <c r="C125" s="62" t="s">
        <v>182</v>
      </c>
      <c r="D125" s="68">
        <v>16.379446640316207</v>
      </c>
      <c r="E125" s="62" t="s">
        <v>183</v>
      </c>
    </row>
    <row r="126" spans="1:14" x14ac:dyDescent="0.3">
      <c r="A126" s="3">
        <v>1910</v>
      </c>
      <c r="B126" s="3">
        <v>1</v>
      </c>
      <c r="C126" s="62" t="s">
        <v>182</v>
      </c>
      <c r="D126" s="68">
        <v>18.382763038022816</v>
      </c>
      <c r="E126" s="62" t="s">
        <v>183</v>
      </c>
    </row>
    <row r="127" spans="1:14" x14ac:dyDescent="0.3">
      <c r="A127" s="3">
        <v>1911</v>
      </c>
      <c r="B127" s="3">
        <v>1</v>
      </c>
      <c r="C127" s="62" t="s">
        <v>182</v>
      </c>
      <c r="D127" s="68">
        <v>17.677255400207116</v>
      </c>
      <c r="E127" s="62" t="s">
        <v>183</v>
      </c>
    </row>
    <row r="128" spans="1:14" x14ac:dyDescent="0.3">
      <c r="A128" s="3">
        <v>1912</v>
      </c>
      <c r="B128" s="3">
        <v>1</v>
      </c>
      <c r="C128" s="62" t="s">
        <v>182</v>
      </c>
      <c r="D128" s="68">
        <v>17.881959910954343</v>
      </c>
      <c r="E128" s="62" t="s">
        <v>183</v>
      </c>
    </row>
    <row r="129" spans="1:5" x14ac:dyDescent="0.3">
      <c r="A129" s="3">
        <v>1913</v>
      </c>
      <c r="B129" s="3">
        <v>1</v>
      </c>
      <c r="C129" s="62" t="s">
        <v>182</v>
      </c>
      <c r="D129" s="68">
        <v>17.451247165537076</v>
      </c>
      <c r="E129" s="62" t="s">
        <v>183</v>
      </c>
    </row>
  </sheetData>
  <mergeCells count="26">
    <mergeCell ref="BF2:BH2"/>
    <mergeCell ref="AD2:AD3"/>
    <mergeCell ref="AE2:AG2"/>
    <mergeCell ref="AI2:AK2"/>
    <mergeCell ref="AL2:AN2"/>
    <mergeCell ref="A96:A97"/>
    <mergeCell ref="H2:J2"/>
    <mergeCell ref="L2:N2"/>
    <mergeCell ref="P2:R2"/>
    <mergeCell ref="T2:V2"/>
    <mergeCell ref="A80:A81"/>
    <mergeCell ref="A82:A83"/>
    <mergeCell ref="A84:A86"/>
    <mergeCell ref="A87:A88"/>
    <mergeCell ref="A89:A90"/>
    <mergeCell ref="X2:Z2"/>
    <mergeCell ref="B54:B55"/>
    <mergeCell ref="C54:C55"/>
    <mergeCell ref="D54:D55"/>
    <mergeCell ref="E54:E55"/>
    <mergeCell ref="D2:F2"/>
    <mergeCell ref="AA2:AC2"/>
    <mergeCell ref="AP2:AR2"/>
    <mergeCell ref="AT2:AV2"/>
    <mergeCell ref="AX2:AZ2"/>
    <mergeCell ref="BB2:BD2"/>
  </mergeCells>
  <pageMargins left="0.7" right="0.7" top="0.75" bottom="0.75" header="0.3" footer="0.3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I242"/>
  <sheetViews>
    <sheetView zoomScale="60" zoomScaleNormal="60" workbookViewId="0">
      <pane xSplit="1" ySplit="3" topLeftCell="X4" activePane="bottomRight" state="frozen"/>
      <selection pane="topRight" activeCell="B1" sqref="B1"/>
      <selection pane="bottomLeft" activeCell="A4" sqref="A4"/>
      <selection pane="bottomRight" activeCell="A2" sqref="A2"/>
    </sheetView>
  </sheetViews>
  <sheetFormatPr defaultColWidth="18.21875" defaultRowHeight="14.4" x14ac:dyDescent="0.3"/>
  <cols>
    <col min="1" max="1" width="27.109375" style="5" customWidth="1"/>
    <col min="2" max="2" width="18.21875" style="15"/>
    <col min="5" max="6" width="18.21875" style="15"/>
    <col min="9" max="9" width="18.21875" style="15"/>
    <col min="10" max="10" width="13.77734375" style="15" customWidth="1"/>
    <col min="12" max="12" width="18.21875" style="15"/>
    <col min="15" max="15" width="18.21875" style="15"/>
    <col min="18" max="18" width="13.77734375" style="15" customWidth="1"/>
    <col min="19" max="19" width="10.109375" style="15" customWidth="1"/>
    <col min="20" max="20" width="17.21875" style="15" customWidth="1"/>
    <col min="21" max="21" width="16.44140625" style="15" customWidth="1"/>
    <col min="24" max="24" width="18.21875" style="15"/>
    <col min="27" max="27" width="18.21875" style="15"/>
    <col min="30" max="30" width="12.109375" style="93" customWidth="1"/>
    <col min="31" max="34" width="11.88671875" customWidth="1"/>
    <col min="35" max="35" width="17.21875" bestFit="1" customWidth="1"/>
    <col min="36" max="38" width="11.88671875" customWidth="1"/>
    <col min="39" max="39" width="16.5546875" customWidth="1"/>
    <col min="40" max="41" width="11.88671875" customWidth="1"/>
    <col min="42" max="42" width="18.21875" style="15"/>
    <col min="46" max="46" width="18.21875" style="15"/>
    <col min="50" max="50" width="18.21875" style="15"/>
    <col min="54" max="54" width="18.21875" style="15"/>
    <col min="57" max="57" width="18.21875" style="15"/>
    <col min="58" max="58" width="12.77734375" style="15" customWidth="1"/>
    <col min="60" max="60" width="16.5546875" bestFit="1" customWidth="1"/>
    <col min="61" max="61" width="18.21875" style="15"/>
  </cols>
  <sheetData>
    <row r="1" spans="1:61" ht="14.4" hidden="1" customHeight="1" x14ac:dyDescent="0.3">
      <c r="B1"/>
      <c r="E1"/>
      <c r="F1"/>
      <c r="I1"/>
      <c r="L1"/>
      <c r="O1"/>
      <c r="X1"/>
      <c r="AA1"/>
      <c r="AD1" s="90"/>
      <c r="AP1"/>
      <c r="AT1"/>
      <c r="AX1"/>
      <c r="BB1"/>
      <c r="BE1"/>
      <c r="BF1"/>
      <c r="BI1"/>
    </row>
    <row r="2" spans="1:61" s="7" customFormat="1" ht="15.6" customHeight="1" x14ac:dyDescent="0.3">
      <c r="A2" s="45"/>
      <c r="B2" s="55"/>
      <c r="C2" s="130" t="s">
        <v>1</v>
      </c>
      <c r="D2" s="122" t="s">
        <v>140</v>
      </c>
      <c r="E2" s="122"/>
      <c r="F2" s="122"/>
      <c r="G2" s="130" t="s">
        <v>1</v>
      </c>
      <c r="H2" s="122" t="s">
        <v>139</v>
      </c>
      <c r="I2" s="122"/>
      <c r="J2" s="122"/>
      <c r="K2" s="130" t="s">
        <v>1</v>
      </c>
      <c r="L2" s="122" t="s">
        <v>146</v>
      </c>
      <c r="M2" s="122"/>
      <c r="N2" s="122"/>
      <c r="O2" s="130" t="s">
        <v>1</v>
      </c>
      <c r="P2" s="122" t="s">
        <v>148</v>
      </c>
      <c r="Q2" s="122"/>
      <c r="R2" s="122"/>
      <c r="S2" s="130" t="s">
        <v>1</v>
      </c>
      <c r="T2" s="122" t="s">
        <v>151</v>
      </c>
      <c r="U2" s="122"/>
      <c r="V2" s="122"/>
      <c r="W2" s="130" t="s">
        <v>1</v>
      </c>
      <c r="X2" s="122" t="s">
        <v>42</v>
      </c>
      <c r="Y2" s="122"/>
      <c r="Z2" s="122"/>
      <c r="AA2" s="122" t="s">
        <v>92</v>
      </c>
      <c r="AB2" s="122"/>
      <c r="AC2" s="122"/>
      <c r="AD2" s="131" t="s">
        <v>1</v>
      </c>
      <c r="AE2" s="122" t="s">
        <v>241</v>
      </c>
      <c r="AF2" s="122"/>
      <c r="AG2" s="122"/>
      <c r="AH2" s="131" t="s">
        <v>1</v>
      </c>
      <c r="AI2" s="122" t="s">
        <v>242</v>
      </c>
      <c r="AJ2" s="122"/>
      <c r="AK2" s="122"/>
      <c r="AL2" s="131" t="s">
        <v>1</v>
      </c>
      <c r="AM2" s="122" t="s">
        <v>243</v>
      </c>
      <c r="AN2" s="122"/>
      <c r="AO2" s="122"/>
      <c r="AP2" s="11"/>
      <c r="AQ2" s="122" t="s">
        <v>156</v>
      </c>
      <c r="AR2" s="122"/>
      <c r="AS2" s="122"/>
      <c r="AT2" s="11"/>
      <c r="AU2" s="122" t="s">
        <v>157</v>
      </c>
      <c r="AV2" s="122"/>
      <c r="AW2" s="122"/>
      <c r="AX2" s="11"/>
      <c r="AY2" s="122" t="s">
        <v>158</v>
      </c>
      <c r="AZ2" s="122"/>
      <c r="BA2" s="122"/>
      <c r="BB2" s="11"/>
      <c r="BC2" s="122" t="s">
        <v>159</v>
      </c>
      <c r="BD2" s="122"/>
      <c r="BE2" s="122"/>
      <c r="BF2" s="11"/>
      <c r="BG2" s="122" t="s">
        <v>237</v>
      </c>
      <c r="BH2" s="122"/>
      <c r="BI2" s="122"/>
    </row>
    <row r="3" spans="1:61" s="7" customFormat="1" ht="15.6" x14ac:dyDescent="0.3">
      <c r="A3" s="13" t="s">
        <v>0</v>
      </c>
      <c r="B3" s="53" t="s">
        <v>194</v>
      </c>
      <c r="C3" s="130"/>
      <c r="D3" s="8" t="s">
        <v>2</v>
      </c>
      <c r="E3" s="9" t="s">
        <v>169</v>
      </c>
      <c r="F3" s="9" t="s">
        <v>9</v>
      </c>
      <c r="G3" s="130"/>
      <c r="H3" s="8" t="s">
        <v>2</v>
      </c>
      <c r="I3" s="9" t="s">
        <v>169</v>
      </c>
      <c r="J3" s="9" t="s">
        <v>9</v>
      </c>
      <c r="K3" s="130"/>
      <c r="L3" s="8" t="s">
        <v>2</v>
      </c>
      <c r="M3" s="9" t="s">
        <v>169</v>
      </c>
      <c r="N3" s="9" t="s">
        <v>9</v>
      </c>
      <c r="O3" s="130"/>
      <c r="P3" s="8" t="s">
        <v>2</v>
      </c>
      <c r="Q3" s="9" t="s">
        <v>169</v>
      </c>
      <c r="R3" s="9" t="s">
        <v>9</v>
      </c>
      <c r="S3" s="130"/>
      <c r="T3" s="9" t="s">
        <v>2</v>
      </c>
      <c r="U3" s="9" t="s">
        <v>169</v>
      </c>
      <c r="V3" s="9" t="s">
        <v>9</v>
      </c>
      <c r="W3" s="130"/>
      <c r="X3" s="8" t="s">
        <v>2</v>
      </c>
      <c r="Y3" s="9" t="s">
        <v>8</v>
      </c>
      <c r="Z3" s="9" t="s">
        <v>9</v>
      </c>
      <c r="AA3" s="8" t="s">
        <v>2</v>
      </c>
      <c r="AB3" s="9" t="s">
        <v>8</v>
      </c>
      <c r="AC3" s="9" t="s">
        <v>9</v>
      </c>
      <c r="AD3" s="131"/>
      <c r="AE3" s="8" t="s">
        <v>2</v>
      </c>
      <c r="AF3" s="9" t="s">
        <v>8</v>
      </c>
      <c r="AG3" s="9" t="s">
        <v>9</v>
      </c>
      <c r="AH3" s="131"/>
      <c r="AI3" s="8" t="s">
        <v>2</v>
      </c>
      <c r="AJ3" s="9" t="s">
        <v>8</v>
      </c>
      <c r="AK3" s="9" t="s">
        <v>9</v>
      </c>
      <c r="AL3" s="131"/>
      <c r="AM3" s="8" t="s">
        <v>2</v>
      </c>
      <c r="AN3" s="9" t="s">
        <v>8</v>
      </c>
      <c r="AO3" s="9" t="s">
        <v>9</v>
      </c>
      <c r="AP3" s="52" t="s">
        <v>1</v>
      </c>
      <c r="AQ3" s="8" t="s">
        <v>2</v>
      </c>
      <c r="AR3" s="9" t="s">
        <v>169</v>
      </c>
      <c r="AS3" s="9" t="s">
        <v>9</v>
      </c>
      <c r="AT3" s="52" t="s">
        <v>1</v>
      </c>
      <c r="AU3" s="8" t="s">
        <v>2</v>
      </c>
      <c r="AV3" s="9" t="s">
        <v>169</v>
      </c>
      <c r="AW3" s="9" t="s">
        <v>9</v>
      </c>
      <c r="AX3" s="52" t="s">
        <v>1</v>
      </c>
      <c r="AY3" s="8" t="s">
        <v>2</v>
      </c>
      <c r="AZ3" s="9" t="s">
        <v>169</v>
      </c>
      <c r="BA3" s="9" t="s">
        <v>9</v>
      </c>
      <c r="BB3" s="52" t="s">
        <v>1</v>
      </c>
      <c r="BC3" s="8" t="s">
        <v>2</v>
      </c>
      <c r="BD3" s="9" t="s">
        <v>169</v>
      </c>
      <c r="BE3" s="9" t="s">
        <v>9</v>
      </c>
      <c r="BF3" s="52" t="s">
        <v>1</v>
      </c>
      <c r="BG3" s="8" t="s">
        <v>2</v>
      </c>
      <c r="BH3" s="9" t="s">
        <v>8</v>
      </c>
      <c r="BI3" s="9" t="s">
        <v>9</v>
      </c>
    </row>
    <row r="4" spans="1:61" s="3" customFormat="1" x14ac:dyDescent="0.3">
      <c r="A4" s="55" t="s">
        <v>77</v>
      </c>
      <c r="B4" s="55" t="s">
        <v>205</v>
      </c>
      <c r="C4" s="11" t="s">
        <v>135</v>
      </c>
      <c r="D4" s="44"/>
      <c r="E4" s="44"/>
      <c r="F4" s="69" t="str">
        <f>IFERROR(E4/$D$84/D4,"")</f>
        <v/>
      </c>
      <c r="G4" s="11" t="s">
        <v>70</v>
      </c>
      <c r="H4" s="44"/>
      <c r="I4" s="44"/>
      <c r="J4" s="69" t="str">
        <f>IFERROR(I4/$D$85/H4,"")</f>
        <v/>
      </c>
      <c r="K4" s="44" t="s">
        <v>70</v>
      </c>
      <c r="L4" s="44"/>
      <c r="M4" s="44"/>
      <c r="N4" s="69" t="str">
        <f>IFERROR(M4/$D$86/L4,"")</f>
        <v/>
      </c>
      <c r="O4" s="11" t="s">
        <v>70</v>
      </c>
      <c r="P4" s="44"/>
      <c r="Q4" s="44"/>
      <c r="R4" s="69" t="str">
        <f>IFERROR(Q4/$D$87/P4,"")</f>
        <v/>
      </c>
      <c r="S4" s="44" t="s">
        <v>70</v>
      </c>
      <c r="T4" s="44"/>
      <c r="U4" s="44"/>
      <c r="V4" s="69" t="str">
        <f>IFERROR(U4/$D$88/T4,"")</f>
        <v/>
      </c>
      <c r="W4" s="11" t="s">
        <v>70</v>
      </c>
      <c r="X4" s="44">
        <f>2500</f>
        <v>2500</v>
      </c>
      <c r="Y4" s="44">
        <v>7692</v>
      </c>
      <c r="Z4" s="115">
        <f>IFERROR(Y4/X4,"")</f>
        <v>3.0768</v>
      </c>
      <c r="AA4" s="44">
        <f>8000</f>
        <v>8000</v>
      </c>
      <c r="AB4" s="44">
        <v>26440</v>
      </c>
      <c r="AC4" s="115">
        <f>IFERROR(AB4/AA4,"")</f>
        <v>3.3050000000000002</v>
      </c>
      <c r="AD4" s="100" t="s">
        <v>70</v>
      </c>
      <c r="AE4" s="18">
        <f>5000</f>
        <v>5000</v>
      </c>
      <c r="AF4" s="18">
        <v>11111</v>
      </c>
      <c r="AG4" s="69">
        <f>IFERROR(AF4/AE4,"")</f>
        <v>2.2222</v>
      </c>
      <c r="AH4" s="86" t="s">
        <v>136</v>
      </c>
      <c r="AI4" s="18">
        <v>7000</v>
      </c>
      <c r="AJ4" s="18">
        <v>9445</v>
      </c>
      <c r="AK4" s="69">
        <f>IFERROR(AJ4/AI4,"")</f>
        <v>1.3492857142857142</v>
      </c>
      <c r="AL4" s="18"/>
      <c r="AM4" s="18">
        <v>8000</v>
      </c>
      <c r="AN4" s="18">
        <v>11765</v>
      </c>
      <c r="AO4" s="69">
        <f>IFERROR(AN4/AM4,"")</f>
        <v>1.4706250000000001</v>
      </c>
      <c r="AP4" s="11" t="s">
        <v>136</v>
      </c>
      <c r="AQ4" s="3">
        <v>15000</v>
      </c>
      <c r="AR4" s="3">
        <v>342857</v>
      </c>
      <c r="AS4" s="69">
        <f>IFERROR(AR4/$D$94/AQ4,"")</f>
        <v>1.3867433089339336</v>
      </c>
      <c r="AT4" s="11" t="s">
        <v>136</v>
      </c>
      <c r="AU4" s="3">
        <v>15500</v>
      </c>
      <c r="AV4" s="3">
        <v>132860</v>
      </c>
      <c r="AW4" s="69">
        <f>IFERROR(AV4/$D$95/AU4,"")</f>
        <v>0.53246611921975084</v>
      </c>
      <c r="AX4" s="11" t="s">
        <v>136</v>
      </c>
      <c r="AY4" s="3">
        <v>14000</v>
      </c>
      <c r="AZ4" s="3">
        <v>153570</v>
      </c>
      <c r="BA4" s="69">
        <f>IFERROR(AZ4/$D$96/AY4,"")</f>
        <v>0.6714981660399536</v>
      </c>
      <c r="BB4" s="11" t="s">
        <v>136</v>
      </c>
      <c r="BC4" s="3">
        <v>14250</v>
      </c>
      <c r="BD4" s="3">
        <v>162857</v>
      </c>
      <c r="BE4" s="69">
        <f>IFERROR(BD4/$D$97/BC4,"")</f>
        <v>0.73023269837323213</v>
      </c>
      <c r="BF4" s="3" t="s">
        <v>136</v>
      </c>
      <c r="BG4" s="3">
        <v>9300</v>
      </c>
      <c r="BH4" s="3">
        <v>13063</v>
      </c>
      <c r="BI4" s="69">
        <f>IFERROR(BH4/BG4,"")</f>
        <v>1.4046236559139784</v>
      </c>
    </row>
    <row r="5" spans="1:61" s="3" customFormat="1" x14ac:dyDescent="0.3">
      <c r="A5" s="55" t="s">
        <v>76</v>
      </c>
      <c r="B5" s="55" t="s">
        <v>205</v>
      </c>
      <c r="C5" s="11" t="s">
        <v>135</v>
      </c>
      <c r="D5" s="44"/>
      <c r="E5" s="44"/>
      <c r="F5" s="69" t="str">
        <f t="shared" ref="F5:F36" si="0">IFERROR(E5/$D$84/D5,"")</f>
        <v/>
      </c>
      <c r="G5" s="11" t="s">
        <v>70</v>
      </c>
      <c r="H5" s="44"/>
      <c r="I5" s="44"/>
      <c r="J5" s="69" t="str">
        <f t="shared" ref="J5:J36" si="1">IFERROR(I5/$D$85/H5,"")</f>
        <v/>
      </c>
      <c r="K5" s="44" t="s">
        <v>70</v>
      </c>
      <c r="L5" s="44"/>
      <c r="M5" s="44"/>
      <c r="N5" s="69" t="str">
        <f t="shared" ref="N5:N36" si="2">IFERROR(M5/$D$86/L5,"")</f>
        <v/>
      </c>
      <c r="O5" s="11" t="s">
        <v>70</v>
      </c>
      <c r="P5" s="44"/>
      <c r="Q5" s="44"/>
      <c r="R5" s="69" t="str">
        <f t="shared" ref="R5:R36" si="3">IFERROR(Q5/$D$87/P5,"")</f>
        <v/>
      </c>
      <c r="S5" s="44" t="s">
        <v>70</v>
      </c>
      <c r="T5" s="44"/>
      <c r="U5" s="44"/>
      <c r="V5" s="69" t="str">
        <f t="shared" ref="V5:V36" si="4">IFERROR(U5/$D$88/T5,"")</f>
        <v/>
      </c>
      <c r="W5" s="11" t="s">
        <v>136</v>
      </c>
      <c r="X5" s="44">
        <f>3450*D49</f>
        <v>1725</v>
      </c>
      <c r="Y5" s="44">
        <v>1582</v>
      </c>
      <c r="Z5" s="69">
        <f t="shared" ref="Z5:Z36" si="5">IFERROR(Y5/X5,"")</f>
        <v>0.9171014492753623</v>
      </c>
      <c r="AA5" s="44">
        <f>1500*D49</f>
        <v>750</v>
      </c>
      <c r="AB5" s="44">
        <v>1877</v>
      </c>
      <c r="AC5" s="69">
        <f t="shared" ref="AC5:AC36" si="6">IFERROR(AB5/AA5,"")</f>
        <v>2.5026666666666668</v>
      </c>
      <c r="AD5" s="91"/>
      <c r="AE5" s="18"/>
      <c r="AF5" s="18"/>
      <c r="AG5" s="69" t="str">
        <f t="shared" ref="AG5:AG36" si="7">IFERROR(AF5/AE5,"")</f>
        <v/>
      </c>
      <c r="AH5" s="86"/>
      <c r="AI5" s="18"/>
      <c r="AJ5" s="18"/>
      <c r="AK5" s="69" t="str">
        <f t="shared" ref="AK5:AK36" si="8">IFERROR(AJ5/AI5,"")</f>
        <v/>
      </c>
      <c r="AL5" s="18"/>
      <c r="AM5" s="18"/>
      <c r="AN5" s="18"/>
      <c r="AO5" s="69" t="str">
        <f t="shared" ref="AO5:AO36" si="9">IFERROR(AN5/AM5,"")</f>
        <v/>
      </c>
      <c r="AP5" s="11" t="s">
        <v>136</v>
      </c>
      <c r="AS5" s="69" t="str">
        <f t="shared" ref="AS5:AS36" si="10">IFERROR(AR5/$D$94/AQ5,"")</f>
        <v/>
      </c>
      <c r="AT5" s="11" t="s">
        <v>136</v>
      </c>
      <c r="AW5" s="69" t="str">
        <f t="shared" ref="AW5:AW36" si="11">IFERROR(AV5/$D$95/AU5,"")</f>
        <v/>
      </c>
      <c r="AX5" s="11" t="s">
        <v>136</v>
      </c>
      <c r="AY5" s="3">
        <v>8500</v>
      </c>
      <c r="AZ5" s="3">
        <v>994275</v>
      </c>
      <c r="BA5" s="69">
        <f t="shared" ref="BA5:BA36" si="12">IFERROR(AZ5/$D$96/AY5,"")</f>
        <v>7.1606768682235327</v>
      </c>
      <c r="BB5" s="11" t="s">
        <v>136</v>
      </c>
      <c r="BC5" s="3">
        <v>8500</v>
      </c>
      <c r="BD5" s="3">
        <v>1071428</v>
      </c>
      <c r="BE5" s="69">
        <f t="shared" ref="BE5:BE36" si="13">IFERROR(BD5/$D$97/BC5,"")</f>
        <v>8.0540398838714555</v>
      </c>
      <c r="BF5" s="3" t="s">
        <v>136</v>
      </c>
      <c r="BG5" s="3">
        <v>4850</v>
      </c>
      <c r="BH5" s="3">
        <v>36860</v>
      </c>
      <c r="BI5" s="69">
        <f t="shared" ref="BI5:BI37" si="14">IFERROR(BH5/BG5,"")</f>
        <v>7.6</v>
      </c>
    </row>
    <row r="6" spans="1:61" s="3" customFormat="1" x14ac:dyDescent="0.3">
      <c r="A6" s="55" t="s">
        <v>23</v>
      </c>
      <c r="B6" s="55" t="s">
        <v>28</v>
      </c>
      <c r="C6" s="11" t="s">
        <v>3</v>
      </c>
      <c r="D6" s="44">
        <v>500</v>
      </c>
      <c r="E6" s="44">
        <v>75000</v>
      </c>
      <c r="F6" s="69">
        <f t="shared" si="0"/>
        <v>10.534398034398036</v>
      </c>
      <c r="G6" s="11" t="s">
        <v>3</v>
      </c>
      <c r="H6" s="44">
        <v>500</v>
      </c>
      <c r="I6" s="44">
        <v>75000</v>
      </c>
      <c r="J6" s="69">
        <f t="shared" si="1"/>
        <v>10.488329238329239</v>
      </c>
      <c r="K6" s="44" t="s">
        <v>3</v>
      </c>
      <c r="L6" s="44">
        <v>560</v>
      </c>
      <c r="M6" s="44">
        <v>84000</v>
      </c>
      <c r="N6" s="69">
        <f t="shared" si="2"/>
        <v>11.732186732186731</v>
      </c>
      <c r="O6" s="11" t="s">
        <v>3</v>
      </c>
      <c r="P6" s="44">
        <v>570</v>
      </c>
      <c r="Q6" s="44">
        <v>85500</v>
      </c>
      <c r="R6" s="69">
        <f t="shared" si="3"/>
        <v>11.071867321867323</v>
      </c>
      <c r="S6" s="44" t="s">
        <v>3</v>
      </c>
      <c r="T6" s="44">
        <v>2493</v>
      </c>
      <c r="U6" s="44">
        <v>498600</v>
      </c>
      <c r="V6" s="69">
        <f t="shared" si="4"/>
        <v>13.022113022113023</v>
      </c>
      <c r="W6" s="11" t="s">
        <v>3</v>
      </c>
      <c r="X6" s="11">
        <v>660</v>
      </c>
      <c r="Y6" s="44">
        <v>8703</v>
      </c>
      <c r="Z6" s="69">
        <f t="shared" si="5"/>
        <v>13.186363636363636</v>
      </c>
      <c r="AA6" s="44">
        <v>120</v>
      </c>
      <c r="AB6" s="44">
        <v>1056</v>
      </c>
      <c r="AC6" s="69">
        <f t="shared" si="6"/>
        <v>8.8000000000000007</v>
      </c>
      <c r="AD6" s="91" t="s">
        <v>3</v>
      </c>
      <c r="AE6" s="18">
        <v>520</v>
      </c>
      <c r="AF6" s="18">
        <v>5778</v>
      </c>
      <c r="AG6" s="69">
        <f t="shared" si="7"/>
        <v>11.111538461538462</v>
      </c>
      <c r="AH6" s="86"/>
      <c r="AI6" s="18">
        <v>475</v>
      </c>
      <c r="AJ6" s="18">
        <v>4398</v>
      </c>
      <c r="AK6" s="69">
        <f t="shared" si="8"/>
        <v>9.2589473684210528</v>
      </c>
      <c r="AL6" s="18"/>
      <c r="AM6" s="18">
        <v>242</v>
      </c>
      <c r="AN6" s="18">
        <v>3084</v>
      </c>
      <c r="AO6" s="69">
        <f t="shared" si="9"/>
        <v>12.743801652892563</v>
      </c>
      <c r="AP6" s="11" t="s">
        <v>3</v>
      </c>
      <c r="AQ6" s="3">
        <v>97</v>
      </c>
      <c r="AR6" s="3">
        <v>18200</v>
      </c>
      <c r="AS6" s="69">
        <f t="shared" si="10"/>
        <v>11.383451750719791</v>
      </c>
      <c r="AT6" s="11" t="s">
        <v>3</v>
      </c>
      <c r="AU6" s="3">
        <v>61</v>
      </c>
      <c r="AV6" s="3">
        <v>13070</v>
      </c>
      <c r="AW6" s="69">
        <f t="shared" si="11"/>
        <v>13.309911920366469</v>
      </c>
      <c r="AX6" s="11" t="s">
        <v>3</v>
      </c>
      <c r="AY6" s="3">
        <v>132</v>
      </c>
      <c r="AZ6" s="3">
        <v>26400</v>
      </c>
      <c r="BA6" s="69">
        <f t="shared" si="12"/>
        <v>12.243243243549326</v>
      </c>
      <c r="BB6" s="11" t="s">
        <v>3</v>
      </c>
      <c r="BC6" s="3">
        <v>105</v>
      </c>
      <c r="BD6" s="3">
        <v>24000</v>
      </c>
      <c r="BE6" s="69">
        <f t="shared" si="13"/>
        <v>14.604666778575854</v>
      </c>
      <c r="BF6" s="3" t="s">
        <v>3</v>
      </c>
      <c r="BG6" s="3">
        <v>196</v>
      </c>
      <c r="BH6" s="3">
        <v>2221</v>
      </c>
      <c r="BI6" s="69">
        <f t="shared" si="14"/>
        <v>11.331632653061224</v>
      </c>
    </row>
    <row r="7" spans="1:61" s="3" customFormat="1" x14ac:dyDescent="0.3">
      <c r="A7" s="55" t="s">
        <v>78</v>
      </c>
      <c r="B7" s="55" t="s">
        <v>199</v>
      </c>
      <c r="C7" s="11" t="s">
        <v>70</v>
      </c>
      <c r="D7" s="44"/>
      <c r="E7" s="44"/>
      <c r="F7" s="69" t="str">
        <f t="shared" si="0"/>
        <v/>
      </c>
      <c r="G7" s="11" t="s">
        <v>70</v>
      </c>
      <c r="H7" s="44"/>
      <c r="I7" s="44"/>
      <c r="J7" s="69" t="str">
        <f t="shared" si="1"/>
        <v/>
      </c>
      <c r="K7" s="44" t="s">
        <v>70</v>
      </c>
      <c r="L7" s="44"/>
      <c r="M7" s="44"/>
      <c r="N7" s="69" t="str">
        <f t="shared" si="2"/>
        <v/>
      </c>
      <c r="O7" s="11" t="s">
        <v>70</v>
      </c>
      <c r="P7" s="44"/>
      <c r="Q7" s="44"/>
      <c r="R7" s="69" t="str">
        <f t="shared" si="3"/>
        <v/>
      </c>
      <c r="S7" s="44" t="s">
        <v>70</v>
      </c>
      <c r="T7" s="44"/>
      <c r="U7" s="44"/>
      <c r="V7" s="69" t="str">
        <f t="shared" si="4"/>
        <v/>
      </c>
      <c r="W7" s="11" t="s">
        <v>70</v>
      </c>
      <c r="X7" s="11">
        <v>500</v>
      </c>
      <c r="Y7" s="44">
        <v>153</v>
      </c>
      <c r="Z7" s="69">
        <f t="shared" si="5"/>
        <v>0.30599999999999999</v>
      </c>
      <c r="AA7" s="44"/>
      <c r="AB7" s="44"/>
      <c r="AC7" s="69" t="str">
        <f t="shared" si="6"/>
        <v/>
      </c>
      <c r="AD7" s="91"/>
      <c r="AE7" s="18"/>
      <c r="AF7" s="18"/>
      <c r="AG7" s="69" t="str">
        <f t="shared" si="7"/>
        <v/>
      </c>
      <c r="AH7" s="86"/>
      <c r="AI7" s="18"/>
      <c r="AJ7" s="18"/>
      <c r="AK7" s="69" t="str">
        <f t="shared" si="8"/>
        <v/>
      </c>
      <c r="AL7" s="18"/>
      <c r="AM7" s="18"/>
      <c r="AN7" s="18"/>
      <c r="AO7" s="69" t="str">
        <f t="shared" si="9"/>
        <v/>
      </c>
      <c r="AP7" s="11" t="s">
        <v>70</v>
      </c>
      <c r="AS7" s="69" t="str">
        <f t="shared" si="10"/>
        <v/>
      </c>
      <c r="AT7" s="11" t="s">
        <v>70</v>
      </c>
      <c r="AW7" s="69" t="str">
        <f t="shared" si="11"/>
        <v/>
      </c>
      <c r="AX7" s="11" t="s">
        <v>70</v>
      </c>
      <c r="BA7" s="69" t="str">
        <f t="shared" si="12"/>
        <v/>
      </c>
      <c r="BB7" s="11" t="s">
        <v>70</v>
      </c>
      <c r="BE7" s="69" t="str">
        <f t="shared" si="13"/>
        <v/>
      </c>
      <c r="BI7" s="69" t="str">
        <f t="shared" si="14"/>
        <v/>
      </c>
    </row>
    <row r="8" spans="1:61" s="3" customFormat="1" x14ac:dyDescent="0.3">
      <c r="A8" s="55" t="s">
        <v>79</v>
      </c>
      <c r="B8" s="55" t="s">
        <v>199</v>
      </c>
      <c r="C8" s="11" t="s">
        <v>70</v>
      </c>
      <c r="D8" s="44"/>
      <c r="E8" s="44"/>
      <c r="F8" s="69" t="str">
        <f t="shared" si="0"/>
        <v/>
      </c>
      <c r="G8" s="11" t="s">
        <v>70</v>
      </c>
      <c r="H8" s="44"/>
      <c r="I8" s="44"/>
      <c r="J8" s="69" t="str">
        <f t="shared" si="1"/>
        <v/>
      </c>
      <c r="K8" s="44" t="s">
        <v>70</v>
      </c>
      <c r="L8" s="44"/>
      <c r="M8" s="44"/>
      <c r="N8" s="69" t="str">
        <f t="shared" si="2"/>
        <v/>
      </c>
      <c r="O8" s="11" t="s">
        <v>70</v>
      </c>
      <c r="P8" s="44"/>
      <c r="Q8" s="44"/>
      <c r="R8" s="69" t="str">
        <f t="shared" si="3"/>
        <v/>
      </c>
      <c r="S8" s="44" t="s">
        <v>70</v>
      </c>
      <c r="T8" s="44"/>
      <c r="U8" s="44"/>
      <c r="V8" s="69" t="str">
        <f t="shared" si="4"/>
        <v/>
      </c>
      <c r="W8" s="11" t="s">
        <v>70</v>
      </c>
      <c r="X8" s="11">
        <v>600</v>
      </c>
      <c r="Y8" s="44">
        <v>329</v>
      </c>
      <c r="Z8" s="69">
        <f t="shared" si="5"/>
        <v>0.54833333333333334</v>
      </c>
      <c r="AA8" s="44">
        <v>500</v>
      </c>
      <c r="AB8" s="44">
        <v>440</v>
      </c>
      <c r="AC8" s="69">
        <f t="shared" si="6"/>
        <v>0.88</v>
      </c>
      <c r="AD8" s="91"/>
      <c r="AE8" s="18"/>
      <c r="AF8" s="18"/>
      <c r="AG8" s="69" t="str">
        <f t="shared" si="7"/>
        <v/>
      </c>
      <c r="AH8" s="86"/>
      <c r="AI8" s="18"/>
      <c r="AJ8" s="18"/>
      <c r="AK8" s="69" t="str">
        <f t="shared" si="8"/>
        <v/>
      </c>
      <c r="AL8" s="18"/>
      <c r="AM8" s="18"/>
      <c r="AN8" s="18"/>
      <c r="AO8" s="69" t="str">
        <f t="shared" si="9"/>
        <v/>
      </c>
      <c r="AP8" s="11" t="s">
        <v>70</v>
      </c>
      <c r="AS8" s="69" t="str">
        <f t="shared" si="10"/>
        <v/>
      </c>
      <c r="AT8" s="11" t="s">
        <v>70</v>
      </c>
      <c r="AW8" s="69" t="str">
        <f t="shared" si="11"/>
        <v/>
      </c>
      <c r="AX8" s="11" t="s">
        <v>70</v>
      </c>
      <c r="BA8" s="69" t="str">
        <f t="shared" si="12"/>
        <v/>
      </c>
      <c r="BB8" s="11" t="s">
        <v>70</v>
      </c>
      <c r="BE8" s="69" t="str">
        <f t="shared" si="13"/>
        <v/>
      </c>
      <c r="BI8" s="69" t="str">
        <f t="shared" si="14"/>
        <v/>
      </c>
    </row>
    <row r="9" spans="1:61" s="3" customFormat="1" x14ac:dyDescent="0.3">
      <c r="A9" s="55" t="s">
        <v>93</v>
      </c>
      <c r="B9" s="55" t="s">
        <v>205</v>
      </c>
      <c r="C9" s="11" t="s">
        <v>136</v>
      </c>
      <c r="D9" s="44"/>
      <c r="E9" s="44"/>
      <c r="F9" s="69" t="str">
        <f t="shared" si="0"/>
        <v/>
      </c>
      <c r="G9" s="11" t="s">
        <v>71</v>
      </c>
      <c r="H9" s="44"/>
      <c r="I9" s="44"/>
      <c r="J9" s="69" t="str">
        <f t="shared" si="1"/>
        <v/>
      </c>
      <c r="K9" s="44" t="s">
        <v>71</v>
      </c>
      <c r="L9" s="44"/>
      <c r="M9" s="44"/>
      <c r="N9" s="69" t="str">
        <f t="shared" si="2"/>
        <v/>
      </c>
      <c r="O9" s="11" t="s">
        <v>71</v>
      </c>
      <c r="P9" s="44"/>
      <c r="Q9" s="44"/>
      <c r="R9" s="69" t="str">
        <f t="shared" si="3"/>
        <v/>
      </c>
      <c r="S9" s="44" t="s">
        <v>71</v>
      </c>
      <c r="T9" s="44"/>
      <c r="U9" s="44"/>
      <c r="V9" s="69" t="str">
        <f t="shared" si="4"/>
        <v/>
      </c>
      <c r="W9" s="11" t="s">
        <v>136</v>
      </c>
      <c r="X9" s="11"/>
      <c r="Y9" s="44"/>
      <c r="Z9" s="69" t="str">
        <f t="shared" si="5"/>
        <v/>
      </c>
      <c r="AA9" s="44">
        <f>40*D57</f>
        <v>119.2</v>
      </c>
      <c r="AB9" s="44">
        <v>879</v>
      </c>
      <c r="AC9" s="69">
        <f t="shared" si="6"/>
        <v>7.374161073825503</v>
      </c>
      <c r="AD9" s="92"/>
      <c r="AE9" s="41"/>
      <c r="AF9" s="41"/>
      <c r="AG9" s="69" t="str">
        <f t="shared" si="7"/>
        <v/>
      </c>
      <c r="AH9" s="87"/>
      <c r="AI9" s="41"/>
      <c r="AJ9" s="41"/>
      <c r="AK9" s="69" t="str">
        <f t="shared" si="8"/>
        <v/>
      </c>
      <c r="AL9" s="41"/>
      <c r="AM9" s="41"/>
      <c r="AN9" s="41"/>
      <c r="AO9" s="69" t="str">
        <f t="shared" si="9"/>
        <v/>
      </c>
      <c r="AP9" s="11" t="s">
        <v>71</v>
      </c>
      <c r="AS9" s="69" t="str">
        <f t="shared" si="10"/>
        <v/>
      </c>
      <c r="AT9" s="11" t="s">
        <v>71</v>
      </c>
      <c r="AW9" s="69" t="str">
        <f t="shared" si="11"/>
        <v/>
      </c>
      <c r="AX9" s="11" t="s">
        <v>71</v>
      </c>
      <c r="BA9" s="69" t="str">
        <f t="shared" si="12"/>
        <v/>
      </c>
      <c r="BB9" s="11" t="s">
        <v>71</v>
      </c>
      <c r="BE9" s="69" t="str">
        <f t="shared" si="13"/>
        <v/>
      </c>
      <c r="BI9" s="69" t="str">
        <f t="shared" si="14"/>
        <v/>
      </c>
    </row>
    <row r="10" spans="1:61" s="3" customFormat="1" x14ac:dyDescent="0.3">
      <c r="A10" s="55" t="s">
        <v>80</v>
      </c>
      <c r="B10" s="55" t="s">
        <v>205</v>
      </c>
      <c r="C10" s="11" t="s">
        <v>135</v>
      </c>
      <c r="D10" s="44">
        <v>57140</v>
      </c>
      <c r="E10" s="44">
        <v>1040000</v>
      </c>
      <c r="F10" s="69">
        <f t="shared" si="0"/>
        <v>1.2782375400506309</v>
      </c>
      <c r="G10" s="11" t="s">
        <v>135</v>
      </c>
      <c r="H10" s="44">
        <v>57140</v>
      </c>
      <c r="I10" s="44">
        <v>928000</v>
      </c>
      <c r="J10" s="69">
        <f t="shared" si="1"/>
        <v>1.1355932251977057</v>
      </c>
      <c r="K10" s="44" t="s">
        <v>135</v>
      </c>
      <c r="L10" s="44">
        <v>62860</v>
      </c>
      <c r="M10" s="44">
        <v>968000</v>
      </c>
      <c r="N10" s="69">
        <f t="shared" si="2"/>
        <v>1.2044497567882866</v>
      </c>
      <c r="O10" s="11" t="s">
        <v>135</v>
      </c>
      <c r="P10" s="44">
        <v>68570</v>
      </c>
      <c r="Q10" s="44">
        <v>960000</v>
      </c>
      <c r="R10" s="69">
        <f t="shared" si="3"/>
        <v>1.0333958124537097</v>
      </c>
      <c r="S10" s="11" t="s">
        <v>91</v>
      </c>
      <c r="T10" s="44">
        <v>30000</v>
      </c>
      <c r="U10" s="44">
        <v>600000</v>
      </c>
      <c r="V10" s="69">
        <f t="shared" si="4"/>
        <v>1.3022113022113022</v>
      </c>
      <c r="W10" s="11" t="s">
        <v>136</v>
      </c>
      <c r="X10" s="11">
        <f>39520*D56</f>
        <v>118560</v>
      </c>
      <c r="Y10" s="44">
        <v>56457</v>
      </c>
      <c r="Z10" s="69">
        <f t="shared" si="5"/>
        <v>0.47618927125506072</v>
      </c>
      <c r="AA10" s="44"/>
      <c r="AB10" s="44"/>
      <c r="AC10" s="69" t="str">
        <f t="shared" si="6"/>
        <v/>
      </c>
      <c r="AD10" s="86" t="s">
        <v>136</v>
      </c>
      <c r="AE10" s="18">
        <f>3000*D56</f>
        <v>9000</v>
      </c>
      <c r="AF10" s="18">
        <v>4667</v>
      </c>
      <c r="AG10" s="69">
        <f t="shared" si="7"/>
        <v>0.51855555555555555</v>
      </c>
      <c r="AH10" s="15"/>
      <c r="AI10" s="18">
        <f>5500*D56</f>
        <v>16500</v>
      </c>
      <c r="AJ10" s="18">
        <v>10185</v>
      </c>
      <c r="AK10" s="69">
        <f t="shared" si="8"/>
        <v>0.61727272727272731</v>
      </c>
      <c r="AL10" s="18"/>
      <c r="AM10" s="18">
        <f>5000*D56</f>
        <v>15000</v>
      </c>
      <c r="AN10" s="18">
        <v>7843</v>
      </c>
      <c r="AO10" s="69">
        <f t="shared" si="9"/>
        <v>0.5228666666666667</v>
      </c>
      <c r="AP10" s="54" t="s">
        <v>91</v>
      </c>
      <c r="AQ10" s="3">
        <v>6000</v>
      </c>
      <c r="AR10" s="3">
        <v>154286</v>
      </c>
      <c r="AS10" s="69">
        <f t="shared" si="10"/>
        <v>1.5600897616366365</v>
      </c>
      <c r="AT10" s="11" t="s">
        <v>136</v>
      </c>
      <c r="AU10" s="3">
        <f>3750*D56</f>
        <v>11250</v>
      </c>
      <c r="AV10" s="3">
        <v>96430</v>
      </c>
      <c r="AW10" s="69">
        <f t="shared" si="11"/>
        <v>0.53246255679902921</v>
      </c>
      <c r="AX10" s="11" t="s">
        <v>136</v>
      </c>
      <c r="AY10" s="3">
        <f>7525*D56</f>
        <v>22575</v>
      </c>
      <c r="AZ10" s="3">
        <v>215010</v>
      </c>
      <c r="BA10" s="69">
        <f t="shared" si="12"/>
        <v>0.58303869984397361</v>
      </c>
      <c r="BB10" s="11" t="s">
        <v>136</v>
      </c>
      <c r="BC10" s="3">
        <f>15000*D56</f>
        <v>45000</v>
      </c>
      <c r="BD10" s="3">
        <v>342857</v>
      </c>
      <c r="BE10" s="69">
        <f t="shared" si="13"/>
        <v>0.48682202310993428</v>
      </c>
      <c r="BF10" s="3" t="s">
        <v>136</v>
      </c>
      <c r="BG10" s="3">
        <f>9250*D56</f>
        <v>27750</v>
      </c>
      <c r="BH10" s="3">
        <v>12333</v>
      </c>
      <c r="BI10" s="69">
        <f t="shared" si="14"/>
        <v>0.44443243243243241</v>
      </c>
    </row>
    <row r="11" spans="1:61" s="3" customFormat="1" x14ac:dyDescent="0.3">
      <c r="A11" s="55" t="s">
        <v>81</v>
      </c>
      <c r="B11" s="55" t="s">
        <v>205</v>
      </c>
      <c r="C11" s="11" t="s">
        <v>135</v>
      </c>
      <c r="D11" s="44"/>
      <c r="E11" s="44"/>
      <c r="F11" s="69" t="str">
        <f t="shared" si="0"/>
        <v/>
      </c>
      <c r="G11" s="11" t="s">
        <v>135</v>
      </c>
      <c r="H11" s="44"/>
      <c r="I11" s="44"/>
      <c r="J11" s="69" t="str">
        <f t="shared" si="1"/>
        <v/>
      </c>
      <c r="K11" s="11" t="s">
        <v>135</v>
      </c>
      <c r="L11" s="44"/>
      <c r="M11" s="44"/>
      <c r="N11" s="69" t="str">
        <f t="shared" si="2"/>
        <v/>
      </c>
      <c r="O11" s="11" t="s">
        <v>135</v>
      </c>
      <c r="P11" s="44"/>
      <c r="Q11" s="44"/>
      <c r="R11" s="69" t="str">
        <f t="shared" si="3"/>
        <v/>
      </c>
      <c r="S11" s="11" t="s">
        <v>135</v>
      </c>
      <c r="T11" s="44"/>
      <c r="U11" s="44"/>
      <c r="V11" s="69" t="str">
        <f t="shared" si="4"/>
        <v/>
      </c>
      <c r="W11" s="11" t="s">
        <v>135</v>
      </c>
      <c r="X11" s="63">
        <f>950*D55</f>
        <v>3729.4370535714284</v>
      </c>
      <c r="Y11" s="44">
        <v>15659</v>
      </c>
      <c r="Z11" s="69">
        <f t="shared" si="5"/>
        <v>4.1987570174979734</v>
      </c>
      <c r="AA11" s="44">
        <f>3000*D55</f>
        <v>11777.169642857143</v>
      </c>
      <c r="AB11" s="44">
        <v>79080</v>
      </c>
      <c r="AC11" s="69">
        <f t="shared" si="6"/>
        <v>6.7146863294070016</v>
      </c>
      <c r="AD11" s="91"/>
      <c r="AE11" s="18"/>
      <c r="AF11" s="18"/>
      <c r="AG11" s="69" t="str">
        <f t="shared" si="7"/>
        <v/>
      </c>
      <c r="AH11" s="86"/>
      <c r="AI11" s="18"/>
      <c r="AJ11" s="18"/>
      <c r="AK11" s="69" t="str">
        <f t="shared" si="8"/>
        <v/>
      </c>
      <c r="AL11" s="18"/>
      <c r="AM11" s="18"/>
      <c r="AN11" s="18"/>
      <c r="AO11" s="69" t="str">
        <f t="shared" si="9"/>
        <v/>
      </c>
      <c r="AP11" s="11" t="s">
        <v>135</v>
      </c>
      <c r="AS11" s="69" t="str">
        <f t="shared" si="10"/>
        <v/>
      </c>
      <c r="AT11" s="11" t="s">
        <v>135</v>
      </c>
      <c r="AW11" s="69" t="str">
        <f t="shared" si="11"/>
        <v/>
      </c>
      <c r="AX11" s="11" t="s">
        <v>135</v>
      </c>
      <c r="BA11" s="69" t="str">
        <f t="shared" si="12"/>
        <v/>
      </c>
      <c r="BB11" s="11" t="s">
        <v>135</v>
      </c>
      <c r="BE11" s="69" t="str">
        <f t="shared" si="13"/>
        <v/>
      </c>
      <c r="BI11" s="69" t="str">
        <f t="shared" si="14"/>
        <v/>
      </c>
    </row>
    <row r="12" spans="1:61" s="3" customFormat="1" x14ac:dyDescent="0.3">
      <c r="A12" s="55" t="s">
        <v>144</v>
      </c>
      <c r="B12" s="55" t="s">
        <v>205</v>
      </c>
      <c r="C12" s="11" t="s">
        <v>135</v>
      </c>
      <c r="D12" s="44">
        <v>1710</v>
      </c>
      <c r="E12" s="44">
        <v>77940</v>
      </c>
      <c r="F12" s="69">
        <f t="shared" si="0"/>
        <v>3.2009784904521754</v>
      </c>
      <c r="G12" s="11" t="s">
        <v>135</v>
      </c>
      <c r="H12" s="44">
        <v>1424</v>
      </c>
      <c r="I12" s="44">
        <v>71940</v>
      </c>
      <c r="J12" s="69">
        <f t="shared" si="1"/>
        <v>3.5324457181901008</v>
      </c>
      <c r="K12" s="44" t="s">
        <v>135</v>
      </c>
      <c r="L12" s="44">
        <v>1140</v>
      </c>
      <c r="M12" s="44">
        <v>43960</v>
      </c>
      <c r="N12" s="69">
        <f t="shared" si="2"/>
        <v>3.016063910800753</v>
      </c>
      <c r="O12" s="54" t="s">
        <v>135</v>
      </c>
      <c r="P12" s="44">
        <v>278</v>
      </c>
      <c r="Q12" s="44">
        <v>9230</v>
      </c>
      <c r="R12" s="69">
        <f t="shared" si="3"/>
        <v>2.4506795055356205</v>
      </c>
      <c r="S12" s="57" t="s">
        <v>72</v>
      </c>
      <c r="T12" s="44">
        <v>500</v>
      </c>
      <c r="U12" s="44">
        <v>16000</v>
      </c>
      <c r="V12" s="69">
        <f t="shared" si="4"/>
        <v>2.0835380835380835</v>
      </c>
      <c r="W12" s="11" t="s">
        <v>13</v>
      </c>
      <c r="X12" s="11">
        <v>560</v>
      </c>
      <c r="Y12" s="44">
        <v>579</v>
      </c>
      <c r="Z12" s="69">
        <f t="shared" si="5"/>
        <v>1.0339285714285715</v>
      </c>
      <c r="AA12" s="44">
        <v>450</v>
      </c>
      <c r="AB12" s="44">
        <v>1472</v>
      </c>
      <c r="AC12" s="69">
        <f t="shared" si="6"/>
        <v>3.2711111111111113</v>
      </c>
      <c r="AD12" s="96" t="s">
        <v>72</v>
      </c>
      <c r="AE12" s="18">
        <v>500</v>
      </c>
      <c r="AF12" s="18">
        <v>278</v>
      </c>
      <c r="AG12" s="69">
        <f t="shared" si="7"/>
        <v>0.55600000000000005</v>
      </c>
      <c r="AH12" s="96" t="s">
        <v>136</v>
      </c>
      <c r="AI12" s="18">
        <v>400</v>
      </c>
      <c r="AJ12" s="18">
        <v>593</v>
      </c>
      <c r="AK12" s="69">
        <f t="shared" si="8"/>
        <v>1.4824999999999999</v>
      </c>
      <c r="AL12" s="18"/>
      <c r="AM12" s="18"/>
      <c r="AN12" s="18"/>
      <c r="AO12" s="69" t="str">
        <f t="shared" si="9"/>
        <v/>
      </c>
      <c r="AP12" s="54" t="s">
        <v>13</v>
      </c>
      <c r="AS12" s="69" t="str">
        <f t="shared" si="10"/>
        <v/>
      </c>
      <c r="AT12" s="11" t="s">
        <v>91</v>
      </c>
      <c r="AU12" s="3">
        <v>2250</v>
      </c>
      <c r="AV12" s="3">
        <v>48210</v>
      </c>
      <c r="AW12" s="69">
        <f t="shared" si="11"/>
        <v>1.3310183481946072</v>
      </c>
      <c r="AX12" s="11" t="s">
        <v>91</v>
      </c>
      <c r="AY12" s="3">
        <v>2600</v>
      </c>
      <c r="AZ12" s="3">
        <v>90135</v>
      </c>
      <c r="BA12" s="69">
        <f t="shared" si="12"/>
        <v>2.1222014033794587</v>
      </c>
      <c r="BB12" s="11" t="s">
        <v>91</v>
      </c>
      <c r="BC12" s="3">
        <v>1800</v>
      </c>
      <c r="BD12" s="3">
        <v>61714</v>
      </c>
      <c r="BE12" s="69">
        <f t="shared" si="13"/>
        <v>2.190689874656671</v>
      </c>
      <c r="BF12" s="3" t="s">
        <v>91</v>
      </c>
      <c r="BG12" s="3">
        <v>2150</v>
      </c>
      <c r="BH12" s="3">
        <v>4481</v>
      </c>
      <c r="BI12" s="69">
        <f t="shared" si="14"/>
        <v>2.0841860465116278</v>
      </c>
    </row>
    <row r="13" spans="1:61" s="3" customFormat="1" x14ac:dyDescent="0.3">
      <c r="A13" s="55" t="s">
        <v>256</v>
      </c>
      <c r="B13" s="55" t="s">
        <v>205</v>
      </c>
      <c r="C13" s="11" t="s">
        <v>135</v>
      </c>
      <c r="D13" s="44">
        <v>2428</v>
      </c>
      <c r="E13" s="44">
        <v>27600</v>
      </c>
      <c r="F13" s="69">
        <f t="shared" si="0"/>
        <v>0.79832340952604564</v>
      </c>
      <c r="G13" s="11" t="s">
        <v>135</v>
      </c>
      <c r="H13" s="44">
        <v>2428</v>
      </c>
      <c r="I13" s="44">
        <v>27600</v>
      </c>
      <c r="J13" s="69">
        <f t="shared" si="1"/>
        <v>0.7948321992803048</v>
      </c>
      <c r="K13" s="44" t="s">
        <v>135</v>
      </c>
      <c r="L13" s="44">
        <v>2200</v>
      </c>
      <c r="M13" s="44">
        <v>31680</v>
      </c>
      <c r="N13" s="69">
        <f t="shared" si="2"/>
        <v>1.1262899262899262</v>
      </c>
      <c r="O13" s="54" t="s">
        <v>135</v>
      </c>
      <c r="P13" s="44">
        <v>1103</v>
      </c>
      <c r="Q13" s="44">
        <v>5460</v>
      </c>
      <c r="R13" s="69">
        <f t="shared" si="3"/>
        <v>0.36538165957930241</v>
      </c>
      <c r="S13" s="54" t="s">
        <v>72</v>
      </c>
      <c r="T13" s="44">
        <v>50</v>
      </c>
      <c r="U13" s="44">
        <v>3000</v>
      </c>
      <c r="V13" s="69">
        <f t="shared" si="4"/>
        <v>3.9066339066339064</v>
      </c>
      <c r="W13" s="11" t="s">
        <v>135</v>
      </c>
      <c r="X13" s="11"/>
      <c r="Y13" s="44"/>
      <c r="Z13" s="69" t="str">
        <f t="shared" si="5"/>
        <v/>
      </c>
      <c r="AA13" s="44"/>
      <c r="AB13" s="44"/>
      <c r="AC13" s="69" t="str">
        <f t="shared" si="6"/>
        <v/>
      </c>
      <c r="AD13" s="92"/>
      <c r="AE13" s="41"/>
      <c r="AF13" s="41"/>
      <c r="AG13" s="69" t="str">
        <f t="shared" si="7"/>
        <v/>
      </c>
      <c r="AH13" s="87"/>
      <c r="AI13" s="41"/>
      <c r="AJ13" s="41"/>
      <c r="AK13" s="69" t="str">
        <f t="shared" si="8"/>
        <v/>
      </c>
      <c r="AL13" s="41"/>
      <c r="AM13" s="41"/>
      <c r="AN13" s="41"/>
      <c r="AO13" s="69" t="str">
        <f t="shared" si="9"/>
        <v/>
      </c>
      <c r="AP13" s="11" t="s">
        <v>135</v>
      </c>
      <c r="AS13" s="69" t="str">
        <f t="shared" si="10"/>
        <v/>
      </c>
      <c r="AT13" s="11" t="s">
        <v>135</v>
      </c>
      <c r="AW13" s="69" t="str">
        <f t="shared" si="11"/>
        <v/>
      </c>
      <c r="AX13" s="11" t="s">
        <v>135</v>
      </c>
      <c r="BA13" s="69" t="str">
        <f t="shared" si="12"/>
        <v/>
      </c>
      <c r="BB13" s="11" t="s">
        <v>135</v>
      </c>
      <c r="BE13" s="69" t="str">
        <f t="shared" si="13"/>
        <v/>
      </c>
      <c r="BI13" s="69" t="str">
        <f t="shared" si="14"/>
        <v/>
      </c>
    </row>
    <row r="14" spans="1:61" s="3" customFormat="1" x14ac:dyDescent="0.3">
      <c r="A14" s="55" t="s">
        <v>94</v>
      </c>
      <c r="B14" s="55" t="s">
        <v>199</v>
      </c>
      <c r="C14" s="11" t="s">
        <v>70</v>
      </c>
      <c r="D14" s="44"/>
      <c r="E14" s="44"/>
      <c r="F14" s="69" t="str">
        <f t="shared" si="0"/>
        <v/>
      </c>
      <c r="G14" s="11" t="s">
        <v>70</v>
      </c>
      <c r="H14" s="44"/>
      <c r="I14" s="44"/>
      <c r="J14" s="69" t="str">
        <f t="shared" si="1"/>
        <v/>
      </c>
      <c r="K14" s="44" t="s">
        <v>70</v>
      </c>
      <c r="L14" s="44"/>
      <c r="M14" s="44"/>
      <c r="N14" s="69" t="str">
        <f t="shared" si="2"/>
        <v/>
      </c>
      <c r="O14" s="11" t="s">
        <v>70</v>
      </c>
      <c r="P14" s="44"/>
      <c r="Q14" s="44"/>
      <c r="R14" s="69" t="str">
        <f t="shared" si="3"/>
        <v/>
      </c>
      <c r="S14" s="44" t="s">
        <v>70</v>
      </c>
      <c r="T14" s="44"/>
      <c r="U14" s="44"/>
      <c r="V14" s="69" t="str">
        <f t="shared" si="4"/>
        <v/>
      </c>
      <c r="W14" s="11" t="s">
        <v>70</v>
      </c>
      <c r="X14" s="11"/>
      <c r="Y14" s="44"/>
      <c r="Z14" s="69" t="str">
        <f t="shared" si="5"/>
        <v/>
      </c>
      <c r="AA14" s="44">
        <v>20</v>
      </c>
      <c r="AB14" s="44">
        <v>174</v>
      </c>
      <c r="AC14" s="69">
        <f t="shared" si="6"/>
        <v>8.6999999999999993</v>
      </c>
      <c r="AD14" s="91"/>
      <c r="AE14" s="18"/>
      <c r="AF14" s="18"/>
      <c r="AG14" s="69" t="str">
        <f t="shared" si="7"/>
        <v/>
      </c>
      <c r="AH14" s="86"/>
      <c r="AI14" s="18"/>
      <c r="AJ14" s="18"/>
      <c r="AK14" s="69" t="str">
        <f t="shared" si="8"/>
        <v/>
      </c>
      <c r="AL14" s="18"/>
      <c r="AM14" s="18"/>
      <c r="AN14" s="18"/>
      <c r="AO14" s="69" t="str">
        <f t="shared" si="9"/>
        <v/>
      </c>
      <c r="AP14" s="11" t="s">
        <v>70</v>
      </c>
      <c r="AS14" s="69" t="str">
        <f t="shared" si="10"/>
        <v/>
      </c>
      <c r="AT14" s="11" t="s">
        <v>70</v>
      </c>
      <c r="AW14" s="69" t="str">
        <f t="shared" si="11"/>
        <v/>
      </c>
      <c r="AX14" s="11" t="s">
        <v>70</v>
      </c>
      <c r="BA14" s="69" t="str">
        <f t="shared" si="12"/>
        <v/>
      </c>
      <c r="BB14" s="11" t="s">
        <v>70</v>
      </c>
      <c r="BE14" s="69" t="str">
        <f t="shared" si="13"/>
        <v/>
      </c>
      <c r="BI14" s="69" t="str">
        <f t="shared" si="14"/>
        <v/>
      </c>
    </row>
    <row r="15" spans="1:61" s="3" customFormat="1" x14ac:dyDescent="0.3">
      <c r="A15" s="55" t="s">
        <v>82</v>
      </c>
      <c r="B15" s="55" t="s">
        <v>200</v>
      </c>
      <c r="C15" s="11" t="s">
        <v>13</v>
      </c>
      <c r="D15" s="44"/>
      <c r="E15" s="44"/>
      <c r="F15" s="69" t="str">
        <f t="shared" si="0"/>
        <v/>
      </c>
      <c r="G15" s="11" t="s">
        <v>13</v>
      </c>
      <c r="H15" s="44"/>
      <c r="I15" s="44"/>
      <c r="J15" s="69" t="str">
        <f t="shared" si="1"/>
        <v/>
      </c>
      <c r="K15" s="44" t="s">
        <v>13</v>
      </c>
      <c r="L15" s="44"/>
      <c r="M15" s="44"/>
      <c r="N15" s="69" t="str">
        <f t="shared" si="2"/>
        <v/>
      </c>
      <c r="O15" s="11" t="s">
        <v>13</v>
      </c>
      <c r="P15" s="44"/>
      <c r="Q15" s="44"/>
      <c r="R15" s="69" t="str">
        <f t="shared" si="3"/>
        <v/>
      </c>
      <c r="S15" s="44" t="s">
        <v>13</v>
      </c>
      <c r="T15" s="44"/>
      <c r="U15" s="44"/>
      <c r="V15" s="69" t="str">
        <f t="shared" si="4"/>
        <v/>
      </c>
      <c r="W15" s="11" t="s">
        <v>13</v>
      </c>
      <c r="X15" s="11">
        <v>450</v>
      </c>
      <c r="Y15" s="44">
        <v>296</v>
      </c>
      <c r="Z15" s="69">
        <f t="shared" si="5"/>
        <v>0.65777777777777779</v>
      </c>
      <c r="AA15" s="44">
        <v>1500</v>
      </c>
      <c r="AB15" s="44">
        <v>988</v>
      </c>
      <c r="AC15" s="69">
        <f t="shared" si="6"/>
        <v>0.65866666666666662</v>
      </c>
      <c r="AD15" s="91"/>
      <c r="AE15" s="18"/>
      <c r="AF15" s="18"/>
      <c r="AG15" s="69" t="str">
        <f t="shared" si="7"/>
        <v/>
      </c>
      <c r="AH15" s="86"/>
      <c r="AI15" s="18"/>
      <c r="AJ15" s="18"/>
      <c r="AK15" s="69" t="str">
        <f t="shared" si="8"/>
        <v/>
      </c>
      <c r="AL15" s="18"/>
      <c r="AM15" s="18"/>
      <c r="AN15" s="18"/>
      <c r="AO15" s="69" t="str">
        <f t="shared" si="9"/>
        <v/>
      </c>
      <c r="AP15" s="11" t="s">
        <v>13</v>
      </c>
      <c r="AS15" s="69" t="str">
        <f t="shared" si="10"/>
        <v/>
      </c>
      <c r="AT15" s="11" t="s">
        <v>13</v>
      </c>
      <c r="AW15" s="69" t="str">
        <f t="shared" si="11"/>
        <v/>
      </c>
      <c r="AX15" s="11" t="s">
        <v>13</v>
      </c>
      <c r="BA15" s="69" t="str">
        <f t="shared" si="12"/>
        <v/>
      </c>
      <c r="BB15" s="11" t="s">
        <v>13</v>
      </c>
      <c r="BE15" s="69" t="str">
        <f t="shared" si="13"/>
        <v/>
      </c>
      <c r="BI15" s="69" t="str">
        <f t="shared" si="14"/>
        <v/>
      </c>
    </row>
    <row r="16" spans="1:61" s="3" customFormat="1" x14ac:dyDescent="0.3">
      <c r="A16" s="55" t="s">
        <v>141</v>
      </c>
      <c r="B16" s="55" t="s">
        <v>205</v>
      </c>
      <c r="C16" s="11" t="s">
        <v>135</v>
      </c>
      <c r="D16" s="44">
        <v>15426</v>
      </c>
      <c r="E16" s="44">
        <v>170400</v>
      </c>
      <c r="F16" s="69">
        <f t="shared" si="0"/>
        <v>0.77577312116401975</v>
      </c>
      <c r="G16" s="11" t="s">
        <v>168</v>
      </c>
      <c r="H16" s="44">
        <v>15426</v>
      </c>
      <c r="I16" s="44">
        <v>145200</v>
      </c>
      <c r="J16" s="69">
        <f t="shared" si="1"/>
        <v>0.65815523808522647</v>
      </c>
      <c r="K16" s="44" t="s">
        <v>135</v>
      </c>
      <c r="L16" s="44">
        <v>15256</v>
      </c>
      <c r="M16" s="44">
        <v>101700</v>
      </c>
      <c r="N16" s="69">
        <f t="shared" si="2"/>
        <v>0.52139634271254609</v>
      </c>
      <c r="O16" s="11" t="s">
        <v>135</v>
      </c>
      <c r="P16" s="44">
        <v>33450</v>
      </c>
      <c r="Q16" s="44">
        <v>388160</v>
      </c>
      <c r="R16" s="69">
        <f t="shared" si="3"/>
        <v>0.85653333725082603</v>
      </c>
      <c r="S16" s="57" t="s">
        <v>72</v>
      </c>
      <c r="T16" s="44">
        <v>21000</v>
      </c>
      <c r="U16" s="44">
        <v>948000</v>
      </c>
      <c r="V16" s="69">
        <f t="shared" si="4"/>
        <v>2.9392769392769393</v>
      </c>
      <c r="W16" s="44" t="s">
        <v>72</v>
      </c>
      <c r="X16" s="11"/>
      <c r="Y16" s="44"/>
      <c r="Z16" s="69" t="str">
        <f t="shared" si="5"/>
        <v/>
      </c>
      <c r="AA16" s="44"/>
      <c r="AB16" s="44"/>
      <c r="AC16" s="69" t="str">
        <f t="shared" si="6"/>
        <v/>
      </c>
      <c r="AD16" s="95" t="s">
        <v>72</v>
      </c>
      <c r="AE16" s="18">
        <v>1500</v>
      </c>
      <c r="AF16" s="18">
        <v>917</v>
      </c>
      <c r="AG16" s="69">
        <f t="shared" si="7"/>
        <v>0.61133333333333328</v>
      </c>
      <c r="AH16" s="86" t="s">
        <v>136</v>
      </c>
      <c r="AI16" s="18">
        <v>1000</v>
      </c>
      <c r="AJ16" s="18">
        <v>926</v>
      </c>
      <c r="AK16" s="69">
        <f t="shared" si="8"/>
        <v>0.92600000000000005</v>
      </c>
      <c r="AL16" s="18"/>
      <c r="AM16" s="18">
        <v>2000</v>
      </c>
      <c r="AN16" s="18">
        <v>980</v>
      </c>
      <c r="AO16" s="69">
        <f t="shared" si="9"/>
        <v>0.49</v>
      </c>
      <c r="AP16" s="44" t="s">
        <v>136</v>
      </c>
      <c r="AQ16" s="3">
        <v>4500</v>
      </c>
      <c r="AR16" s="3">
        <v>15000</v>
      </c>
      <c r="AS16" s="69">
        <f t="shared" si="10"/>
        <v>0.20223348348348347</v>
      </c>
      <c r="AT16" s="44" t="s">
        <v>136</v>
      </c>
      <c r="AU16" s="3">
        <v>23400</v>
      </c>
      <c r="AV16" s="3">
        <v>862860</v>
      </c>
      <c r="AW16" s="69">
        <f t="shared" si="11"/>
        <v>2.2906245351331491</v>
      </c>
      <c r="AX16" s="44" t="s">
        <v>136</v>
      </c>
      <c r="AY16" s="3">
        <v>7875</v>
      </c>
      <c r="AZ16" s="3">
        <v>75000</v>
      </c>
      <c r="BA16" s="69">
        <f t="shared" si="12"/>
        <v>0.58301158302615841</v>
      </c>
      <c r="BB16" s="44" t="s">
        <v>136</v>
      </c>
      <c r="BC16" s="3">
        <v>5500</v>
      </c>
      <c r="BD16" s="3">
        <v>94285</v>
      </c>
      <c r="BE16" s="69">
        <f t="shared" si="13"/>
        <v>1.0953417102870648</v>
      </c>
      <c r="BF16" s="44" t="s">
        <v>136</v>
      </c>
      <c r="BG16" s="3">
        <v>4950</v>
      </c>
      <c r="BH16" s="3">
        <v>6270</v>
      </c>
      <c r="BI16" s="69">
        <f t="shared" si="14"/>
        <v>1.2666666666666666</v>
      </c>
    </row>
    <row r="17" spans="1:61" s="3" customFormat="1" x14ac:dyDescent="0.3">
      <c r="A17" s="55" t="s">
        <v>160</v>
      </c>
      <c r="B17" s="55" t="s">
        <v>207</v>
      </c>
      <c r="C17" s="11"/>
      <c r="D17" s="44"/>
      <c r="E17" s="44"/>
      <c r="F17" s="69" t="str">
        <f t="shared" si="0"/>
        <v/>
      </c>
      <c r="G17" s="11"/>
      <c r="H17" s="44"/>
      <c r="I17" s="44"/>
      <c r="J17" s="69" t="str">
        <f t="shared" si="1"/>
        <v/>
      </c>
      <c r="K17" s="44"/>
      <c r="L17" s="44"/>
      <c r="M17" s="44"/>
      <c r="N17" s="69" t="str">
        <f t="shared" si="2"/>
        <v/>
      </c>
      <c r="O17" s="11"/>
      <c r="P17" s="44"/>
      <c r="Q17" s="44"/>
      <c r="R17" s="69" t="str">
        <f t="shared" si="3"/>
        <v/>
      </c>
      <c r="S17" s="44"/>
      <c r="T17" s="44"/>
      <c r="U17" s="44"/>
      <c r="V17" s="69" t="str">
        <f t="shared" si="4"/>
        <v/>
      </c>
      <c r="W17" s="11"/>
      <c r="X17" s="11"/>
      <c r="Y17" s="44"/>
      <c r="Z17" s="69" t="str">
        <f t="shared" si="5"/>
        <v/>
      </c>
      <c r="AA17" s="44"/>
      <c r="AB17" s="44"/>
      <c r="AC17" s="69" t="str">
        <f t="shared" si="6"/>
        <v/>
      </c>
      <c r="AD17" s="92" t="s">
        <v>161</v>
      </c>
      <c r="AE17" s="18"/>
      <c r="AF17" s="18"/>
      <c r="AG17" s="69" t="str">
        <f t="shared" si="7"/>
        <v/>
      </c>
      <c r="AH17" s="86"/>
      <c r="AI17" s="18">
        <v>150</v>
      </c>
      <c r="AJ17" s="18">
        <v>8333</v>
      </c>
      <c r="AK17" s="69">
        <f t="shared" si="8"/>
        <v>55.553333333333335</v>
      </c>
      <c r="AL17" s="18"/>
      <c r="AM17" s="18">
        <v>120</v>
      </c>
      <c r="AN17" s="18">
        <v>6471</v>
      </c>
      <c r="AO17" s="69">
        <f t="shared" si="9"/>
        <v>53.924999999999997</v>
      </c>
      <c r="AP17" s="11" t="s">
        <v>161</v>
      </c>
      <c r="AQ17" s="3">
        <v>50</v>
      </c>
      <c r="AR17" s="3">
        <v>45000</v>
      </c>
      <c r="AS17" s="69">
        <f t="shared" si="10"/>
        <v>54.603040540540533</v>
      </c>
      <c r="AT17" s="11" t="s">
        <v>161</v>
      </c>
      <c r="AV17" s="3">
        <v>128570</v>
      </c>
      <c r="AW17" s="69" t="str">
        <f t="shared" si="11"/>
        <v/>
      </c>
      <c r="AX17" s="11" t="s">
        <v>161</v>
      </c>
      <c r="AZ17" s="3">
        <v>120000</v>
      </c>
      <c r="BA17" s="69" t="str">
        <f t="shared" si="12"/>
        <v/>
      </c>
      <c r="BB17" s="11" t="s">
        <v>161</v>
      </c>
      <c r="BD17" s="3">
        <v>40000</v>
      </c>
      <c r="BE17" s="69" t="str">
        <f t="shared" si="13"/>
        <v/>
      </c>
      <c r="BF17" s="44" t="s">
        <v>136</v>
      </c>
      <c r="BH17" s="3">
        <v>3333</v>
      </c>
      <c r="BI17" s="69" t="str">
        <f t="shared" si="14"/>
        <v/>
      </c>
    </row>
    <row r="18" spans="1:61" s="3" customFormat="1" x14ac:dyDescent="0.3">
      <c r="A18" s="55" t="s">
        <v>142</v>
      </c>
      <c r="B18" s="55" t="s">
        <v>205</v>
      </c>
      <c r="C18" s="11" t="s">
        <v>135</v>
      </c>
      <c r="D18" s="44">
        <v>485</v>
      </c>
      <c r="E18" s="44">
        <v>13920</v>
      </c>
      <c r="F18" s="69">
        <f t="shared" si="0"/>
        <v>2.0156538919425522</v>
      </c>
      <c r="G18" s="11" t="s">
        <v>135</v>
      </c>
      <c r="H18" s="44">
        <v>485</v>
      </c>
      <c r="I18" s="44">
        <v>13920</v>
      </c>
      <c r="J18" s="69">
        <f t="shared" si="1"/>
        <v>2.0068390790040276</v>
      </c>
      <c r="K18" s="44" t="s">
        <v>135</v>
      </c>
      <c r="L18" s="44">
        <v>1571</v>
      </c>
      <c r="M18" s="44">
        <v>6880</v>
      </c>
      <c r="N18" s="69">
        <f t="shared" si="2"/>
        <v>0.34253106181814008</v>
      </c>
      <c r="O18" s="11" t="s">
        <v>135</v>
      </c>
      <c r="P18" s="44">
        <v>1103</v>
      </c>
      <c r="Q18" s="44">
        <v>4500</v>
      </c>
      <c r="R18" s="69">
        <f t="shared" si="3"/>
        <v>0.301138730422502</v>
      </c>
      <c r="S18" s="44" t="s">
        <v>135</v>
      </c>
      <c r="T18" s="44">
        <f>500*F68</f>
        <v>2982.3062500000001</v>
      </c>
      <c r="U18" s="44">
        <v>20000</v>
      </c>
      <c r="V18" s="69">
        <f t="shared" si="4"/>
        <v>0.43664573422374114</v>
      </c>
      <c r="W18" s="44" t="s">
        <v>72</v>
      </c>
      <c r="X18" s="11"/>
      <c r="Y18" s="44"/>
      <c r="Z18" s="69" t="str">
        <f t="shared" si="5"/>
        <v/>
      </c>
      <c r="AA18" s="44"/>
      <c r="AB18" s="44"/>
      <c r="AC18" s="69" t="str">
        <f t="shared" si="6"/>
        <v/>
      </c>
      <c r="AD18" s="97" t="s">
        <v>91</v>
      </c>
      <c r="AE18" s="18">
        <f>F68*300</f>
        <v>1789.3837500000002</v>
      </c>
      <c r="AF18" s="18">
        <v>250</v>
      </c>
      <c r="AG18" s="69">
        <f t="shared" si="7"/>
        <v>0.13971290395366559</v>
      </c>
      <c r="AH18" s="86" t="s">
        <v>136</v>
      </c>
      <c r="AI18" s="18">
        <v>10000</v>
      </c>
      <c r="AJ18" s="18">
        <v>5556</v>
      </c>
      <c r="AK18" s="69">
        <f t="shared" si="8"/>
        <v>0.55559999999999998</v>
      </c>
      <c r="AL18" s="18"/>
      <c r="AM18" s="18"/>
      <c r="AN18" s="18"/>
      <c r="AO18" s="69" t="str">
        <f t="shared" si="9"/>
        <v/>
      </c>
      <c r="AP18" s="44" t="s">
        <v>136</v>
      </c>
      <c r="AQ18" s="3">
        <v>2500</v>
      </c>
      <c r="AR18" s="3">
        <v>35714</v>
      </c>
      <c r="AS18" s="69">
        <f t="shared" si="10"/>
        <v>0.86670799549549538</v>
      </c>
      <c r="AT18" s="44" t="s">
        <v>136</v>
      </c>
      <c r="AU18" s="3">
        <v>15000</v>
      </c>
      <c r="AV18" s="3">
        <v>642860</v>
      </c>
      <c r="AW18" s="69">
        <f t="shared" si="11"/>
        <v>2.6622851752345529</v>
      </c>
      <c r="AX18" s="44" t="s">
        <v>136</v>
      </c>
      <c r="AY18" s="3">
        <v>22000</v>
      </c>
      <c r="AZ18" s="3">
        <v>892860</v>
      </c>
      <c r="BA18" s="69">
        <f t="shared" si="12"/>
        <v>2.4844323096444207</v>
      </c>
      <c r="BB18" s="44" t="s">
        <v>136</v>
      </c>
      <c r="BC18" s="3">
        <v>29650</v>
      </c>
      <c r="BD18" s="3">
        <v>1443426</v>
      </c>
      <c r="BE18" s="69">
        <f t="shared" si="13"/>
        <v>3.110566826448744</v>
      </c>
      <c r="BF18" s="44" t="s">
        <v>136</v>
      </c>
      <c r="BG18" s="3">
        <v>4300</v>
      </c>
      <c r="BH18" s="3">
        <v>37267</v>
      </c>
      <c r="BI18" s="69">
        <f t="shared" si="14"/>
        <v>8.6667441860465111</v>
      </c>
    </row>
    <row r="19" spans="1:61" s="3" customFormat="1" x14ac:dyDescent="0.3">
      <c r="A19" s="55" t="s">
        <v>73</v>
      </c>
      <c r="B19" s="55" t="s">
        <v>205</v>
      </c>
      <c r="C19" s="11" t="s">
        <v>135</v>
      </c>
      <c r="D19" s="44">
        <f>F70*1400</f>
        <v>4262.5</v>
      </c>
      <c r="E19" s="44">
        <v>124000</v>
      </c>
      <c r="F19" s="69">
        <f t="shared" si="0"/>
        <v>2.0430347703074982</v>
      </c>
      <c r="G19" s="11" t="s">
        <v>135</v>
      </c>
      <c r="H19" s="44">
        <f>F70*1400</f>
        <v>4262.5</v>
      </c>
      <c r="I19" s="44">
        <v>124000</v>
      </c>
      <c r="J19" s="69">
        <f t="shared" si="1"/>
        <v>2.0341002159183978</v>
      </c>
      <c r="K19" s="11" t="s">
        <v>135</v>
      </c>
      <c r="L19" s="44">
        <f>F72*64000</f>
        <v>1342.8571428571429</v>
      </c>
      <c r="M19" s="44">
        <v>143600</v>
      </c>
      <c r="N19" s="69">
        <f t="shared" si="2"/>
        <v>8.3639674490738312</v>
      </c>
      <c r="O19" s="11" t="s">
        <v>135</v>
      </c>
      <c r="P19" s="44">
        <f>F72*1049000</f>
        <v>22010.267857142859</v>
      </c>
      <c r="Q19" s="44">
        <v>1908600</v>
      </c>
      <c r="R19" s="69">
        <f t="shared" si="3"/>
        <v>6.4005781627833018</v>
      </c>
      <c r="S19" s="11" t="s">
        <v>135</v>
      </c>
      <c r="T19" s="44">
        <f>F72*240000</f>
        <v>5035.7142857142862</v>
      </c>
      <c r="U19" s="44">
        <v>192000</v>
      </c>
      <c r="V19" s="69">
        <f t="shared" si="4"/>
        <v>2.4825134612368651</v>
      </c>
      <c r="W19" s="11" t="s">
        <v>135</v>
      </c>
      <c r="X19" s="44">
        <f>F72*3950</f>
        <v>82.879464285714292</v>
      </c>
      <c r="Y19" s="44">
        <v>1579</v>
      </c>
      <c r="Z19" s="69">
        <f t="shared" si="5"/>
        <v>19.05176407217883</v>
      </c>
      <c r="AA19" s="44">
        <f>F72*47200</f>
        <v>990.35714285714289</v>
      </c>
      <c r="AB19" s="44">
        <v>2285</v>
      </c>
      <c r="AC19" s="69">
        <f t="shared" si="6"/>
        <v>2.3072484673638658</v>
      </c>
      <c r="AD19" s="86" t="s">
        <v>136</v>
      </c>
      <c r="AE19" s="18">
        <f>F70*800</f>
        <v>2435.7142857142858</v>
      </c>
      <c r="AF19" s="18">
        <v>14222</v>
      </c>
      <c r="AG19" s="69">
        <f t="shared" si="7"/>
        <v>5.8389442815249266</v>
      </c>
      <c r="AH19" s="86" t="s">
        <v>136</v>
      </c>
      <c r="AI19" s="18">
        <f>F72*85000</f>
        <v>1783.4821428571431</v>
      </c>
      <c r="AJ19" s="18">
        <v>3148</v>
      </c>
      <c r="AK19" s="69">
        <f t="shared" si="8"/>
        <v>1.7650863579474341</v>
      </c>
      <c r="AL19" s="18"/>
      <c r="AM19" s="18">
        <f>F72*40000</f>
        <v>839.28571428571433</v>
      </c>
      <c r="AN19" s="18">
        <v>1569</v>
      </c>
      <c r="AO19" s="69">
        <f t="shared" si="9"/>
        <v>1.8694468085106382</v>
      </c>
      <c r="AP19" s="11" t="s">
        <v>135</v>
      </c>
      <c r="AQ19" s="3">
        <f>F72*70000</f>
        <v>1468.7500000000002</v>
      </c>
      <c r="AR19" s="3">
        <v>40000</v>
      </c>
      <c r="AS19" s="69">
        <f t="shared" si="10"/>
        <v>1.6522905884608008</v>
      </c>
      <c r="AT19" s="11" t="s">
        <v>135</v>
      </c>
      <c r="AU19" s="3">
        <f>F72*285000</f>
        <v>5979.9107142857147</v>
      </c>
      <c r="AV19" s="3">
        <v>244290</v>
      </c>
      <c r="AW19" s="69">
        <f t="shared" si="11"/>
        <v>2.5377008131008294</v>
      </c>
      <c r="AX19" s="11" t="s">
        <v>135</v>
      </c>
      <c r="AY19" s="65">
        <f>F70*6500</f>
        <v>19790.178571428572</v>
      </c>
      <c r="AZ19" s="3">
        <v>385725</v>
      </c>
      <c r="BA19" s="69">
        <f t="shared" si="12"/>
        <v>1.1931486578236479</v>
      </c>
      <c r="BB19" s="11" t="s">
        <v>135</v>
      </c>
      <c r="BC19" s="66">
        <f>F70*3500</f>
        <v>10656.25</v>
      </c>
      <c r="BD19" s="3">
        <v>175000</v>
      </c>
      <c r="BE19" s="69">
        <f t="shared" si="13"/>
        <v>1.0493089034460659</v>
      </c>
      <c r="BF19" s="11" t="s">
        <v>136</v>
      </c>
      <c r="BG19" s="3">
        <f>F70*8500</f>
        <v>25879.464285714286</v>
      </c>
      <c r="BH19" s="3">
        <v>10767</v>
      </c>
      <c r="BI19" s="69">
        <f t="shared" si="14"/>
        <v>0.41604416077281353</v>
      </c>
    </row>
    <row r="20" spans="1:61" s="3" customFormat="1" x14ac:dyDescent="0.3">
      <c r="A20" s="55" t="s">
        <v>162</v>
      </c>
      <c r="B20" s="55" t="s">
        <v>198</v>
      </c>
      <c r="C20" s="11"/>
      <c r="D20" s="44"/>
      <c r="E20" s="44"/>
      <c r="F20" s="69" t="str">
        <f t="shared" si="0"/>
        <v/>
      </c>
      <c r="G20" s="11"/>
      <c r="H20" s="44"/>
      <c r="I20" s="44"/>
      <c r="J20" s="69" t="str">
        <f t="shared" si="1"/>
        <v/>
      </c>
      <c r="K20" s="11"/>
      <c r="L20" s="44"/>
      <c r="M20" s="44"/>
      <c r="N20" s="69" t="str">
        <f t="shared" si="2"/>
        <v/>
      </c>
      <c r="O20" s="11"/>
      <c r="P20" s="44"/>
      <c r="Q20" s="44"/>
      <c r="R20" s="69" t="str">
        <f t="shared" si="3"/>
        <v/>
      </c>
      <c r="S20" s="54"/>
      <c r="T20" s="44"/>
      <c r="U20" s="44"/>
      <c r="V20" s="69" t="str">
        <f t="shared" si="4"/>
        <v/>
      </c>
      <c r="W20" s="11"/>
      <c r="X20" s="44"/>
      <c r="Y20" s="44"/>
      <c r="Z20" s="69" t="str">
        <f t="shared" si="5"/>
        <v/>
      </c>
      <c r="AA20" s="44"/>
      <c r="AB20" s="44"/>
      <c r="AC20" s="69" t="str">
        <f t="shared" si="6"/>
        <v/>
      </c>
      <c r="AD20" s="92"/>
      <c r="AE20" s="18"/>
      <c r="AF20" s="18"/>
      <c r="AG20" s="69" t="str">
        <f t="shared" si="7"/>
        <v/>
      </c>
      <c r="AH20" s="86"/>
      <c r="AI20" s="18"/>
      <c r="AJ20" s="18"/>
      <c r="AK20" s="69" t="str">
        <f t="shared" si="8"/>
        <v/>
      </c>
      <c r="AL20" s="18"/>
      <c r="AM20" s="18"/>
      <c r="AN20" s="18"/>
      <c r="AO20" s="69" t="str">
        <f t="shared" si="9"/>
        <v/>
      </c>
      <c r="AP20" s="44" t="s">
        <v>104</v>
      </c>
      <c r="AS20" s="69" t="str">
        <f t="shared" si="10"/>
        <v/>
      </c>
      <c r="AT20" s="44" t="s">
        <v>104</v>
      </c>
      <c r="AW20" s="69" t="str">
        <f t="shared" si="11"/>
        <v/>
      </c>
      <c r="AX20" s="44" t="s">
        <v>104</v>
      </c>
      <c r="AY20" s="3">
        <v>265000</v>
      </c>
      <c r="AZ20" s="3">
        <v>370845</v>
      </c>
      <c r="BA20" s="69">
        <f t="shared" si="12"/>
        <v>8.5666896993472644E-2</v>
      </c>
      <c r="BB20" s="44" t="s">
        <v>104</v>
      </c>
      <c r="BC20" s="3">
        <v>115000</v>
      </c>
      <c r="BD20" s="3">
        <v>131428</v>
      </c>
      <c r="BE20" s="69">
        <f t="shared" si="13"/>
        <v>7.3023016400123222E-2</v>
      </c>
      <c r="BF20" s="44" t="s">
        <v>104</v>
      </c>
      <c r="BG20" s="3">
        <v>185000</v>
      </c>
      <c r="BH20" s="3">
        <v>13867</v>
      </c>
      <c r="BI20" s="69">
        <f t="shared" si="14"/>
        <v>7.4956756756756754E-2</v>
      </c>
    </row>
    <row r="21" spans="1:61" s="3" customFormat="1" x14ac:dyDescent="0.3">
      <c r="A21" s="55" t="s">
        <v>83</v>
      </c>
      <c r="B21" s="55" t="s">
        <v>195</v>
      </c>
      <c r="C21" s="11" t="s">
        <v>72</v>
      </c>
      <c r="D21" s="44"/>
      <c r="E21" s="44"/>
      <c r="F21" s="69" t="str">
        <f t="shared" si="0"/>
        <v/>
      </c>
      <c r="G21" s="11" t="s">
        <v>72</v>
      </c>
      <c r="H21" s="44"/>
      <c r="I21" s="44"/>
      <c r="J21" s="69" t="str">
        <f t="shared" si="1"/>
        <v/>
      </c>
      <c r="K21" s="44" t="s">
        <v>72</v>
      </c>
      <c r="L21" s="44"/>
      <c r="M21" s="44"/>
      <c r="N21" s="69" t="str">
        <f t="shared" si="2"/>
        <v/>
      </c>
      <c r="O21" s="11" t="s">
        <v>72</v>
      </c>
      <c r="P21" s="44"/>
      <c r="Q21" s="44"/>
      <c r="R21" s="69" t="str">
        <f t="shared" si="3"/>
        <v/>
      </c>
      <c r="S21" s="44" t="s">
        <v>72</v>
      </c>
      <c r="T21" s="44"/>
      <c r="U21" s="44"/>
      <c r="V21" s="69" t="str">
        <f t="shared" si="4"/>
        <v/>
      </c>
      <c r="W21" s="11" t="s">
        <v>72</v>
      </c>
      <c r="X21" s="11">
        <v>30</v>
      </c>
      <c r="Y21" s="44">
        <v>40</v>
      </c>
      <c r="Z21" s="69">
        <f t="shared" si="5"/>
        <v>1.3333333333333333</v>
      </c>
      <c r="AA21" s="44"/>
      <c r="AB21" s="44"/>
      <c r="AC21" s="69" t="str">
        <f t="shared" si="6"/>
        <v/>
      </c>
      <c r="AD21" s="92"/>
      <c r="AE21" s="18"/>
      <c r="AF21" s="18"/>
      <c r="AG21" s="69" t="str">
        <f t="shared" si="7"/>
        <v/>
      </c>
      <c r="AH21" s="86"/>
      <c r="AI21" s="18"/>
      <c r="AJ21" s="18"/>
      <c r="AK21" s="69" t="str">
        <f t="shared" si="8"/>
        <v/>
      </c>
      <c r="AL21" s="18"/>
      <c r="AM21" s="18"/>
      <c r="AN21" s="18"/>
      <c r="AO21" s="69" t="str">
        <f t="shared" si="9"/>
        <v/>
      </c>
      <c r="AP21" s="11" t="s">
        <v>72</v>
      </c>
      <c r="AS21" s="69" t="str">
        <f t="shared" si="10"/>
        <v/>
      </c>
      <c r="AT21" s="11" t="s">
        <v>72</v>
      </c>
      <c r="AW21" s="69" t="str">
        <f t="shared" si="11"/>
        <v/>
      </c>
      <c r="AX21" s="11" t="s">
        <v>72</v>
      </c>
      <c r="BA21" s="69" t="str">
        <f t="shared" si="12"/>
        <v/>
      </c>
      <c r="BB21" s="11" t="s">
        <v>72</v>
      </c>
      <c r="BE21" s="69" t="str">
        <f t="shared" si="13"/>
        <v/>
      </c>
      <c r="BI21" s="69" t="str">
        <f t="shared" si="14"/>
        <v/>
      </c>
    </row>
    <row r="22" spans="1:61" s="3" customFormat="1" ht="28.8" x14ac:dyDescent="0.3">
      <c r="A22" s="55" t="s">
        <v>86</v>
      </c>
      <c r="B22" s="55" t="s">
        <v>206</v>
      </c>
      <c r="C22" s="11" t="s">
        <v>75</v>
      </c>
      <c r="D22" s="44"/>
      <c r="E22" s="44"/>
      <c r="F22" s="69" t="str">
        <f t="shared" si="0"/>
        <v/>
      </c>
      <c r="G22" s="11" t="s">
        <v>75</v>
      </c>
      <c r="H22" s="44"/>
      <c r="I22" s="44"/>
      <c r="J22" s="69" t="str">
        <f t="shared" si="1"/>
        <v/>
      </c>
      <c r="K22" s="44" t="s">
        <v>75</v>
      </c>
      <c r="L22" s="44"/>
      <c r="M22" s="44"/>
      <c r="N22" s="69" t="str">
        <f t="shared" si="2"/>
        <v/>
      </c>
      <c r="O22" s="11" t="s">
        <v>75</v>
      </c>
      <c r="P22" s="44"/>
      <c r="Q22" s="44"/>
      <c r="R22" s="69" t="str">
        <f t="shared" si="3"/>
        <v/>
      </c>
      <c r="S22" s="44" t="s">
        <v>75</v>
      </c>
      <c r="T22" s="44"/>
      <c r="U22" s="44"/>
      <c r="V22" s="69" t="str">
        <f t="shared" si="4"/>
        <v/>
      </c>
      <c r="W22" s="11" t="s">
        <v>75</v>
      </c>
      <c r="X22" s="44">
        <v>7000</v>
      </c>
      <c r="Y22" s="44">
        <v>615</v>
      </c>
      <c r="Z22" s="69">
        <f t="shared" si="5"/>
        <v>8.7857142857142856E-2</v>
      </c>
      <c r="AA22" s="44"/>
      <c r="AB22" s="44"/>
      <c r="AC22" s="69" t="str">
        <f t="shared" si="6"/>
        <v/>
      </c>
      <c r="AD22" s="98" t="s">
        <v>91</v>
      </c>
      <c r="AE22" s="18">
        <v>2000</v>
      </c>
      <c r="AF22" s="18">
        <v>778</v>
      </c>
      <c r="AG22" s="69">
        <f t="shared" si="7"/>
        <v>0.38900000000000001</v>
      </c>
      <c r="AH22" s="86"/>
      <c r="AI22" s="94" t="s">
        <v>245</v>
      </c>
      <c r="AJ22" s="18">
        <v>1667</v>
      </c>
      <c r="AK22" s="69" t="str">
        <f t="shared" si="8"/>
        <v/>
      </c>
      <c r="AL22" s="18"/>
      <c r="AM22" s="94" t="s">
        <v>244</v>
      </c>
      <c r="AN22" s="18">
        <v>784</v>
      </c>
      <c r="AO22" s="69" t="str">
        <f t="shared" si="9"/>
        <v/>
      </c>
      <c r="AP22" s="11" t="s">
        <v>75</v>
      </c>
      <c r="AQ22" s="58" t="s">
        <v>163</v>
      </c>
      <c r="AR22" s="3">
        <v>57857</v>
      </c>
      <c r="AS22" s="69" t="str">
        <f t="shared" si="10"/>
        <v/>
      </c>
      <c r="AT22" s="11" t="s">
        <v>75</v>
      </c>
      <c r="AU22" s="58" t="s">
        <v>164</v>
      </c>
      <c r="AV22" s="3">
        <v>35790</v>
      </c>
      <c r="AW22" s="69" t="str">
        <f t="shared" si="11"/>
        <v/>
      </c>
      <c r="AX22" s="11" t="s">
        <v>75</v>
      </c>
      <c r="AY22" s="58" t="s">
        <v>165</v>
      </c>
      <c r="AZ22" s="3">
        <v>49710</v>
      </c>
      <c r="BA22" s="69" t="str">
        <f t="shared" si="12"/>
        <v/>
      </c>
      <c r="BB22" s="11" t="s">
        <v>75</v>
      </c>
      <c r="BC22" s="58" t="s">
        <v>166</v>
      </c>
      <c r="BD22" s="3">
        <f>12857+75142</f>
        <v>87999</v>
      </c>
      <c r="BE22" s="69" t="str">
        <f t="shared" si="13"/>
        <v/>
      </c>
      <c r="BF22" s="11" t="s">
        <v>143</v>
      </c>
      <c r="BH22" s="3">
        <v>7154</v>
      </c>
      <c r="BI22" s="69" t="str">
        <f t="shared" si="14"/>
        <v/>
      </c>
    </row>
    <row r="23" spans="1:61" s="3" customFormat="1" x14ac:dyDescent="0.3">
      <c r="A23" s="55" t="s">
        <v>87</v>
      </c>
      <c r="B23" s="55" t="s">
        <v>199</v>
      </c>
      <c r="C23" s="11" t="s">
        <v>70</v>
      </c>
      <c r="D23" s="44"/>
      <c r="E23" s="44"/>
      <c r="F23" s="69" t="str">
        <f t="shared" si="0"/>
        <v/>
      </c>
      <c r="G23" s="11" t="s">
        <v>70</v>
      </c>
      <c r="H23" s="44"/>
      <c r="I23" s="44"/>
      <c r="J23" s="69" t="str">
        <f t="shared" si="1"/>
        <v/>
      </c>
      <c r="K23" s="44" t="s">
        <v>70</v>
      </c>
      <c r="L23" s="44"/>
      <c r="M23" s="44"/>
      <c r="N23" s="69" t="str">
        <f t="shared" si="2"/>
        <v/>
      </c>
      <c r="O23" s="11" t="s">
        <v>70</v>
      </c>
      <c r="P23" s="44"/>
      <c r="Q23" s="44"/>
      <c r="R23" s="69" t="str">
        <f t="shared" si="3"/>
        <v/>
      </c>
      <c r="S23" s="44" t="s">
        <v>70</v>
      </c>
      <c r="T23" s="44"/>
      <c r="U23" s="44"/>
      <c r="V23" s="69" t="str">
        <f t="shared" si="4"/>
        <v/>
      </c>
      <c r="W23" s="11" t="s">
        <v>70</v>
      </c>
      <c r="X23" s="44">
        <v>1200</v>
      </c>
      <c r="Y23" s="44">
        <v>1054</v>
      </c>
      <c r="Z23" s="69">
        <f t="shared" si="5"/>
        <v>0.8783333333333333</v>
      </c>
      <c r="AA23" s="44">
        <v>1500</v>
      </c>
      <c r="AB23" s="44">
        <v>1318</v>
      </c>
      <c r="AC23" s="69">
        <f t="shared" si="6"/>
        <v>0.87866666666666671</v>
      </c>
      <c r="AG23" s="69" t="str">
        <f t="shared" si="7"/>
        <v/>
      </c>
      <c r="AK23" s="69" t="str">
        <f t="shared" si="8"/>
        <v/>
      </c>
      <c r="AO23" s="69" t="str">
        <f t="shared" si="9"/>
        <v/>
      </c>
      <c r="AP23" s="11" t="s">
        <v>70</v>
      </c>
      <c r="AS23" s="69" t="str">
        <f t="shared" si="10"/>
        <v/>
      </c>
      <c r="AT23" s="11" t="s">
        <v>70</v>
      </c>
      <c r="AW23" s="69" t="str">
        <f t="shared" si="11"/>
        <v/>
      </c>
      <c r="AX23" s="11" t="s">
        <v>70</v>
      </c>
      <c r="BA23" s="69" t="str">
        <f t="shared" si="12"/>
        <v/>
      </c>
      <c r="BB23" s="11" t="s">
        <v>70</v>
      </c>
      <c r="BE23" s="69" t="str">
        <f t="shared" si="13"/>
        <v/>
      </c>
      <c r="BI23" s="69" t="str">
        <f t="shared" si="14"/>
        <v/>
      </c>
    </row>
    <row r="24" spans="1:61" s="3" customFormat="1" x14ac:dyDescent="0.3">
      <c r="A24" s="55" t="s">
        <v>84</v>
      </c>
      <c r="B24" s="55" t="s">
        <v>196</v>
      </c>
      <c r="C24" s="11" t="s">
        <v>91</v>
      </c>
      <c r="D24" s="44"/>
      <c r="E24" s="44"/>
      <c r="F24" s="69" t="str">
        <f t="shared" si="0"/>
        <v/>
      </c>
      <c r="G24" s="11" t="s">
        <v>91</v>
      </c>
      <c r="H24" s="44"/>
      <c r="I24" s="44"/>
      <c r="J24" s="69" t="str">
        <f t="shared" si="1"/>
        <v/>
      </c>
      <c r="K24" s="44" t="s">
        <v>91</v>
      </c>
      <c r="L24" s="44"/>
      <c r="M24" s="44"/>
      <c r="N24" s="69" t="str">
        <f t="shared" si="2"/>
        <v/>
      </c>
      <c r="O24" s="11" t="s">
        <v>91</v>
      </c>
      <c r="P24" s="44"/>
      <c r="Q24" s="44"/>
      <c r="R24" s="69" t="str">
        <f t="shared" si="3"/>
        <v/>
      </c>
      <c r="S24" s="44" t="s">
        <v>91</v>
      </c>
      <c r="T24" s="44"/>
      <c r="U24" s="44"/>
      <c r="V24" s="69" t="str">
        <f t="shared" si="4"/>
        <v/>
      </c>
      <c r="W24" s="11" t="s">
        <v>91</v>
      </c>
      <c r="X24" s="11">
        <v>20</v>
      </c>
      <c r="Y24" s="44">
        <v>35</v>
      </c>
      <c r="Z24" s="69">
        <f t="shared" si="5"/>
        <v>1.75</v>
      </c>
      <c r="AA24" s="44"/>
      <c r="AB24" s="44"/>
      <c r="AC24" s="69" t="str">
        <f t="shared" si="6"/>
        <v/>
      </c>
      <c r="AD24" s="92"/>
      <c r="AE24" s="18"/>
      <c r="AF24" s="18"/>
      <c r="AG24" s="69" t="str">
        <f t="shared" si="7"/>
        <v/>
      </c>
      <c r="AH24" s="86"/>
      <c r="AI24" s="18"/>
      <c r="AJ24" s="18"/>
      <c r="AK24" s="69" t="str">
        <f t="shared" si="8"/>
        <v/>
      </c>
      <c r="AL24" s="18"/>
      <c r="AM24" s="18"/>
      <c r="AN24" s="18"/>
      <c r="AO24" s="69" t="str">
        <f t="shared" si="9"/>
        <v/>
      </c>
      <c r="AP24" s="11" t="s">
        <v>91</v>
      </c>
      <c r="AS24" s="69" t="str">
        <f t="shared" si="10"/>
        <v/>
      </c>
      <c r="AT24" s="11" t="s">
        <v>91</v>
      </c>
      <c r="AW24" s="69" t="str">
        <f t="shared" si="11"/>
        <v/>
      </c>
      <c r="AX24" s="11" t="s">
        <v>91</v>
      </c>
      <c r="BA24" s="69" t="str">
        <f t="shared" si="12"/>
        <v/>
      </c>
      <c r="BB24" s="11" t="s">
        <v>91</v>
      </c>
      <c r="BE24" s="69" t="str">
        <f t="shared" si="13"/>
        <v/>
      </c>
      <c r="BI24" s="69" t="str">
        <f t="shared" si="14"/>
        <v/>
      </c>
    </row>
    <row r="25" spans="1:61" s="3" customFormat="1" x14ac:dyDescent="0.3">
      <c r="A25" s="55" t="s">
        <v>47</v>
      </c>
      <c r="B25" s="55" t="s">
        <v>205</v>
      </c>
      <c r="C25" s="11" t="s">
        <v>135</v>
      </c>
      <c r="D25" s="44">
        <f>F74*5000</f>
        <v>5749.3185312499991</v>
      </c>
      <c r="E25" s="44">
        <v>3420000</v>
      </c>
      <c r="F25" s="69">
        <f t="shared" si="0"/>
        <v>41.776129445389266</v>
      </c>
      <c r="G25" s="11" t="s">
        <v>135</v>
      </c>
      <c r="H25" s="44">
        <f>F74*5000</f>
        <v>5749.3185312499991</v>
      </c>
      <c r="I25" s="44">
        <v>3420000</v>
      </c>
      <c r="J25" s="69">
        <f t="shared" si="1"/>
        <v>41.593435001750528</v>
      </c>
      <c r="K25" s="11" t="s">
        <v>135</v>
      </c>
      <c r="L25" s="44">
        <f>F74*2600</f>
        <v>2989.6456362499998</v>
      </c>
      <c r="M25" s="44">
        <v>2652000</v>
      </c>
      <c r="N25" s="69">
        <f t="shared" si="2"/>
        <v>69.381153040345183</v>
      </c>
      <c r="O25" s="11" t="s">
        <v>135</v>
      </c>
      <c r="P25" s="44">
        <f>F74*5300</f>
        <v>6094.2776431249995</v>
      </c>
      <c r="Q25" s="44">
        <v>5300000</v>
      </c>
      <c r="R25" s="69">
        <f t="shared" si="3"/>
        <v>64.192345937389504</v>
      </c>
      <c r="S25" s="11" t="s">
        <v>135</v>
      </c>
      <c r="T25" s="44">
        <f>F74*5100</f>
        <v>5864.3049018749998</v>
      </c>
      <c r="U25" s="44">
        <v>3507000</v>
      </c>
      <c r="V25" s="69">
        <f t="shared" si="4"/>
        <v>38.937735275282769</v>
      </c>
      <c r="W25" s="11" t="s">
        <v>135</v>
      </c>
      <c r="X25" s="11">
        <f>F74*5700</f>
        <v>6554.2231256249997</v>
      </c>
      <c r="Y25" s="44">
        <v>250549</v>
      </c>
      <c r="Z25" s="69">
        <f t="shared" si="5"/>
        <v>38.227108720243343</v>
      </c>
      <c r="AA25" s="44">
        <f>F74*4500</f>
        <v>5174.3866781249999</v>
      </c>
      <c r="AB25" s="44">
        <v>276923</v>
      </c>
      <c r="AC25" s="69">
        <f t="shared" si="6"/>
        <v>53.518033580812002</v>
      </c>
      <c r="AD25" s="11" t="s">
        <v>135</v>
      </c>
      <c r="AE25" s="18">
        <f>F74*3950</f>
        <v>4541.9616396874999</v>
      </c>
      <c r="AF25" s="18">
        <v>285278</v>
      </c>
      <c r="AG25" s="69">
        <f t="shared" si="7"/>
        <v>62.809425228793422</v>
      </c>
      <c r="AH25" s="86"/>
      <c r="AI25" s="18">
        <f>F74*3250</f>
        <v>3737.0570453124997</v>
      </c>
      <c r="AJ25" s="18">
        <v>228704</v>
      </c>
      <c r="AK25" s="69">
        <f t="shared" si="8"/>
        <v>61.19895876004091</v>
      </c>
      <c r="AL25" s="18"/>
      <c r="AM25" s="18">
        <f>F74*3200</f>
        <v>3679.5638599999997</v>
      </c>
      <c r="AN25" s="18">
        <v>175686</v>
      </c>
      <c r="AO25" s="69">
        <f t="shared" si="9"/>
        <v>47.746419598761904</v>
      </c>
      <c r="AP25" s="11" t="s">
        <v>135</v>
      </c>
      <c r="AQ25" s="3">
        <f>F74*3500</f>
        <v>4024.5229718749997</v>
      </c>
      <c r="AR25" s="3">
        <v>3000000</v>
      </c>
      <c r="AS25" s="69">
        <f t="shared" si="10"/>
        <v>45.225269282122582</v>
      </c>
      <c r="AT25" s="11" t="s">
        <v>135</v>
      </c>
      <c r="AU25" s="3">
        <f>F74*3770</f>
        <v>4334.9861725624996</v>
      </c>
      <c r="AV25" s="3">
        <v>3445710</v>
      </c>
      <c r="AW25" s="69">
        <f t="shared" si="11"/>
        <v>49.376515177207267</v>
      </c>
      <c r="AX25" s="11" t="s">
        <v>135</v>
      </c>
      <c r="AY25" s="3">
        <f>F74*3950</f>
        <v>4541.9616396874999</v>
      </c>
      <c r="AZ25" s="3">
        <v>3950010</v>
      </c>
      <c r="BA25" s="69">
        <f t="shared" si="12"/>
        <v>53.237936690037358</v>
      </c>
      <c r="BB25" s="11" t="s">
        <v>135</v>
      </c>
      <c r="BC25" s="3">
        <f>F74*4250</f>
        <v>4886.9207515624994</v>
      </c>
      <c r="BD25" s="3">
        <v>5160714</v>
      </c>
      <c r="BE25" s="69">
        <f t="shared" si="13"/>
        <v>67.475203838484489</v>
      </c>
      <c r="BF25" s="11" t="s">
        <v>136</v>
      </c>
      <c r="BG25" s="3">
        <f>F74*3950</f>
        <v>4541.9616396874999</v>
      </c>
      <c r="BH25" s="3">
        <v>265440</v>
      </c>
      <c r="BI25" s="69">
        <f t="shared" si="14"/>
        <v>58.441708904054735</v>
      </c>
    </row>
    <row r="26" spans="1:61" s="3" customFormat="1" x14ac:dyDescent="0.3">
      <c r="A26" s="55" t="s">
        <v>95</v>
      </c>
      <c r="B26" s="55" t="s">
        <v>200</v>
      </c>
      <c r="C26" s="11" t="s">
        <v>13</v>
      </c>
      <c r="D26" s="44">
        <v>5000</v>
      </c>
      <c r="E26" s="44">
        <v>80000</v>
      </c>
      <c r="F26" s="69">
        <f t="shared" si="0"/>
        <v>1.1236691236691239</v>
      </c>
      <c r="G26" s="11" t="s">
        <v>13</v>
      </c>
      <c r="H26" s="44">
        <v>5000</v>
      </c>
      <c r="I26" s="44">
        <v>80000</v>
      </c>
      <c r="J26" s="69">
        <f t="shared" si="1"/>
        <v>1.118755118755119</v>
      </c>
      <c r="K26" s="44" t="s">
        <v>13</v>
      </c>
      <c r="L26" s="44">
        <v>40000</v>
      </c>
      <c r="M26" s="44">
        <v>44000</v>
      </c>
      <c r="N26" s="69">
        <f t="shared" si="2"/>
        <v>8.6036036036036032E-2</v>
      </c>
      <c r="O26" s="11" t="s">
        <v>13</v>
      </c>
      <c r="P26" s="44" t="s">
        <v>149</v>
      </c>
      <c r="Q26" s="44">
        <v>34800</v>
      </c>
      <c r="R26" s="69" t="str">
        <f t="shared" si="3"/>
        <v/>
      </c>
      <c r="S26" s="44" t="s">
        <v>13</v>
      </c>
      <c r="T26" s="44">
        <v>4000</v>
      </c>
      <c r="U26" s="44">
        <v>48000</v>
      </c>
      <c r="V26" s="69">
        <f t="shared" si="4"/>
        <v>0.78132678132678135</v>
      </c>
      <c r="W26" s="54" t="s">
        <v>13</v>
      </c>
      <c r="X26" s="11"/>
      <c r="Y26" s="44"/>
      <c r="Z26" s="69" t="str">
        <f t="shared" si="5"/>
        <v/>
      </c>
      <c r="AA26" s="44">
        <v>500</v>
      </c>
      <c r="AB26" s="44">
        <v>550</v>
      </c>
      <c r="AC26" s="69">
        <f t="shared" si="6"/>
        <v>1.1000000000000001</v>
      </c>
      <c r="AG26" s="69" t="str">
        <f t="shared" si="7"/>
        <v/>
      </c>
      <c r="AK26" s="69" t="str">
        <f t="shared" si="8"/>
        <v/>
      </c>
      <c r="AO26" s="69" t="str">
        <f t="shared" si="9"/>
        <v/>
      </c>
      <c r="AP26" s="11" t="s">
        <v>13</v>
      </c>
      <c r="AS26" s="69" t="str">
        <f t="shared" si="10"/>
        <v/>
      </c>
      <c r="AT26" s="11" t="s">
        <v>13</v>
      </c>
      <c r="AW26" s="69" t="str">
        <f t="shared" si="11"/>
        <v/>
      </c>
      <c r="AX26" s="11" t="s">
        <v>13</v>
      </c>
      <c r="BA26" s="69" t="str">
        <f t="shared" si="12"/>
        <v/>
      </c>
      <c r="BB26" s="11" t="s">
        <v>13</v>
      </c>
      <c r="BE26" s="69" t="str">
        <f t="shared" si="13"/>
        <v/>
      </c>
      <c r="BI26" s="69" t="str">
        <f t="shared" si="14"/>
        <v/>
      </c>
    </row>
    <row r="27" spans="1:61" s="3" customFormat="1" x14ac:dyDescent="0.3">
      <c r="A27" s="55" t="s">
        <v>85</v>
      </c>
      <c r="B27" s="55" t="s">
        <v>195</v>
      </c>
      <c r="C27" s="11" t="s">
        <v>72</v>
      </c>
      <c r="D27" s="44"/>
      <c r="E27" s="44"/>
      <c r="F27" s="69" t="str">
        <f t="shared" si="0"/>
        <v/>
      </c>
      <c r="G27" s="11" t="s">
        <v>72</v>
      </c>
      <c r="H27" s="44"/>
      <c r="I27" s="44"/>
      <c r="J27" s="69" t="str">
        <f t="shared" si="1"/>
        <v/>
      </c>
      <c r="K27" s="44" t="s">
        <v>72</v>
      </c>
      <c r="L27" s="44"/>
      <c r="M27" s="44"/>
      <c r="N27" s="69" t="str">
        <f t="shared" si="2"/>
        <v/>
      </c>
      <c r="O27" s="11" t="s">
        <v>72</v>
      </c>
      <c r="P27" s="44"/>
      <c r="Q27" s="44"/>
      <c r="R27" s="69" t="str">
        <f t="shared" si="3"/>
        <v/>
      </c>
      <c r="S27" s="44" t="s">
        <v>72</v>
      </c>
      <c r="T27" s="44"/>
      <c r="U27" s="44"/>
      <c r="V27" s="69" t="str">
        <f t="shared" si="4"/>
        <v/>
      </c>
      <c r="W27" s="11" t="s">
        <v>72</v>
      </c>
      <c r="X27" s="18">
        <v>750</v>
      </c>
      <c r="Y27" s="44">
        <v>164</v>
      </c>
      <c r="Z27" s="69">
        <f t="shared" si="5"/>
        <v>0.21866666666666668</v>
      </c>
      <c r="AA27" s="44">
        <v>1000</v>
      </c>
      <c r="AB27" s="44">
        <v>550</v>
      </c>
      <c r="AC27" s="69">
        <f t="shared" si="6"/>
        <v>0.55000000000000004</v>
      </c>
      <c r="AD27" s="92"/>
      <c r="AE27" s="18"/>
      <c r="AF27" s="18"/>
      <c r="AG27" s="69" t="str">
        <f t="shared" si="7"/>
        <v/>
      </c>
      <c r="AH27" s="86"/>
      <c r="AI27" s="18"/>
      <c r="AJ27" s="18"/>
      <c r="AK27" s="69" t="str">
        <f t="shared" si="8"/>
        <v/>
      </c>
      <c r="AL27" s="18"/>
      <c r="AM27" s="18"/>
      <c r="AN27" s="18"/>
      <c r="AO27" s="69" t="str">
        <f t="shared" si="9"/>
        <v/>
      </c>
      <c r="AP27" s="11" t="s">
        <v>72</v>
      </c>
      <c r="AS27" s="69" t="str">
        <f t="shared" si="10"/>
        <v/>
      </c>
      <c r="AT27" s="11" t="s">
        <v>72</v>
      </c>
      <c r="AW27" s="69" t="str">
        <f t="shared" si="11"/>
        <v/>
      </c>
      <c r="AX27" s="11" t="s">
        <v>72</v>
      </c>
      <c r="BA27" s="69" t="str">
        <f t="shared" si="12"/>
        <v/>
      </c>
      <c r="BB27" s="11" t="s">
        <v>72</v>
      </c>
      <c r="BE27" s="69" t="str">
        <f t="shared" si="13"/>
        <v/>
      </c>
      <c r="BI27" s="69" t="str">
        <f t="shared" si="14"/>
        <v/>
      </c>
    </row>
    <row r="28" spans="1:61" s="3" customFormat="1" x14ac:dyDescent="0.3">
      <c r="A28" s="55" t="s">
        <v>88</v>
      </c>
      <c r="B28" s="55" t="s">
        <v>205</v>
      </c>
      <c r="C28" s="11" t="s">
        <v>135</v>
      </c>
      <c r="D28" s="44">
        <v>30170</v>
      </c>
      <c r="E28" s="44">
        <v>105980</v>
      </c>
      <c r="F28" s="69">
        <f t="shared" si="0"/>
        <v>0.24669881862457274</v>
      </c>
      <c r="G28" s="11" t="s">
        <v>135</v>
      </c>
      <c r="H28" s="44">
        <v>30170</v>
      </c>
      <c r="I28" s="44">
        <v>105980</v>
      </c>
      <c r="J28" s="69">
        <f t="shared" si="1"/>
        <v>0.2456199608171766</v>
      </c>
      <c r="K28" s="44" t="s">
        <v>135</v>
      </c>
      <c r="L28" s="44">
        <v>10485</v>
      </c>
      <c r="M28" s="44">
        <v>41230</v>
      </c>
      <c r="N28" s="69">
        <f t="shared" si="2"/>
        <v>0.30756195133877534</v>
      </c>
      <c r="O28" s="54" t="s">
        <v>135</v>
      </c>
      <c r="P28" s="44">
        <v>1230</v>
      </c>
      <c r="Q28" s="44">
        <v>7260</v>
      </c>
      <c r="R28" s="69">
        <f t="shared" si="3"/>
        <v>0.43567347835640524</v>
      </c>
      <c r="S28" s="11" t="s">
        <v>91</v>
      </c>
      <c r="T28" s="44">
        <v>3500</v>
      </c>
      <c r="U28" s="44">
        <v>35000</v>
      </c>
      <c r="V28" s="69">
        <f t="shared" si="4"/>
        <v>0.65110565110565122</v>
      </c>
      <c r="W28" s="11" t="s">
        <v>91</v>
      </c>
      <c r="X28" s="11">
        <v>525</v>
      </c>
      <c r="Y28" s="44">
        <v>387</v>
      </c>
      <c r="Z28" s="69">
        <f t="shared" si="5"/>
        <v>0.7371428571428571</v>
      </c>
      <c r="AA28" s="44"/>
      <c r="AB28" s="44"/>
      <c r="AC28" s="69" t="str">
        <f t="shared" si="6"/>
        <v/>
      </c>
      <c r="AD28" s="98" t="s">
        <v>91</v>
      </c>
      <c r="AE28" s="18">
        <v>1500</v>
      </c>
      <c r="AF28" s="18">
        <v>833</v>
      </c>
      <c r="AG28" s="69">
        <f t="shared" si="7"/>
        <v>0.55533333333333335</v>
      </c>
      <c r="AH28" s="86" t="s">
        <v>136</v>
      </c>
      <c r="AI28" s="18">
        <v>1500</v>
      </c>
      <c r="AJ28" s="18">
        <v>833</v>
      </c>
      <c r="AK28" s="69">
        <f t="shared" si="8"/>
        <v>0.55533333333333335</v>
      </c>
      <c r="AL28" s="18"/>
      <c r="AM28" s="18">
        <v>2000</v>
      </c>
      <c r="AN28" s="18">
        <v>1568</v>
      </c>
      <c r="AO28" s="69">
        <f t="shared" si="9"/>
        <v>0.78400000000000003</v>
      </c>
      <c r="AP28" s="11" t="s">
        <v>136</v>
      </c>
      <c r="AQ28" s="3">
        <v>5000</v>
      </c>
      <c r="AR28" s="3">
        <v>50000</v>
      </c>
      <c r="AS28" s="69">
        <f t="shared" si="10"/>
        <v>0.6067004504504504</v>
      </c>
      <c r="AT28" s="11" t="s">
        <v>136</v>
      </c>
      <c r="AU28" s="3">
        <v>3500</v>
      </c>
      <c r="AV28" s="3">
        <v>25000</v>
      </c>
      <c r="AW28" s="69">
        <f t="shared" si="11"/>
        <v>0.44371222381809738</v>
      </c>
      <c r="AX28" s="11" t="s">
        <v>136</v>
      </c>
      <c r="AY28" s="3">
        <v>2500</v>
      </c>
      <c r="AZ28" s="3">
        <v>15000</v>
      </c>
      <c r="BA28" s="69">
        <f t="shared" si="12"/>
        <v>0.36729729730647975</v>
      </c>
      <c r="BB28" s="11" t="s">
        <v>136</v>
      </c>
      <c r="BC28" s="3">
        <v>6500</v>
      </c>
      <c r="BD28" s="3">
        <v>37142</v>
      </c>
      <c r="BE28" s="69">
        <f t="shared" si="13"/>
        <v>0.36510824369510103</v>
      </c>
      <c r="BF28" s="11" t="s">
        <v>136</v>
      </c>
      <c r="BG28" s="3">
        <f>D76*7312</f>
        <v>12729.68016</v>
      </c>
      <c r="BH28" s="3">
        <v>2925</v>
      </c>
      <c r="BI28" s="69">
        <f t="shared" si="14"/>
        <v>0.2297779648220164</v>
      </c>
    </row>
    <row r="29" spans="1:61" s="3" customFormat="1" x14ac:dyDescent="0.3">
      <c r="A29" s="55" t="s">
        <v>89</v>
      </c>
      <c r="B29" s="55" t="s">
        <v>205</v>
      </c>
      <c r="C29" s="11" t="s">
        <v>136</v>
      </c>
      <c r="D29" s="44"/>
      <c r="E29" s="44"/>
      <c r="F29" s="69" t="str">
        <f t="shared" si="0"/>
        <v/>
      </c>
      <c r="G29" s="11" t="s">
        <v>136</v>
      </c>
      <c r="H29" s="44"/>
      <c r="I29" s="44"/>
      <c r="J29" s="69" t="str">
        <f t="shared" si="1"/>
        <v/>
      </c>
      <c r="K29" s="11" t="s">
        <v>136</v>
      </c>
      <c r="L29" s="44"/>
      <c r="M29" s="44"/>
      <c r="N29" s="69" t="str">
        <f t="shared" si="2"/>
        <v/>
      </c>
      <c r="O29" s="11" t="s">
        <v>136</v>
      </c>
      <c r="P29" s="44"/>
      <c r="Q29" s="44"/>
      <c r="R29" s="69" t="str">
        <f t="shared" si="3"/>
        <v/>
      </c>
      <c r="S29" s="11" t="s">
        <v>136</v>
      </c>
      <c r="T29" s="44"/>
      <c r="U29" s="44"/>
      <c r="V29" s="69" t="str">
        <f t="shared" si="4"/>
        <v/>
      </c>
      <c r="W29" s="11" t="s">
        <v>136</v>
      </c>
      <c r="X29" s="11">
        <f>F77*40</f>
        <v>86.428571428571416</v>
      </c>
      <c r="Y29" s="44">
        <v>1758</v>
      </c>
      <c r="Z29" s="69">
        <f t="shared" si="5"/>
        <v>20.340495867768599</v>
      </c>
      <c r="AA29" s="44"/>
      <c r="AB29" s="44"/>
      <c r="AC29" s="69" t="str">
        <f t="shared" si="6"/>
        <v/>
      </c>
      <c r="AD29" s="92"/>
      <c r="AE29" s="18"/>
      <c r="AF29" s="18"/>
      <c r="AG29" s="69" t="str">
        <f t="shared" si="7"/>
        <v/>
      </c>
      <c r="AH29" s="86"/>
      <c r="AI29" s="18"/>
      <c r="AJ29" s="18"/>
      <c r="AK29" s="69" t="str">
        <f t="shared" si="8"/>
        <v/>
      </c>
      <c r="AL29" s="18"/>
      <c r="AM29" s="18"/>
      <c r="AN29" s="18"/>
      <c r="AO29" s="69" t="str">
        <f t="shared" si="9"/>
        <v/>
      </c>
      <c r="AP29" s="46" t="s">
        <v>71</v>
      </c>
      <c r="AS29" s="69" t="str">
        <f t="shared" si="10"/>
        <v/>
      </c>
      <c r="AT29" s="46" t="s">
        <v>71</v>
      </c>
      <c r="AW29" s="69" t="str">
        <f t="shared" si="11"/>
        <v/>
      </c>
      <c r="AX29" s="46" t="s">
        <v>71</v>
      </c>
      <c r="BA29" s="69" t="str">
        <f t="shared" si="12"/>
        <v/>
      </c>
      <c r="BB29" s="46" t="s">
        <v>71</v>
      </c>
      <c r="BE29" s="69" t="str">
        <f t="shared" si="13"/>
        <v/>
      </c>
      <c r="BI29" s="69" t="str">
        <f t="shared" si="14"/>
        <v/>
      </c>
    </row>
    <row r="30" spans="1:61" s="3" customFormat="1" x14ac:dyDescent="0.3">
      <c r="A30" s="55" t="s">
        <v>21</v>
      </c>
      <c r="B30" s="55" t="s">
        <v>195</v>
      </c>
      <c r="C30" s="11" t="s">
        <v>72</v>
      </c>
      <c r="D30" s="44"/>
      <c r="E30" s="44"/>
      <c r="F30" s="69" t="str">
        <f t="shared" si="0"/>
        <v/>
      </c>
      <c r="G30" s="11" t="s">
        <v>72</v>
      </c>
      <c r="H30" s="44"/>
      <c r="I30" s="44"/>
      <c r="J30" s="69" t="str">
        <f t="shared" si="1"/>
        <v/>
      </c>
      <c r="K30" s="44" t="s">
        <v>72</v>
      </c>
      <c r="L30" s="44"/>
      <c r="M30" s="44"/>
      <c r="N30" s="69" t="str">
        <f t="shared" si="2"/>
        <v/>
      </c>
      <c r="O30" s="11" t="s">
        <v>72</v>
      </c>
      <c r="P30" s="44"/>
      <c r="Q30" s="44"/>
      <c r="R30" s="69" t="str">
        <f t="shared" si="3"/>
        <v/>
      </c>
      <c r="S30" s="44" t="s">
        <v>72</v>
      </c>
      <c r="T30" s="44"/>
      <c r="U30" s="44"/>
      <c r="V30" s="69" t="str">
        <f t="shared" si="4"/>
        <v/>
      </c>
      <c r="W30" s="54" t="s">
        <v>72</v>
      </c>
      <c r="X30" s="11">
        <v>700</v>
      </c>
      <c r="Y30" s="44">
        <v>2307</v>
      </c>
      <c r="Z30" s="69">
        <f t="shared" si="5"/>
        <v>3.2957142857142858</v>
      </c>
      <c r="AA30" s="44"/>
      <c r="AB30" s="44"/>
      <c r="AC30" s="69" t="str">
        <f t="shared" si="6"/>
        <v/>
      </c>
      <c r="AD30" s="92" t="s">
        <v>72</v>
      </c>
      <c r="AE30" s="18">
        <v>200</v>
      </c>
      <c r="AF30" s="18">
        <v>1778</v>
      </c>
      <c r="AG30" s="69">
        <f t="shared" si="7"/>
        <v>8.89</v>
      </c>
      <c r="AH30" s="86"/>
      <c r="AI30" s="18">
        <v>250</v>
      </c>
      <c r="AJ30" s="18">
        <v>3241</v>
      </c>
      <c r="AK30" s="69">
        <f t="shared" si="8"/>
        <v>12.964</v>
      </c>
      <c r="AL30" s="18"/>
      <c r="AM30" s="18"/>
      <c r="AN30" s="18"/>
      <c r="AO30" s="69" t="str">
        <f t="shared" si="9"/>
        <v/>
      </c>
      <c r="AP30" s="11" t="s">
        <v>72</v>
      </c>
      <c r="AS30" s="69" t="str">
        <f t="shared" si="10"/>
        <v/>
      </c>
      <c r="AT30" s="11" t="s">
        <v>72</v>
      </c>
      <c r="AW30" s="69" t="str">
        <f t="shared" si="11"/>
        <v/>
      </c>
      <c r="AX30" s="11" t="s">
        <v>72</v>
      </c>
      <c r="BA30" s="69" t="str">
        <f t="shared" si="12"/>
        <v/>
      </c>
      <c r="BB30" s="11" t="s">
        <v>72</v>
      </c>
      <c r="BE30" s="69" t="str">
        <f t="shared" si="13"/>
        <v/>
      </c>
      <c r="BI30" s="69" t="str">
        <f t="shared" si="14"/>
        <v/>
      </c>
    </row>
    <row r="31" spans="1:61" s="3" customFormat="1" x14ac:dyDescent="0.3">
      <c r="A31" s="55" t="s">
        <v>180</v>
      </c>
      <c r="B31" s="55" t="s">
        <v>205</v>
      </c>
      <c r="C31" s="11" t="s">
        <v>136</v>
      </c>
      <c r="D31" s="44"/>
      <c r="E31" s="44"/>
      <c r="F31" s="69" t="str">
        <f t="shared" si="0"/>
        <v/>
      </c>
      <c r="G31" s="11"/>
      <c r="H31" s="44"/>
      <c r="I31" s="44"/>
      <c r="J31" s="69" t="str">
        <f t="shared" si="1"/>
        <v/>
      </c>
      <c r="K31" s="44"/>
      <c r="L31" s="44"/>
      <c r="M31" s="44"/>
      <c r="N31" s="69" t="str">
        <f t="shared" si="2"/>
        <v/>
      </c>
      <c r="O31" s="11"/>
      <c r="P31" s="44"/>
      <c r="Q31" s="44"/>
      <c r="R31" s="69" t="str">
        <f t="shared" si="3"/>
        <v/>
      </c>
      <c r="S31" s="44"/>
      <c r="T31" s="44"/>
      <c r="U31" s="44"/>
      <c r="V31" s="69" t="str">
        <f t="shared" si="4"/>
        <v/>
      </c>
      <c r="W31" s="11"/>
      <c r="X31" s="11"/>
      <c r="Y31" s="44"/>
      <c r="Z31" s="69" t="str">
        <f t="shared" si="5"/>
        <v/>
      </c>
      <c r="AA31" s="44"/>
      <c r="AB31" s="44"/>
      <c r="AC31" s="69" t="str">
        <f t="shared" si="6"/>
        <v/>
      </c>
      <c r="AD31" s="92" t="s">
        <v>136</v>
      </c>
      <c r="AE31" s="18">
        <f>F77*50</f>
        <v>108.03571428571428</v>
      </c>
      <c r="AF31" s="18">
        <v>1111</v>
      </c>
      <c r="AG31" s="69">
        <f t="shared" si="7"/>
        <v>10.283636363636365</v>
      </c>
      <c r="AH31" s="86"/>
      <c r="AI31" s="18">
        <f>F77*120</f>
        <v>259.28571428571428</v>
      </c>
      <c r="AJ31" s="18">
        <v>3333</v>
      </c>
      <c r="AK31" s="69">
        <f t="shared" si="8"/>
        <v>12.854545454545455</v>
      </c>
      <c r="AL31" s="18"/>
      <c r="AM31" s="18">
        <f>F77*85</f>
        <v>183.66071428571428</v>
      </c>
      <c r="AN31" s="18">
        <v>2000</v>
      </c>
      <c r="AO31" s="69">
        <f t="shared" si="9"/>
        <v>10.889645114244045</v>
      </c>
      <c r="AP31" s="11" t="s">
        <v>136</v>
      </c>
      <c r="AQ31" s="3">
        <f>F77*150</f>
        <v>324.10714285714283</v>
      </c>
      <c r="AR31" s="3">
        <v>64286</v>
      </c>
      <c r="AS31" s="69">
        <f t="shared" si="10"/>
        <v>12.033781426054151</v>
      </c>
      <c r="AT31" s="11" t="s">
        <v>136</v>
      </c>
      <c r="AU31" s="3">
        <f>F77*270</f>
        <v>583.39285714285711</v>
      </c>
      <c r="AV31" s="3">
        <v>77140</v>
      </c>
      <c r="AW31" s="69">
        <f t="shared" si="11"/>
        <v>8.2138724766260101</v>
      </c>
      <c r="AX31" s="11" t="s">
        <v>136</v>
      </c>
      <c r="AY31" s="3">
        <f>F77*225</f>
        <v>486.16071428571428</v>
      </c>
      <c r="AZ31" s="3">
        <v>64275</v>
      </c>
      <c r="BA31" s="69">
        <f t="shared" si="12"/>
        <v>8.0933571590140403</v>
      </c>
      <c r="BB31" s="11" t="s">
        <v>136</v>
      </c>
      <c r="BC31" s="3">
        <f>F77*250</f>
        <v>540.17857142857144</v>
      </c>
      <c r="BD31" s="3">
        <v>107142</v>
      </c>
      <c r="BE31" s="69">
        <f t="shared" si="13"/>
        <v>12.673369783722071</v>
      </c>
      <c r="BF31" s="11" t="s">
        <v>136</v>
      </c>
      <c r="BG31" s="3">
        <f>F77*185</f>
        <v>399.73214285714283</v>
      </c>
      <c r="BH31" s="3">
        <v>6273</v>
      </c>
      <c r="BI31" s="69">
        <f t="shared" si="14"/>
        <v>15.693008711190531</v>
      </c>
    </row>
    <row r="32" spans="1:61" s="3" customFormat="1" x14ac:dyDescent="0.3">
      <c r="A32" s="55" t="s">
        <v>22</v>
      </c>
      <c r="B32" s="55" t="s">
        <v>205</v>
      </c>
      <c r="C32" s="11" t="s">
        <v>135</v>
      </c>
      <c r="D32" s="44">
        <v>17140</v>
      </c>
      <c r="E32" s="44">
        <v>192000</v>
      </c>
      <c r="F32" s="69">
        <f t="shared" si="0"/>
        <v>0.78669950315224546</v>
      </c>
      <c r="G32" s="11" t="s">
        <v>135</v>
      </c>
      <c r="H32" s="44">
        <v>17140</v>
      </c>
      <c r="I32" s="44">
        <v>384000</v>
      </c>
      <c r="J32" s="69">
        <f t="shared" si="1"/>
        <v>1.5665182526326051</v>
      </c>
      <c r="K32" s="44" t="s">
        <v>135</v>
      </c>
      <c r="L32" s="44">
        <v>21428</v>
      </c>
      <c r="M32" s="44">
        <v>420000</v>
      </c>
      <c r="N32" s="69">
        <f t="shared" si="2"/>
        <v>1.5330466142487795</v>
      </c>
      <c r="O32" s="11" t="s">
        <v>135</v>
      </c>
      <c r="P32" s="44">
        <v>34286</v>
      </c>
      <c r="Q32" s="44">
        <v>560000</v>
      </c>
      <c r="R32" s="69">
        <f t="shared" si="3"/>
        <v>1.2055932839926307</v>
      </c>
      <c r="S32" s="11" t="s">
        <v>135</v>
      </c>
      <c r="T32" s="44">
        <f>F78*25000</f>
        <v>33258.928571428572</v>
      </c>
      <c r="U32" s="44">
        <v>400000</v>
      </c>
      <c r="V32" s="69">
        <f t="shared" si="4"/>
        <v>0.78307471596062195</v>
      </c>
      <c r="W32" s="11" t="s">
        <v>135</v>
      </c>
      <c r="X32" s="44">
        <f>F78*85000</f>
        <v>113080.35714285713</v>
      </c>
      <c r="Y32" s="44">
        <f>10200000/18.2</f>
        <v>560439.56043956045</v>
      </c>
      <c r="Z32" s="69">
        <f t="shared" si="5"/>
        <v>4.9561177077955607</v>
      </c>
      <c r="AA32" s="44">
        <f>F78*15000</f>
        <v>19955.357142857141</v>
      </c>
      <c r="AB32" s="44">
        <v>115300</v>
      </c>
      <c r="AC32" s="69">
        <f t="shared" si="6"/>
        <v>5.7778970917225951</v>
      </c>
      <c r="AD32" s="92" t="s">
        <v>136</v>
      </c>
      <c r="AE32" s="18">
        <f>F78*22000</f>
        <v>29267.857142857141</v>
      </c>
      <c r="AF32" s="18">
        <v>26889</v>
      </c>
      <c r="AG32" s="69">
        <f t="shared" si="7"/>
        <v>0.91872117144600374</v>
      </c>
      <c r="AH32" s="100" t="s">
        <v>72</v>
      </c>
      <c r="AI32" s="18">
        <v>5000</v>
      </c>
      <c r="AJ32" s="18">
        <v>19445</v>
      </c>
      <c r="AK32" s="69">
        <f t="shared" si="8"/>
        <v>3.8889999999999998</v>
      </c>
      <c r="AL32" s="114"/>
      <c r="AM32" s="18"/>
      <c r="AN32" s="18"/>
      <c r="AO32" s="69" t="str">
        <f t="shared" si="9"/>
        <v/>
      </c>
      <c r="AP32" s="11" t="s">
        <v>135</v>
      </c>
      <c r="AQ32" s="3">
        <f>F78*30000</f>
        <v>39910.714285714283</v>
      </c>
      <c r="AR32" s="3">
        <v>471428</v>
      </c>
      <c r="AS32" s="69">
        <f t="shared" si="10"/>
        <v>0.71663858959630766</v>
      </c>
      <c r="AT32" s="11" t="s">
        <v>135</v>
      </c>
      <c r="AU32" s="3">
        <f>F78*27550</f>
        <v>36651.339285714283</v>
      </c>
      <c r="AV32" s="3">
        <v>472290</v>
      </c>
      <c r="AW32" s="69">
        <f t="shared" si="11"/>
        <v>0.80047602728728284</v>
      </c>
      <c r="AX32" s="11" t="s">
        <v>135</v>
      </c>
      <c r="AY32" s="3">
        <f>F78*29500</f>
        <v>39245.53571428571</v>
      </c>
      <c r="AZ32" s="3">
        <v>505725</v>
      </c>
      <c r="BA32" s="69">
        <f t="shared" si="12"/>
        <v>0.78884312274658874</v>
      </c>
      <c r="BB32" s="11" t="s">
        <v>135</v>
      </c>
      <c r="BC32" s="3">
        <f>F78*35600</f>
        <v>47360.714285714283</v>
      </c>
      <c r="BD32" s="3">
        <v>712000</v>
      </c>
      <c r="BE32" s="69">
        <f t="shared" si="13"/>
        <v>0.9605753988593515</v>
      </c>
      <c r="BF32" s="11" t="s">
        <v>136</v>
      </c>
      <c r="BG32" s="3">
        <f>F78*38500</f>
        <v>51218.75</v>
      </c>
      <c r="BH32" s="3">
        <v>38000</v>
      </c>
      <c r="BI32" s="69">
        <f t="shared" si="14"/>
        <v>0.74191580231848686</v>
      </c>
    </row>
    <row r="33" spans="1:61" s="3" customFormat="1" x14ac:dyDescent="0.3">
      <c r="A33" s="55" t="s">
        <v>64</v>
      </c>
      <c r="B33" s="55" t="s">
        <v>199</v>
      </c>
      <c r="C33" s="11" t="s">
        <v>70</v>
      </c>
      <c r="D33" s="44"/>
      <c r="E33" s="44"/>
      <c r="F33" s="69" t="str">
        <f t="shared" si="0"/>
        <v/>
      </c>
      <c r="G33" s="11" t="s">
        <v>70</v>
      </c>
      <c r="H33" s="44"/>
      <c r="I33" s="44"/>
      <c r="J33" s="69" t="str">
        <f t="shared" si="1"/>
        <v/>
      </c>
      <c r="K33" s="44" t="s">
        <v>70</v>
      </c>
      <c r="L33" s="44"/>
      <c r="M33" s="44"/>
      <c r="N33" s="69" t="str">
        <f t="shared" si="2"/>
        <v/>
      </c>
      <c r="O33" s="11" t="s">
        <v>70</v>
      </c>
      <c r="P33" s="44"/>
      <c r="Q33" s="44"/>
      <c r="R33" s="69" t="str">
        <f t="shared" si="3"/>
        <v/>
      </c>
      <c r="S33" s="44" t="s">
        <v>70</v>
      </c>
      <c r="T33" s="44"/>
      <c r="U33" s="44"/>
      <c r="V33" s="69" t="str">
        <f t="shared" si="4"/>
        <v/>
      </c>
      <c r="W33" s="11" t="s">
        <v>70</v>
      </c>
      <c r="X33" s="44">
        <v>400</v>
      </c>
      <c r="Y33" s="44">
        <v>880</v>
      </c>
      <c r="Z33" s="69">
        <f t="shared" si="5"/>
        <v>2.2000000000000002</v>
      </c>
      <c r="AA33" s="44"/>
      <c r="AB33" s="44"/>
      <c r="AC33" s="69" t="str">
        <f t="shared" si="6"/>
        <v/>
      </c>
      <c r="AD33" s="92"/>
      <c r="AE33" s="18"/>
      <c r="AF33" s="18"/>
      <c r="AG33" s="69" t="str">
        <f t="shared" si="7"/>
        <v/>
      </c>
      <c r="AH33" s="86"/>
      <c r="AI33" s="18"/>
      <c r="AJ33" s="18"/>
      <c r="AK33" s="69" t="str">
        <f t="shared" si="8"/>
        <v/>
      </c>
      <c r="AL33" s="18"/>
      <c r="AM33" s="18"/>
      <c r="AN33" s="18"/>
      <c r="AO33" s="69" t="str">
        <f t="shared" si="9"/>
        <v/>
      </c>
      <c r="AP33" s="11" t="s">
        <v>70</v>
      </c>
      <c r="AS33" s="69" t="str">
        <f t="shared" si="10"/>
        <v/>
      </c>
      <c r="AT33" s="11" t="s">
        <v>70</v>
      </c>
      <c r="AW33" s="69" t="str">
        <f t="shared" si="11"/>
        <v/>
      </c>
      <c r="AX33" s="11" t="s">
        <v>70</v>
      </c>
      <c r="BA33" s="69" t="str">
        <f t="shared" si="12"/>
        <v/>
      </c>
      <c r="BB33" s="11" t="s">
        <v>70</v>
      </c>
      <c r="BE33" s="69" t="str">
        <f t="shared" si="13"/>
        <v/>
      </c>
      <c r="BI33" s="69" t="str">
        <f t="shared" si="14"/>
        <v/>
      </c>
    </row>
    <row r="34" spans="1:61" s="3" customFormat="1" x14ac:dyDescent="0.3">
      <c r="A34" s="55" t="s">
        <v>260</v>
      </c>
      <c r="B34" s="55" t="s">
        <v>205</v>
      </c>
      <c r="C34" s="11" t="s">
        <v>135</v>
      </c>
      <c r="D34" s="44">
        <v>42857</v>
      </c>
      <c r="E34" s="44">
        <v>720000</v>
      </c>
      <c r="F34" s="69">
        <f t="shared" si="0"/>
        <v>1.1798565127076224</v>
      </c>
      <c r="G34" s="11" t="s">
        <v>135</v>
      </c>
      <c r="H34" s="44">
        <v>42857</v>
      </c>
      <c r="I34" s="44">
        <v>720000</v>
      </c>
      <c r="J34" s="69">
        <f t="shared" si="1"/>
        <v>1.1746967903488428</v>
      </c>
      <c r="K34" s="44" t="s">
        <v>135</v>
      </c>
      <c r="L34" s="44">
        <v>1500</v>
      </c>
      <c r="M34" s="44">
        <v>29400</v>
      </c>
      <c r="N34" s="69">
        <f t="shared" si="2"/>
        <v>1.5330057330057327</v>
      </c>
      <c r="O34" s="11" t="s">
        <v>136</v>
      </c>
      <c r="P34" s="44">
        <v>714</v>
      </c>
      <c r="Q34" s="44">
        <v>14000</v>
      </c>
      <c r="R34" s="69">
        <f t="shared" si="3"/>
        <v>1.4473029178911532</v>
      </c>
      <c r="S34" s="11" t="s">
        <v>136</v>
      </c>
      <c r="T34" s="44">
        <f>F79*300</f>
        <v>1824.453</v>
      </c>
      <c r="U34" s="44">
        <v>12000</v>
      </c>
      <c r="V34" s="69">
        <f t="shared" si="4"/>
        <v>0.42825262219787591</v>
      </c>
      <c r="W34" s="11" t="s">
        <v>135</v>
      </c>
      <c r="X34" s="44"/>
      <c r="Y34" s="44"/>
      <c r="Z34" s="69" t="str">
        <f t="shared" si="5"/>
        <v/>
      </c>
      <c r="AA34" s="44">
        <f>F79*150</f>
        <v>912.22649999999999</v>
      </c>
      <c r="AB34" s="44">
        <v>659</v>
      </c>
      <c r="AC34" s="69">
        <f t="shared" si="6"/>
        <v>0.72240830539345213</v>
      </c>
      <c r="AD34" s="92" t="s">
        <v>136</v>
      </c>
      <c r="AE34" s="18"/>
      <c r="AF34" s="18"/>
      <c r="AG34" s="69" t="str">
        <f t="shared" si="7"/>
        <v/>
      </c>
      <c r="AH34" s="18"/>
      <c r="AI34" s="18">
        <v>1500</v>
      </c>
      <c r="AJ34" s="18">
        <v>1944</v>
      </c>
      <c r="AK34" s="69">
        <f t="shared" si="8"/>
        <v>1.296</v>
      </c>
      <c r="AL34" s="18"/>
      <c r="AM34" s="18"/>
      <c r="AN34" s="18"/>
      <c r="AO34" s="69" t="str">
        <f t="shared" si="9"/>
        <v/>
      </c>
      <c r="AP34" s="11" t="s">
        <v>135</v>
      </c>
      <c r="AS34" s="69" t="str">
        <f t="shared" si="10"/>
        <v/>
      </c>
      <c r="AT34" s="11" t="s">
        <v>135</v>
      </c>
      <c r="AW34" s="69" t="str">
        <f t="shared" si="11"/>
        <v/>
      </c>
      <c r="AX34" s="11" t="s">
        <v>135</v>
      </c>
      <c r="BA34" s="69" t="str">
        <f t="shared" si="12"/>
        <v/>
      </c>
      <c r="BB34" s="11" t="s">
        <v>135</v>
      </c>
      <c r="BE34" s="69" t="str">
        <f t="shared" si="13"/>
        <v/>
      </c>
      <c r="BI34" s="69" t="str">
        <f t="shared" si="14"/>
        <v/>
      </c>
    </row>
    <row r="35" spans="1:61" s="3" customFormat="1" x14ac:dyDescent="0.3">
      <c r="A35" s="55" t="s">
        <v>96</v>
      </c>
      <c r="B35" s="55" t="s">
        <v>205</v>
      </c>
      <c r="C35" s="11" t="s">
        <v>135</v>
      </c>
      <c r="D35" s="44">
        <f>F80*2000</f>
        <v>6000</v>
      </c>
      <c r="E35" s="44">
        <v>800000</v>
      </c>
      <c r="F35" s="69">
        <f t="shared" si="0"/>
        <v>9.3639093639093645</v>
      </c>
      <c r="G35" s="11" t="s">
        <v>135</v>
      </c>
      <c r="H35" s="44">
        <f>F80*1400</f>
        <v>4200</v>
      </c>
      <c r="I35" s="44">
        <v>560000</v>
      </c>
      <c r="J35" s="69">
        <f t="shared" si="1"/>
        <v>9.3229593229593224</v>
      </c>
      <c r="K35" s="11" t="s">
        <v>136</v>
      </c>
      <c r="L35" s="44">
        <f>F80*1000</f>
        <v>3000</v>
      </c>
      <c r="M35" s="44">
        <v>400000</v>
      </c>
      <c r="N35" s="69">
        <f t="shared" si="2"/>
        <v>10.428610428610428</v>
      </c>
      <c r="O35" s="11" t="s">
        <v>136</v>
      </c>
      <c r="P35" s="44">
        <f>F79*700</f>
        <v>4257.0569999999998</v>
      </c>
      <c r="Q35" s="44">
        <v>154000</v>
      </c>
      <c r="R35" s="69">
        <f t="shared" si="3"/>
        <v>2.670182033530939</v>
      </c>
      <c r="S35" s="11" t="s">
        <v>136</v>
      </c>
      <c r="T35" s="44">
        <f>F80*500</f>
        <v>1500</v>
      </c>
      <c r="U35" s="44">
        <v>200000</v>
      </c>
      <c r="V35" s="69">
        <f t="shared" si="4"/>
        <v>8.6814086814086817</v>
      </c>
      <c r="W35" s="11" t="s">
        <v>135</v>
      </c>
      <c r="X35" s="44"/>
      <c r="Y35" s="44"/>
      <c r="Z35" s="69" t="str">
        <f t="shared" si="5"/>
        <v/>
      </c>
      <c r="AA35" s="44">
        <f>F80*9500</f>
        <v>28500</v>
      </c>
      <c r="AB35" s="44">
        <v>25054</v>
      </c>
      <c r="AC35" s="69">
        <f t="shared" si="6"/>
        <v>0.87908771929824558</v>
      </c>
      <c r="AD35" s="92" t="s">
        <v>136</v>
      </c>
      <c r="AE35" s="18">
        <f>F80*2000</f>
        <v>6000</v>
      </c>
      <c r="AF35" s="18">
        <v>44444</v>
      </c>
      <c r="AG35" s="69">
        <f t="shared" si="7"/>
        <v>7.4073333333333338</v>
      </c>
      <c r="AH35" s="92" t="s">
        <v>136</v>
      </c>
      <c r="AI35" s="18">
        <f>F80*2700</f>
        <v>8100</v>
      </c>
      <c r="AJ35" s="18">
        <v>50000</v>
      </c>
      <c r="AK35" s="69">
        <f t="shared" si="8"/>
        <v>6.1728395061728394</v>
      </c>
      <c r="AL35" s="92" t="s">
        <v>136</v>
      </c>
      <c r="AM35" s="18">
        <f>F79*2500</f>
        <v>15203.775</v>
      </c>
      <c r="AN35" s="18">
        <v>49020</v>
      </c>
      <c r="AO35" s="69">
        <f t="shared" si="9"/>
        <v>3.2241992531460113</v>
      </c>
      <c r="AP35" s="11" t="s">
        <v>135</v>
      </c>
      <c r="AQ35" s="3">
        <f>F79*4000</f>
        <v>24326.039999999997</v>
      </c>
      <c r="AR35" s="3">
        <v>1371429</v>
      </c>
      <c r="AS35" s="69">
        <f t="shared" si="10"/>
        <v>3.4203947377411645</v>
      </c>
      <c r="AT35" s="11" t="s">
        <v>135</v>
      </c>
      <c r="AU35" s="3">
        <f>F79*2965</f>
        <v>18031.67715</v>
      </c>
      <c r="AV35" s="3">
        <v>847140</v>
      </c>
      <c r="AW35" s="69">
        <f t="shared" si="11"/>
        <v>2.9184247156918968</v>
      </c>
      <c r="AX35" s="11" t="s">
        <v>135</v>
      </c>
      <c r="AY35" s="3">
        <f>F79*6700</f>
        <v>40746.116999999998</v>
      </c>
      <c r="AZ35" s="3">
        <v>1914285</v>
      </c>
      <c r="BA35" s="69">
        <f t="shared" si="12"/>
        <v>2.8759865501389767</v>
      </c>
      <c r="BB35" s="11" t="s">
        <v>135</v>
      </c>
      <c r="BC35" s="3">
        <f>F79*2900</f>
        <v>17636.379000000001</v>
      </c>
      <c r="BD35" s="3">
        <v>1242857</v>
      </c>
      <c r="BE35" s="69">
        <f t="shared" si="13"/>
        <v>4.502787475852581</v>
      </c>
      <c r="BF35" s="11" t="s">
        <v>136</v>
      </c>
      <c r="BG35" s="3">
        <f>F79*4535</f>
        <v>27579.647849999998</v>
      </c>
      <c r="BH35" s="3">
        <v>112166</v>
      </c>
      <c r="BI35" s="69">
        <f t="shared" si="14"/>
        <v>4.0669844883461774</v>
      </c>
    </row>
    <row r="36" spans="1:61" s="3" customFormat="1" x14ac:dyDescent="0.3">
      <c r="A36" s="55" t="s">
        <v>90</v>
      </c>
      <c r="B36" s="55" t="s">
        <v>200</v>
      </c>
      <c r="C36" s="11" t="s">
        <v>13</v>
      </c>
      <c r="D36" s="11"/>
      <c r="E36" s="44"/>
      <c r="F36" s="69" t="str">
        <f t="shared" si="0"/>
        <v/>
      </c>
      <c r="G36" s="11" t="s">
        <v>13</v>
      </c>
      <c r="H36" s="44"/>
      <c r="I36" s="44"/>
      <c r="J36" s="69" t="str">
        <f t="shared" si="1"/>
        <v/>
      </c>
      <c r="K36" s="44" t="s">
        <v>13</v>
      </c>
      <c r="L36" s="44"/>
      <c r="N36" s="69" t="str">
        <f t="shared" si="2"/>
        <v/>
      </c>
      <c r="O36" s="11" t="s">
        <v>13</v>
      </c>
      <c r="P36" s="44"/>
      <c r="Q36" s="44"/>
      <c r="R36" s="69" t="str">
        <f t="shared" si="3"/>
        <v/>
      </c>
      <c r="S36" s="44" t="s">
        <v>13</v>
      </c>
      <c r="T36" s="44"/>
      <c r="U36" s="44"/>
      <c r="V36" s="69" t="str">
        <f t="shared" si="4"/>
        <v/>
      </c>
      <c r="W36" s="11" t="s">
        <v>13</v>
      </c>
      <c r="X36" s="11">
        <v>25</v>
      </c>
      <c r="Y36" s="44">
        <v>65</v>
      </c>
      <c r="Z36" s="69">
        <f t="shared" si="5"/>
        <v>2.6</v>
      </c>
      <c r="AA36" s="11"/>
      <c r="AB36" s="44"/>
      <c r="AC36" s="69" t="str">
        <f t="shared" si="6"/>
        <v/>
      </c>
      <c r="AD36" s="92"/>
      <c r="AE36" s="18"/>
      <c r="AF36" s="18"/>
      <c r="AG36" s="69" t="str">
        <f t="shared" si="7"/>
        <v/>
      </c>
      <c r="AH36" s="18"/>
      <c r="AI36" s="18"/>
      <c r="AJ36" s="18"/>
      <c r="AK36" s="69" t="str">
        <f t="shared" si="8"/>
        <v/>
      </c>
      <c r="AL36" s="18"/>
      <c r="AM36" s="18"/>
      <c r="AN36" s="18"/>
      <c r="AO36" s="69" t="str">
        <f t="shared" si="9"/>
        <v/>
      </c>
      <c r="AP36" s="11" t="s">
        <v>13</v>
      </c>
      <c r="AS36" s="69" t="str">
        <f t="shared" si="10"/>
        <v/>
      </c>
      <c r="AT36" s="11" t="s">
        <v>13</v>
      </c>
      <c r="AW36" s="69" t="str">
        <f t="shared" si="11"/>
        <v/>
      </c>
      <c r="AX36" s="11" t="s">
        <v>13</v>
      </c>
      <c r="BA36" s="69" t="str">
        <f t="shared" si="12"/>
        <v/>
      </c>
      <c r="BB36" s="11" t="s">
        <v>13</v>
      </c>
      <c r="BE36" s="69" t="str">
        <f t="shared" si="13"/>
        <v/>
      </c>
      <c r="BI36" s="69" t="str">
        <f t="shared" si="14"/>
        <v/>
      </c>
    </row>
    <row r="37" spans="1:61" s="3" customFormat="1" x14ac:dyDescent="0.3">
      <c r="A37" s="10" t="s">
        <v>4</v>
      </c>
      <c r="B37" s="10"/>
      <c r="E37" s="44"/>
      <c r="F37" s="44">
        <v>6853560</v>
      </c>
      <c r="H37" s="44"/>
      <c r="I37" s="44">
        <v>6662360</v>
      </c>
      <c r="K37" s="10"/>
      <c r="L37" s="10"/>
      <c r="M37" s="44">
        <v>4980030</v>
      </c>
      <c r="N37" s="10"/>
      <c r="O37" s="10"/>
      <c r="P37" s="44"/>
      <c r="Q37" s="44">
        <v>9441410</v>
      </c>
      <c r="R37" s="44"/>
      <c r="S37" s="10"/>
      <c r="T37" s="44"/>
      <c r="U37" s="44">
        <v>6479600</v>
      </c>
      <c r="V37" s="44"/>
      <c r="Y37" s="44">
        <v>355697</v>
      </c>
      <c r="Z37" s="11"/>
      <c r="AB37" s="44">
        <v>669729</v>
      </c>
      <c r="AC37" s="11"/>
      <c r="AD37" s="92"/>
      <c r="AE37" s="18"/>
      <c r="AF37" s="18">
        <v>400556</v>
      </c>
      <c r="AG37" s="18"/>
      <c r="AH37" s="18"/>
      <c r="AI37" s="18"/>
      <c r="AJ37" s="18">
        <v>355455</v>
      </c>
      <c r="AK37" s="18"/>
      <c r="AL37" s="18"/>
      <c r="AM37" s="18"/>
      <c r="AN37" s="18">
        <v>288123</v>
      </c>
      <c r="AO37" s="18"/>
      <c r="AR37" s="3">
        <v>5816057</v>
      </c>
      <c r="AV37" s="3">
        <v>7227220</v>
      </c>
      <c r="AZ37" s="3">
        <v>9932535</v>
      </c>
      <c r="BD37" s="3">
        <v>11166277</v>
      </c>
      <c r="BH37" s="3">
        <v>580886</v>
      </c>
      <c r="BI37" s="69" t="str">
        <f t="shared" si="14"/>
        <v/>
      </c>
    </row>
    <row r="38" spans="1:61" s="3" customFormat="1" x14ac:dyDescent="0.3">
      <c r="O38" s="44"/>
      <c r="P38" s="44"/>
      <c r="Q38" s="44"/>
      <c r="S38" s="44"/>
      <c r="T38" s="44"/>
      <c r="U38" s="44"/>
      <c r="AD38" s="91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</row>
    <row r="39" spans="1:61" s="3" customFormat="1" x14ac:dyDescent="0.3">
      <c r="A39" s="17" t="s">
        <v>11</v>
      </c>
      <c r="B39" s="11"/>
      <c r="E39" s="11"/>
      <c r="AD39" s="91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</row>
    <row r="40" spans="1:61" s="3" customFormat="1" x14ac:dyDescent="0.3">
      <c r="A40" s="11"/>
      <c r="B40" s="11">
        <v>1</v>
      </c>
      <c r="C40" s="4" t="s">
        <v>15</v>
      </c>
      <c r="D40" s="6">
        <v>108</v>
      </c>
      <c r="E40" s="4" t="s">
        <v>12</v>
      </c>
      <c r="F40"/>
      <c r="G40"/>
      <c r="T40" s="11"/>
      <c r="U40" s="11"/>
      <c r="AD40" s="91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</row>
    <row r="41" spans="1:61" s="3" customFormat="1" x14ac:dyDescent="0.3">
      <c r="A41" s="11"/>
      <c r="B41" s="11">
        <v>1</v>
      </c>
      <c r="C41" s="4" t="s">
        <v>16</v>
      </c>
      <c r="D41" s="6">
        <v>32.5</v>
      </c>
      <c r="E41" s="4" t="s">
        <v>12</v>
      </c>
      <c r="T41" s="11"/>
      <c r="U41" s="11"/>
      <c r="AD41" s="91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</row>
    <row r="42" spans="1:61" s="3" customFormat="1" x14ac:dyDescent="0.3">
      <c r="A42" s="5"/>
      <c r="B42" s="11">
        <v>1</v>
      </c>
      <c r="C42" s="4" t="s">
        <v>24</v>
      </c>
      <c r="D42" s="6">
        <v>112</v>
      </c>
      <c r="E42" s="4" t="s">
        <v>25</v>
      </c>
      <c r="F42"/>
      <c r="G42"/>
      <c r="J42" s="11"/>
      <c r="R42" s="11"/>
      <c r="T42" s="11"/>
      <c r="U42" s="11"/>
      <c r="AD42" s="91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</row>
    <row r="43" spans="1:61" s="3" customFormat="1" x14ac:dyDescent="0.3">
      <c r="A43" s="11"/>
      <c r="B43" s="123">
        <v>1</v>
      </c>
      <c r="C43" s="124" t="s">
        <v>29</v>
      </c>
      <c r="D43" s="125">
        <v>130</v>
      </c>
      <c r="E43" s="126" t="s">
        <v>12</v>
      </c>
      <c r="F43"/>
      <c r="G43"/>
      <c r="J43" s="16"/>
      <c r="R43" s="16"/>
      <c r="S43" s="16"/>
      <c r="T43" s="11"/>
      <c r="U43" s="11"/>
      <c r="AD43" s="91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</row>
    <row r="44" spans="1:61" s="3" customFormat="1" x14ac:dyDescent="0.3">
      <c r="A44" s="11"/>
      <c r="B44" s="123"/>
      <c r="C44" s="124"/>
      <c r="D44" s="125"/>
      <c r="E44" s="126"/>
      <c r="J44" s="16"/>
      <c r="R44" s="16"/>
      <c r="S44" s="14"/>
      <c r="T44" s="18"/>
      <c r="U44" s="11"/>
      <c r="AD44" s="91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</row>
    <row r="45" spans="1:61" s="3" customFormat="1" x14ac:dyDescent="0.3">
      <c r="A45" s="11"/>
      <c r="B45" s="12">
        <v>1</v>
      </c>
      <c r="C45" s="4" t="s">
        <v>30</v>
      </c>
      <c r="D45" s="6">
        <v>260</v>
      </c>
      <c r="E45" s="4" t="s">
        <v>12</v>
      </c>
      <c r="J45" s="15"/>
      <c r="R45" s="15"/>
      <c r="U45" s="15"/>
      <c r="AD45" s="91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</row>
    <row r="46" spans="1:61" s="3" customFormat="1" x14ac:dyDescent="0.3">
      <c r="A46" s="11"/>
      <c r="B46" s="12">
        <v>1</v>
      </c>
      <c r="C46" s="4" t="s">
        <v>261</v>
      </c>
      <c r="D46" s="6">
        <f>D43/D42</f>
        <v>1.1607142857142858</v>
      </c>
      <c r="E46" s="4" t="s">
        <v>24</v>
      </c>
      <c r="AD46" s="91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</row>
    <row r="47" spans="1:61" s="3" customFormat="1" x14ac:dyDescent="0.3">
      <c r="A47" s="11"/>
      <c r="B47" s="12">
        <v>1</v>
      </c>
      <c r="C47" s="4" t="s">
        <v>30</v>
      </c>
      <c r="D47" s="6">
        <f>D45/D42</f>
        <v>2.3214285714285716</v>
      </c>
      <c r="E47" s="4" t="s">
        <v>24</v>
      </c>
      <c r="AD47" s="91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</row>
    <row r="48" spans="1:61" s="3" customFormat="1" x14ac:dyDescent="0.3">
      <c r="AD48" s="91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</row>
    <row r="49" spans="1:61" s="3" customFormat="1" x14ac:dyDescent="0.3">
      <c r="A49" s="3" t="s">
        <v>167</v>
      </c>
      <c r="B49" s="3">
        <v>1</v>
      </c>
      <c r="C49" s="62" t="s">
        <v>15</v>
      </c>
      <c r="D49" s="3">
        <v>0.5</v>
      </c>
      <c r="E49" s="62" t="s">
        <v>24</v>
      </c>
      <c r="AD49" s="92"/>
      <c r="AE49" s="41"/>
      <c r="AF49" s="41"/>
      <c r="AG49" s="41"/>
      <c r="AH49" s="41"/>
      <c r="AI49" s="41"/>
      <c r="AJ49" s="41"/>
      <c r="AK49" s="41"/>
      <c r="AL49" s="41"/>
      <c r="AM49" s="41"/>
      <c r="AN49" s="41"/>
      <c r="AO49" s="41"/>
    </row>
    <row r="50" spans="1:61" s="3" customFormat="1" x14ac:dyDescent="0.3">
      <c r="A50" t="s">
        <v>14</v>
      </c>
      <c r="B50">
        <v>1</v>
      </c>
      <c r="C50" s="4" t="s">
        <v>45</v>
      </c>
      <c r="D50" s="6">
        <v>1.5</v>
      </c>
      <c r="E50" s="4" t="s">
        <v>24</v>
      </c>
      <c r="F50"/>
      <c r="G50" s="4"/>
      <c r="AD50" s="91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</row>
    <row r="51" spans="1:61" s="3" customFormat="1" x14ac:dyDescent="0.3">
      <c r="A51" t="s">
        <v>6</v>
      </c>
      <c r="B51">
        <v>1</v>
      </c>
      <c r="C51" s="4" t="s">
        <v>45</v>
      </c>
      <c r="D51" s="6">
        <v>1.75</v>
      </c>
      <c r="E51" s="4" t="s">
        <v>24</v>
      </c>
      <c r="F51"/>
      <c r="G51" s="4"/>
      <c r="AD51" s="90"/>
    </row>
    <row r="52" spans="1:61" s="3" customFormat="1" x14ac:dyDescent="0.3">
      <c r="A52" t="s">
        <v>46</v>
      </c>
      <c r="B52">
        <v>1</v>
      </c>
      <c r="C52" s="4" t="s">
        <v>45</v>
      </c>
      <c r="D52" s="6">
        <v>1.5</v>
      </c>
      <c r="E52" s="4" t="s">
        <v>24</v>
      </c>
      <c r="F52"/>
      <c r="G52" s="4"/>
      <c r="AD52" s="90"/>
    </row>
    <row r="53" spans="1:61" s="3" customFormat="1" x14ac:dyDescent="0.3">
      <c r="A53" t="s">
        <v>47</v>
      </c>
      <c r="B53">
        <v>1</v>
      </c>
      <c r="C53" s="4" t="s">
        <v>48</v>
      </c>
      <c r="D53" s="6">
        <v>1.26</v>
      </c>
      <c r="E53" s="4" t="s">
        <v>24</v>
      </c>
      <c r="F53"/>
      <c r="G53" s="4"/>
      <c r="H53" s="14"/>
      <c r="N53" s="14"/>
      <c r="Q53" s="14"/>
      <c r="W53" s="14"/>
      <c r="Z53" s="14"/>
      <c r="AC53" s="14"/>
      <c r="AD53" s="90"/>
      <c r="AR53" s="14"/>
      <c r="AS53" s="14"/>
      <c r="AV53" s="14"/>
      <c r="AW53" s="14"/>
      <c r="AZ53" s="14"/>
      <c r="BA53" s="14"/>
      <c r="BD53" s="14"/>
    </row>
    <row r="54" spans="1:61" s="3" customFormat="1" x14ac:dyDescent="0.3">
      <c r="A54" t="s">
        <v>49</v>
      </c>
      <c r="B54">
        <v>1</v>
      </c>
      <c r="C54" s="4" t="s">
        <v>50</v>
      </c>
      <c r="D54" s="6">
        <v>15.9</v>
      </c>
      <c r="E54" s="4" t="s">
        <v>24</v>
      </c>
      <c r="F54"/>
      <c r="G54" s="4"/>
      <c r="H54" s="16"/>
      <c r="N54" s="16"/>
      <c r="Q54" s="16"/>
      <c r="W54" s="16"/>
      <c r="Z54" s="16"/>
      <c r="AC54" s="16"/>
      <c r="AD54" s="90"/>
      <c r="AR54" s="16"/>
      <c r="AS54" s="16"/>
      <c r="AV54" s="16"/>
      <c r="AW54" s="16"/>
      <c r="AZ54" s="16"/>
      <c r="BA54" s="16"/>
      <c r="BD54" s="16"/>
    </row>
    <row r="55" spans="1:61" s="3" customFormat="1" x14ac:dyDescent="0.3">
      <c r="A55" t="s">
        <v>81</v>
      </c>
      <c r="B55">
        <v>1</v>
      </c>
      <c r="C55" s="4" t="s">
        <v>52</v>
      </c>
      <c r="D55" s="6">
        <f>439.681/D42</f>
        <v>3.9257232142857141</v>
      </c>
      <c r="E55" s="4" t="s">
        <v>24</v>
      </c>
      <c r="F55"/>
      <c r="G55" s="4"/>
      <c r="H55" s="16"/>
      <c r="N55" s="16"/>
      <c r="Q55" s="16"/>
      <c r="W55" s="16"/>
      <c r="Z55" s="16"/>
      <c r="AC55" s="16"/>
      <c r="AD55" s="90"/>
      <c r="AR55" s="16"/>
      <c r="AS55" s="16"/>
      <c r="AV55" s="16"/>
      <c r="AW55" s="16"/>
      <c r="AZ55" s="16"/>
      <c r="BA55" s="16"/>
      <c r="BD55" s="16"/>
    </row>
    <row r="56" spans="1:61" s="3" customFormat="1" x14ac:dyDescent="0.3">
      <c r="A56" t="s">
        <v>51</v>
      </c>
      <c r="B56">
        <v>1</v>
      </c>
      <c r="C56" s="4" t="s">
        <v>52</v>
      </c>
      <c r="D56" s="6">
        <v>3</v>
      </c>
      <c r="E56" s="4" t="s">
        <v>24</v>
      </c>
      <c r="F56"/>
      <c r="G56" s="4"/>
      <c r="H56" s="16"/>
      <c r="N56" s="16"/>
      <c r="Q56" s="16"/>
      <c r="W56" s="16"/>
      <c r="Z56" s="16"/>
      <c r="AC56" s="16"/>
      <c r="AD56" s="90"/>
      <c r="AR56" s="16"/>
      <c r="AS56" s="16"/>
      <c r="AV56" s="16"/>
      <c r="AW56" s="16"/>
      <c r="AZ56" s="16"/>
      <c r="BA56" s="16"/>
      <c r="BD56" s="16"/>
      <c r="BF56"/>
      <c r="BG56"/>
      <c r="BH56"/>
      <c r="BI56"/>
    </row>
    <row r="57" spans="1:61" x14ac:dyDescent="0.3">
      <c r="A57" t="s">
        <v>53</v>
      </c>
      <c r="B57">
        <v>1</v>
      </c>
      <c r="C57" s="4" t="s">
        <v>52</v>
      </c>
      <c r="D57" s="6">
        <v>2.98</v>
      </c>
      <c r="E57" s="4" t="s">
        <v>24</v>
      </c>
      <c r="F57"/>
      <c r="G57" s="4"/>
      <c r="H57" s="6"/>
      <c r="I57"/>
      <c r="L57"/>
      <c r="M57" s="3"/>
      <c r="N57" s="6"/>
      <c r="O57"/>
      <c r="Q57" s="6"/>
      <c r="W57" s="6"/>
      <c r="X57"/>
      <c r="Z57" s="6"/>
      <c r="AA57"/>
      <c r="AC57" s="6"/>
      <c r="AD57" s="90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/>
      <c r="AR57" s="6"/>
      <c r="AS57" s="6"/>
      <c r="AT57"/>
      <c r="AV57" s="6"/>
      <c r="AW57" s="6"/>
      <c r="AX57"/>
      <c r="AZ57" s="6"/>
      <c r="BA57" s="6"/>
      <c r="BB57"/>
      <c r="BD57" s="6"/>
      <c r="BE57"/>
      <c r="BF57"/>
      <c r="BI57"/>
    </row>
    <row r="58" spans="1:61" x14ac:dyDescent="0.3">
      <c r="A58" t="s">
        <v>54</v>
      </c>
      <c r="B58">
        <v>1</v>
      </c>
      <c r="C58" s="4" t="s">
        <v>55</v>
      </c>
      <c r="D58" s="6">
        <v>9</v>
      </c>
      <c r="E58" s="4" t="s">
        <v>56</v>
      </c>
      <c r="F58"/>
      <c r="G58" s="4"/>
      <c r="H58" s="20"/>
      <c r="I58"/>
      <c r="L58"/>
      <c r="M58" s="3"/>
      <c r="N58" s="20"/>
      <c r="O58"/>
      <c r="Q58" s="20"/>
      <c r="W58" s="20"/>
      <c r="X58"/>
      <c r="Z58" s="20"/>
      <c r="AA58"/>
      <c r="AC58" s="20"/>
      <c r="AD58" s="90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/>
      <c r="AR58" s="20"/>
      <c r="AS58" s="20"/>
      <c r="AT58"/>
      <c r="AV58" s="20"/>
      <c r="AW58" s="20"/>
      <c r="AX58"/>
      <c r="AZ58" s="20"/>
      <c r="BA58" s="20"/>
      <c r="BB58"/>
      <c r="BD58" s="20"/>
      <c r="BE58"/>
      <c r="BF58"/>
      <c r="BI58"/>
    </row>
    <row r="59" spans="1:61" x14ac:dyDescent="0.3">
      <c r="A59" t="s">
        <v>57</v>
      </c>
      <c r="B59">
        <v>1</v>
      </c>
      <c r="C59" s="4" t="s">
        <v>58</v>
      </c>
      <c r="D59" s="6">
        <v>9</v>
      </c>
      <c r="E59" s="4" t="s">
        <v>56</v>
      </c>
      <c r="F59"/>
      <c r="G59" s="4"/>
      <c r="H59" s="6"/>
      <c r="I59"/>
      <c r="L59"/>
      <c r="M59" s="3"/>
      <c r="N59" s="6"/>
      <c r="O59"/>
      <c r="Q59" s="6"/>
      <c r="W59" s="6"/>
      <c r="X59"/>
      <c r="Z59" s="6"/>
      <c r="AA59"/>
      <c r="AC59" s="6"/>
      <c r="AD59" s="90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/>
      <c r="AR59" s="6"/>
      <c r="AS59" s="6"/>
      <c r="AT59"/>
      <c r="AV59" s="6"/>
      <c r="AW59" s="6"/>
      <c r="AX59"/>
      <c r="AZ59" s="6"/>
      <c r="BA59" s="6"/>
      <c r="BB59"/>
      <c r="BD59" s="6"/>
      <c r="BE59"/>
      <c r="BF59"/>
      <c r="BI59"/>
    </row>
    <row r="60" spans="1:61" x14ac:dyDescent="0.3">
      <c r="A60" t="s">
        <v>27</v>
      </c>
      <c r="B60">
        <v>1</v>
      </c>
      <c r="C60" s="4" t="s">
        <v>45</v>
      </c>
      <c r="D60" s="6">
        <v>1.75</v>
      </c>
      <c r="E60" s="4" t="s">
        <v>24</v>
      </c>
      <c r="F60"/>
      <c r="G60" s="4"/>
      <c r="H60" s="6"/>
      <c r="I60"/>
      <c r="L60"/>
      <c r="M60" s="3"/>
      <c r="N60" s="6"/>
      <c r="O60"/>
      <c r="Q60" s="6"/>
      <c r="W60" s="6"/>
      <c r="X60"/>
      <c r="Z60" s="6"/>
      <c r="AA60"/>
      <c r="AC60" s="6"/>
      <c r="AD60" s="90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/>
      <c r="AR60" s="6"/>
      <c r="AS60" s="6"/>
      <c r="AT60"/>
      <c r="AV60" s="6"/>
      <c r="AW60" s="6"/>
      <c r="AX60"/>
      <c r="AZ60" s="6"/>
      <c r="BA60" s="6"/>
      <c r="BB60"/>
      <c r="BD60" s="6"/>
      <c r="BE60"/>
      <c r="BF60"/>
      <c r="BI60"/>
    </row>
    <row r="61" spans="1:61" x14ac:dyDescent="0.3">
      <c r="A61" t="s">
        <v>60</v>
      </c>
      <c r="B61">
        <v>1</v>
      </c>
      <c r="C61" s="4" t="s">
        <v>61</v>
      </c>
      <c r="D61" s="6">
        <v>0.15175</v>
      </c>
      <c r="E61" s="4" t="s">
        <v>24</v>
      </c>
      <c r="F61">
        <v>16.997</v>
      </c>
      <c r="G61" s="4" t="s">
        <v>43</v>
      </c>
      <c r="H61" s="6"/>
      <c r="I61"/>
      <c r="L61" s="3"/>
      <c r="N61" s="6"/>
      <c r="O61" s="3"/>
      <c r="Q61" s="6"/>
      <c r="W61" s="6"/>
      <c r="X61"/>
      <c r="Z61" s="6"/>
      <c r="AA61"/>
      <c r="AC61" s="6"/>
      <c r="AD61" s="90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/>
      <c r="AR61" s="6"/>
      <c r="AS61" s="6"/>
      <c r="AT61"/>
      <c r="AV61" s="6"/>
      <c r="AW61" s="6"/>
      <c r="AX61"/>
      <c r="AZ61" s="6"/>
      <c r="BA61" s="6"/>
      <c r="BB61"/>
      <c r="BD61" s="6"/>
      <c r="BE61"/>
      <c r="BF61"/>
      <c r="BI61"/>
    </row>
    <row r="62" spans="1:61" x14ac:dyDescent="0.3">
      <c r="A62" t="s">
        <v>7</v>
      </c>
      <c r="B62">
        <v>1</v>
      </c>
      <c r="C62" s="4" t="s">
        <v>45</v>
      </c>
      <c r="D62" s="6">
        <v>1.5</v>
      </c>
      <c r="E62" s="4" t="s">
        <v>24</v>
      </c>
      <c r="F62"/>
      <c r="G62" s="4"/>
      <c r="H62" s="6"/>
      <c r="I62"/>
      <c r="L62" s="3"/>
      <c r="N62" s="6"/>
      <c r="O62" s="3"/>
      <c r="Q62" s="6"/>
      <c r="W62" s="6"/>
      <c r="X62"/>
      <c r="Z62" s="6"/>
      <c r="AA62"/>
      <c r="AC62" s="6"/>
      <c r="AD62" s="90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/>
      <c r="AR62" s="6"/>
      <c r="AS62" s="6"/>
      <c r="AT62"/>
      <c r="AV62" s="6"/>
      <c r="AW62" s="6"/>
      <c r="AX62"/>
      <c r="AZ62" s="6"/>
      <c r="BA62" s="6"/>
      <c r="BB62"/>
      <c r="BD62" s="6"/>
      <c r="BE62"/>
      <c r="BF62"/>
      <c r="BI62"/>
    </row>
    <row r="63" spans="1:61" x14ac:dyDescent="0.3">
      <c r="A63" t="s">
        <v>62</v>
      </c>
      <c r="B63">
        <v>1</v>
      </c>
      <c r="C63" s="4" t="s">
        <v>45</v>
      </c>
      <c r="D63" s="6">
        <v>1.625</v>
      </c>
      <c r="E63" s="4" t="s">
        <v>24</v>
      </c>
      <c r="F63"/>
      <c r="G63" s="4"/>
      <c r="H63" s="6"/>
      <c r="I63"/>
      <c r="L63"/>
      <c r="N63" s="6"/>
      <c r="O63"/>
      <c r="Q63" s="6"/>
      <c r="W63" s="6"/>
      <c r="X63"/>
      <c r="Z63" s="6"/>
      <c r="AA63"/>
      <c r="AC63" s="6"/>
      <c r="AP63"/>
      <c r="AR63" s="6"/>
      <c r="AS63" s="6"/>
      <c r="AT63"/>
      <c r="AV63" s="6"/>
      <c r="AW63" s="6"/>
      <c r="AX63"/>
      <c r="AZ63" s="6"/>
      <c r="BA63" s="6"/>
      <c r="BB63"/>
      <c r="BD63" s="6"/>
      <c r="BE63"/>
      <c r="BF63" s="3"/>
      <c r="BG63" s="3"/>
      <c r="BH63" s="3"/>
      <c r="BI63" s="3"/>
    </row>
    <row r="64" spans="1:61" s="3" customFormat="1" x14ac:dyDescent="0.3">
      <c r="A64" t="s">
        <v>5</v>
      </c>
      <c r="B64">
        <v>1</v>
      </c>
      <c r="C64" s="4" t="s">
        <v>45</v>
      </c>
      <c r="D64" s="6">
        <v>1.5</v>
      </c>
      <c r="E64" s="4" t="s">
        <v>24</v>
      </c>
      <c r="F64"/>
      <c r="G64" s="4"/>
      <c r="H64" s="16"/>
      <c r="N64" s="16"/>
      <c r="Q64" s="16"/>
      <c r="W64" s="16"/>
      <c r="Z64" s="16"/>
      <c r="AC64" s="16"/>
      <c r="AD64" s="93"/>
      <c r="AE64"/>
      <c r="AF64"/>
      <c r="AG64"/>
      <c r="AH64"/>
      <c r="AI64"/>
      <c r="AJ64"/>
      <c r="AK64"/>
      <c r="AL64"/>
      <c r="AM64"/>
      <c r="AN64"/>
      <c r="AO64"/>
      <c r="AR64" s="16"/>
      <c r="AS64" s="16"/>
      <c r="AV64" s="16"/>
      <c r="AW64" s="16"/>
      <c r="AZ64" s="16"/>
      <c r="BA64" s="16"/>
      <c r="BD64" s="16"/>
      <c r="BF64" s="6"/>
      <c r="BG64"/>
      <c r="BH64"/>
      <c r="BI64" s="6"/>
    </row>
    <row r="65" spans="1:61" x14ac:dyDescent="0.3">
      <c r="A65" t="s">
        <v>63</v>
      </c>
      <c r="B65">
        <v>1</v>
      </c>
      <c r="C65" s="4" t="s">
        <v>45</v>
      </c>
      <c r="D65" s="6">
        <v>1.5</v>
      </c>
      <c r="E65" s="4" t="s">
        <v>24</v>
      </c>
      <c r="F65"/>
      <c r="G65" s="4"/>
      <c r="I65" s="6"/>
      <c r="J65"/>
      <c r="K65" s="6"/>
      <c r="L65" s="6"/>
      <c r="M65" s="4"/>
      <c r="O65" s="6"/>
      <c r="R65"/>
      <c r="S65" s="4"/>
      <c r="T65" s="6"/>
      <c r="U65" s="6"/>
      <c r="X65" s="6"/>
      <c r="AA65" s="6"/>
      <c r="AP65" s="6"/>
      <c r="AT65" s="6"/>
      <c r="AX65" s="6"/>
      <c r="BB65" s="6"/>
      <c r="BE65" s="6"/>
      <c r="BF65" s="6"/>
      <c r="BI65" s="6"/>
    </row>
    <row r="66" spans="1:61" x14ac:dyDescent="0.3">
      <c r="A66" t="s">
        <v>64</v>
      </c>
      <c r="B66">
        <v>1</v>
      </c>
      <c r="C66" s="4" t="s">
        <v>65</v>
      </c>
      <c r="D66" s="6">
        <v>18.559999999999999</v>
      </c>
      <c r="E66" s="4" t="s">
        <v>56</v>
      </c>
      <c r="F66"/>
      <c r="G66" s="4"/>
      <c r="I66" s="6"/>
      <c r="J66"/>
      <c r="L66" s="6"/>
      <c r="M66" s="6"/>
      <c r="O66" s="6"/>
      <c r="P66" s="6"/>
      <c r="R66"/>
      <c r="S66"/>
      <c r="T66" s="6"/>
      <c r="U66" s="6"/>
      <c r="X66" s="6"/>
      <c r="AA66" s="6"/>
      <c r="AP66" s="6"/>
      <c r="AQ66" s="15"/>
      <c r="AT66" s="6"/>
      <c r="AX66" s="6"/>
      <c r="BB66" s="6"/>
      <c r="BE66" s="6"/>
      <c r="BF66" s="6"/>
      <c r="BG66" s="3"/>
      <c r="BH66" s="3"/>
      <c r="BI66" s="6"/>
    </row>
    <row r="67" spans="1:61" s="3" customFormat="1" x14ac:dyDescent="0.3">
      <c r="A67" t="s">
        <v>67</v>
      </c>
      <c r="B67">
        <v>1</v>
      </c>
      <c r="C67" s="4" t="s">
        <v>68</v>
      </c>
      <c r="D67" s="6">
        <v>3</v>
      </c>
      <c r="E67" s="4" t="s">
        <v>24</v>
      </c>
      <c r="F67">
        <v>336</v>
      </c>
      <c r="G67" s="4" t="s">
        <v>43</v>
      </c>
      <c r="I67" s="6"/>
      <c r="J67"/>
      <c r="L67" s="6"/>
      <c r="O67" s="6"/>
      <c r="R67"/>
      <c r="S67"/>
      <c r="T67" s="6"/>
      <c r="U67" s="6"/>
      <c r="X67" s="6"/>
      <c r="AA67" s="6"/>
      <c r="AD67" s="93"/>
      <c r="AE67"/>
      <c r="AF67"/>
      <c r="AG67"/>
      <c r="AH67"/>
      <c r="AI67"/>
      <c r="AJ67"/>
      <c r="AK67"/>
      <c r="AL67"/>
      <c r="AM67"/>
      <c r="AN67"/>
      <c r="AO67"/>
      <c r="AP67" s="6"/>
      <c r="AT67" s="6"/>
      <c r="AX67" s="6"/>
      <c r="BB67" s="6"/>
      <c r="BE67" s="6"/>
      <c r="BF67" s="6"/>
      <c r="BI67" s="6"/>
    </row>
    <row r="68" spans="1:61" s="3" customFormat="1" x14ac:dyDescent="0.3">
      <c r="A68" s="127" t="s">
        <v>142</v>
      </c>
      <c r="B68">
        <v>1</v>
      </c>
      <c r="C68" s="4" t="s">
        <v>170</v>
      </c>
      <c r="D68" s="6">
        <v>3.40835</v>
      </c>
      <c r="E68" s="4" t="s">
        <v>45</v>
      </c>
      <c r="F68" s="6">
        <f>D68*D69/D42</f>
        <v>5.9646125000000003</v>
      </c>
      <c r="G68" s="4" t="s">
        <v>171</v>
      </c>
      <c r="I68" s="6"/>
      <c r="J68"/>
      <c r="L68" s="6"/>
      <c r="O68" s="6"/>
      <c r="R68"/>
      <c r="S68"/>
      <c r="T68" s="6"/>
      <c r="U68" s="6"/>
      <c r="X68" s="6"/>
      <c r="AA68" s="6"/>
      <c r="AD68" s="93"/>
      <c r="AE68"/>
      <c r="AF68"/>
      <c r="AG68"/>
      <c r="AH68"/>
      <c r="AI68"/>
      <c r="AJ68"/>
      <c r="AK68"/>
      <c r="AL68"/>
      <c r="AM68"/>
      <c r="AN68"/>
      <c r="AO68"/>
      <c r="AP68" s="6"/>
      <c r="AT68" s="6"/>
      <c r="AX68" s="6"/>
      <c r="BB68" s="6"/>
      <c r="BE68" s="6"/>
      <c r="BF68" s="6"/>
      <c r="BI68" s="6"/>
    </row>
    <row r="69" spans="1:61" s="3" customFormat="1" x14ac:dyDescent="0.3">
      <c r="A69" s="127"/>
      <c r="B69">
        <v>1</v>
      </c>
      <c r="C69" s="4" t="s">
        <v>45</v>
      </c>
      <c r="D69" s="64">
        <v>196</v>
      </c>
      <c r="E69" s="4" t="s">
        <v>12</v>
      </c>
      <c r="F69" s="6"/>
      <c r="I69" s="6"/>
      <c r="J69"/>
      <c r="L69" s="6"/>
      <c r="O69" s="6"/>
      <c r="R69"/>
      <c r="S69"/>
      <c r="T69" s="44"/>
      <c r="X69" s="6"/>
      <c r="AA69" s="6"/>
      <c r="AD69" s="93"/>
      <c r="AE69"/>
      <c r="AF69"/>
      <c r="AG69"/>
      <c r="AH69"/>
      <c r="AI69"/>
      <c r="AJ69"/>
      <c r="AK69"/>
      <c r="AL69"/>
      <c r="AM69"/>
      <c r="AN69"/>
      <c r="AO69"/>
      <c r="AP69" s="6"/>
      <c r="AT69" s="6"/>
      <c r="AX69" s="6"/>
      <c r="BB69" s="6"/>
      <c r="BE69" s="6"/>
      <c r="BF69" s="6"/>
      <c r="BI69" s="6"/>
    </row>
    <row r="70" spans="1:61" s="3" customFormat="1" x14ac:dyDescent="0.3">
      <c r="A70" s="127" t="s">
        <v>73</v>
      </c>
      <c r="B70">
        <v>1</v>
      </c>
      <c r="C70" s="4" t="s">
        <v>172</v>
      </c>
      <c r="D70" s="64">
        <v>1</v>
      </c>
      <c r="E70" s="4" t="s">
        <v>52</v>
      </c>
      <c r="F70" s="6">
        <f>F71</f>
        <v>3.0446428571428572</v>
      </c>
      <c r="G70" s="4" t="s">
        <v>171</v>
      </c>
      <c r="I70" s="6"/>
      <c r="J70"/>
      <c r="L70" s="6"/>
      <c r="O70" s="6"/>
      <c r="R70"/>
      <c r="S70"/>
      <c r="T70" s="44"/>
      <c r="X70" s="6"/>
      <c r="AA70" s="6"/>
      <c r="AD70" s="93"/>
      <c r="AE70"/>
      <c r="AF70"/>
      <c r="AG70"/>
      <c r="AH70"/>
      <c r="AI70"/>
      <c r="AJ70"/>
      <c r="AK70"/>
      <c r="AL70"/>
      <c r="AM70"/>
      <c r="AN70"/>
      <c r="AO70"/>
      <c r="AP70" s="6"/>
      <c r="AT70" s="6"/>
      <c r="AX70" s="6"/>
      <c r="BB70" s="6"/>
      <c r="BE70" s="6"/>
      <c r="BF70" s="6"/>
      <c r="BI70" s="6"/>
    </row>
    <row r="71" spans="1:61" s="3" customFormat="1" x14ac:dyDescent="0.3">
      <c r="A71" s="127"/>
      <c r="B71">
        <v>1</v>
      </c>
      <c r="C71" s="4" t="s">
        <v>52</v>
      </c>
      <c r="D71" s="64">
        <f>(355+327)/2</f>
        <v>341</v>
      </c>
      <c r="E71" s="4" t="s">
        <v>12</v>
      </c>
      <c r="F71" s="6">
        <f>D71/D42</f>
        <v>3.0446428571428572</v>
      </c>
      <c r="G71" s="4" t="s">
        <v>171</v>
      </c>
      <c r="I71" s="6"/>
      <c r="J71"/>
      <c r="L71" s="6"/>
      <c r="O71" s="6"/>
      <c r="R71"/>
      <c r="S71"/>
      <c r="T71" s="44"/>
      <c r="X71" s="6"/>
      <c r="AA71" s="6"/>
      <c r="AD71" s="93"/>
      <c r="AE71"/>
      <c r="AF71"/>
      <c r="AG71"/>
      <c r="AH71"/>
      <c r="AI71"/>
      <c r="AJ71"/>
      <c r="AK71"/>
      <c r="AL71"/>
      <c r="AM71"/>
      <c r="AN71"/>
      <c r="AO71"/>
      <c r="AP71" s="6"/>
      <c r="AT71" s="6"/>
      <c r="AX71" s="6"/>
      <c r="BB71" s="6"/>
      <c r="BE71" s="6"/>
      <c r="BF71" s="6"/>
      <c r="BI71" s="6"/>
    </row>
    <row r="72" spans="1:61" s="3" customFormat="1" x14ac:dyDescent="0.3">
      <c r="A72" s="127"/>
      <c r="B72">
        <v>1</v>
      </c>
      <c r="C72" s="62" t="s">
        <v>173</v>
      </c>
      <c r="D72" s="64">
        <f>(2.2+2.5)/2</f>
        <v>2.35</v>
      </c>
      <c r="E72" s="4" t="s">
        <v>12</v>
      </c>
      <c r="F72" s="6">
        <f>D72/D42</f>
        <v>2.0982142857142859E-2</v>
      </c>
      <c r="G72" s="4" t="s">
        <v>171</v>
      </c>
      <c r="I72" s="6"/>
      <c r="J72"/>
      <c r="L72" s="6"/>
      <c r="O72" s="6"/>
      <c r="R72"/>
      <c r="S72"/>
      <c r="T72" s="44"/>
      <c r="X72" s="6"/>
      <c r="AA72" s="6"/>
      <c r="AD72" s="93"/>
      <c r="AE72"/>
      <c r="AF72"/>
      <c r="AG72"/>
      <c r="AH72"/>
      <c r="AI72"/>
      <c r="AJ72"/>
      <c r="AK72"/>
      <c r="AL72"/>
      <c r="AM72"/>
      <c r="AN72"/>
      <c r="AO72"/>
      <c r="AP72" s="6"/>
      <c r="AT72" s="6"/>
      <c r="AX72" s="6"/>
      <c r="BB72" s="6"/>
      <c r="BE72" s="6"/>
      <c r="BF72" s="6"/>
      <c r="BI72" s="6"/>
    </row>
    <row r="73" spans="1:61" s="3" customFormat="1" ht="15" customHeight="1" x14ac:dyDescent="0.3">
      <c r="A73" s="127" t="s">
        <v>47</v>
      </c>
      <c r="B73">
        <v>1</v>
      </c>
      <c r="C73" s="62" t="s">
        <v>48</v>
      </c>
      <c r="D73" s="64">
        <v>140.63</v>
      </c>
      <c r="E73" s="4" t="s">
        <v>12</v>
      </c>
      <c r="F73" s="6">
        <f>D73/D42</f>
        <v>1.255625</v>
      </c>
      <c r="G73" s="4" t="s">
        <v>171</v>
      </c>
      <c r="I73" s="6"/>
      <c r="J73"/>
      <c r="L73" s="6"/>
      <c r="O73" s="6"/>
      <c r="R73"/>
      <c r="S73"/>
      <c r="T73" s="44"/>
      <c r="X73" s="6"/>
      <c r="AA73" s="6"/>
      <c r="AD73" s="93"/>
      <c r="AE73"/>
      <c r="AF73"/>
      <c r="AG73"/>
      <c r="AH73"/>
      <c r="AI73"/>
      <c r="AJ73"/>
      <c r="AK73"/>
      <c r="AL73"/>
      <c r="AM73"/>
      <c r="AN73"/>
      <c r="AO73"/>
      <c r="AP73" s="6"/>
      <c r="AT73" s="6"/>
      <c r="AX73" s="6"/>
      <c r="BB73" s="6"/>
      <c r="BE73" s="6"/>
      <c r="BF73" s="6"/>
      <c r="BI73" s="6"/>
    </row>
    <row r="74" spans="1:61" s="3" customFormat="1" x14ac:dyDescent="0.3">
      <c r="A74" s="127"/>
      <c r="B74">
        <v>1</v>
      </c>
      <c r="C74" s="62" t="s">
        <v>174</v>
      </c>
      <c r="D74" s="64">
        <v>0.91576999999999997</v>
      </c>
      <c r="E74" s="4" t="s">
        <v>48</v>
      </c>
      <c r="F74" s="6">
        <f>F73*D74</f>
        <v>1.1498637062499999</v>
      </c>
      <c r="G74" s="4" t="s">
        <v>171</v>
      </c>
      <c r="I74" s="6"/>
      <c r="J74"/>
      <c r="L74" s="6"/>
      <c r="O74" s="6"/>
      <c r="R74"/>
      <c r="S74"/>
      <c r="T74" s="44"/>
      <c r="X74" s="6"/>
      <c r="AA74" s="6"/>
      <c r="AD74" s="93"/>
      <c r="AE74"/>
      <c r="AF74"/>
      <c r="AG74"/>
      <c r="AH74"/>
      <c r="AI74"/>
      <c r="AJ74"/>
      <c r="AK74"/>
      <c r="AL74"/>
      <c r="AM74"/>
      <c r="AN74"/>
      <c r="AO74"/>
      <c r="AP74" s="6"/>
      <c r="AT74" s="6"/>
      <c r="AX74" s="6"/>
      <c r="BB74" s="6"/>
      <c r="BE74" s="6"/>
      <c r="BF74" s="6"/>
      <c r="BI74" s="6"/>
    </row>
    <row r="75" spans="1:61" s="3" customFormat="1" ht="15" customHeight="1" x14ac:dyDescent="0.3">
      <c r="A75" s="127" t="s">
        <v>88</v>
      </c>
      <c r="B75" s="3">
        <v>1</v>
      </c>
      <c r="C75" s="62" t="s">
        <v>52</v>
      </c>
      <c r="D75" s="64">
        <v>2.37609</v>
      </c>
      <c r="E75" s="62" t="s">
        <v>45</v>
      </c>
      <c r="F75" s="6">
        <f>D75*D76</f>
        <v>4.1366063637000003</v>
      </c>
      <c r="G75" s="4" t="s">
        <v>171</v>
      </c>
      <c r="I75" s="6"/>
      <c r="J75"/>
      <c r="L75" s="6"/>
      <c r="O75" s="6"/>
      <c r="R75"/>
      <c r="S75"/>
      <c r="T75" s="44"/>
      <c r="X75" s="6"/>
      <c r="AA75" s="6"/>
      <c r="AD75" s="93"/>
      <c r="AE75"/>
      <c r="AF75"/>
      <c r="AG75"/>
      <c r="AH75"/>
      <c r="AI75"/>
      <c r="AJ75"/>
      <c r="AK75"/>
      <c r="AL75"/>
      <c r="AM75"/>
      <c r="AN75"/>
      <c r="AO75"/>
      <c r="AP75" s="6"/>
      <c r="AT75" s="6"/>
      <c r="AX75" s="6"/>
      <c r="BB75" s="6"/>
      <c r="BE75" s="6"/>
      <c r="BF75" s="6"/>
      <c r="BI75" s="6"/>
    </row>
    <row r="76" spans="1:61" s="3" customFormat="1" ht="15" customHeight="1" x14ac:dyDescent="0.3">
      <c r="A76" s="127"/>
      <c r="B76">
        <v>1</v>
      </c>
      <c r="C76" s="62" t="s">
        <v>45</v>
      </c>
      <c r="D76" s="64">
        <v>1.7409300000000001</v>
      </c>
      <c r="E76" s="4" t="s">
        <v>24</v>
      </c>
      <c r="F76" s="6"/>
      <c r="G76" s="4"/>
      <c r="I76" s="6"/>
      <c r="J76"/>
      <c r="L76" s="6"/>
      <c r="O76" s="6"/>
      <c r="R76"/>
      <c r="S76"/>
      <c r="T76" s="44"/>
      <c r="X76" s="6"/>
      <c r="AA76" s="6"/>
      <c r="AD76" s="93"/>
      <c r="AE76"/>
      <c r="AF76"/>
      <c r="AG76"/>
      <c r="AH76"/>
      <c r="AI76"/>
      <c r="AJ76"/>
      <c r="AK76"/>
      <c r="AL76"/>
      <c r="AM76"/>
      <c r="AN76"/>
      <c r="AO76"/>
      <c r="AP76" s="6"/>
      <c r="AT76" s="6"/>
      <c r="AX76" s="6"/>
      <c r="BB76" s="6"/>
      <c r="BE76" s="6"/>
      <c r="BF76" s="6"/>
      <c r="BI76" s="6"/>
    </row>
    <row r="77" spans="1:61" s="3" customFormat="1" x14ac:dyDescent="0.3">
      <c r="A77" s="3" t="s">
        <v>175</v>
      </c>
      <c r="B77">
        <v>1</v>
      </c>
      <c r="C77" s="62" t="s">
        <v>52</v>
      </c>
      <c r="D77" s="64">
        <v>242</v>
      </c>
      <c r="E77" s="4" t="s">
        <v>12</v>
      </c>
      <c r="F77" s="6">
        <f>D77/D42</f>
        <v>2.1607142857142856</v>
      </c>
      <c r="G77" s="4" t="s">
        <v>171</v>
      </c>
      <c r="I77" s="6"/>
      <c r="J77"/>
      <c r="L77" s="6"/>
      <c r="O77" s="6"/>
      <c r="R77"/>
      <c r="S77"/>
      <c r="T77" s="44"/>
      <c r="X77" s="6"/>
      <c r="AA77" s="6"/>
      <c r="AD77" s="93"/>
      <c r="AE77"/>
      <c r="AF77"/>
      <c r="AG77"/>
      <c r="AH77"/>
      <c r="AI77"/>
      <c r="AJ77"/>
      <c r="AK77"/>
      <c r="AL77"/>
      <c r="AM77"/>
      <c r="AN77"/>
      <c r="AO77"/>
      <c r="AP77" s="6"/>
      <c r="AT77" s="6"/>
      <c r="AX77" s="6"/>
      <c r="BB77" s="6"/>
      <c r="BE77" s="6"/>
      <c r="BF77" s="6"/>
      <c r="BI77" s="6"/>
    </row>
    <row r="78" spans="1:61" s="3" customFormat="1" x14ac:dyDescent="0.3">
      <c r="A78" s="3" t="s">
        <v>22</v>
      </c>
      <c r="B78">
        <v>1</v>
      </c>
      <c r="C78" s="62" t="s">
        <v>45</v>
      </c>
      <c r="D78" s="64">
        <v>149</v>
      </c>
      <c r="E78" s="4" t="s">
        <v>12</v>
      </c>
      <c r="F78" s="6">
        <f>D78/D42</f>
        <v>1.3303571428571428</v>
      </c>
      <c r="G78" s="4" t="s">
        <v>171</v>
      </c>
      <c r="I78" s="6"/>
      <c r="J78"/>
      <c r="L78" s="6"/>
      <c r="O78" s="6"/>
      <c r="R78"/>
      <c r="S78"/>
      <c r="T78" s="44"/>
      <c r="X78" s="6"/>
      <c r="AA78" s="6"/>
      <c r="AD78" s="93"/>
      <c r="AE78"/>
      <c r="AF78"/>
      <c r="AG78"/>
      <c r="AH78"/>
      <c r="AI78"/>
      <c r="AJ78"/>
      <c r="AK78"/>
      <c r="AL78"/>
      <c r="AM78"/>
      <c r="AN78"/>
      <c r="AO78"/>
      <c r="AP78" s="6"/>
      <c r="AT78" s="6"/>
      <c r="AX78" s="6"/>
      <c r="BB78" s="6"/>
      <c r="BE78" s="6"/>
      <c r="BF78" s="6"/>
      <c r="BI78" s="6"/>
    </row>
    <row r="79" spans="1:61" s="3" customFormat="1" ht="15" customHeight="1" x14ac:dyDescent="0.3">
      <c r="A79" s="3" t="s">
        <v>97</v>
      </c>
      <c r="B79">
        <v>1</v>
      </c>
      <c r="C79" s="62" t="s">
        <v>176</v>
      </c>
      <c r="D79" s="64">
        <v>2.0271699999999999</v>
      </c>
      <c r="E79" s="4" t="s">
        <v>52</v>
      </c>
      <c r="F79" s="6">
        <f>D80*D79/D42</f>
        <v>6.0815099999999997</v>
      </c>
      <c r="G79" s="62" t="s">
        <v>171</v>
      </c>
      <c r="I79" s="6"/>
      <c r="J79"/>
      <c r="L79" s="6"/>
      <c r="O79" s="6"/>
      <c r="R79"/>
      <c r="S79"/>
      <c r="T79" s="44"/>
      <c r="X79" s="6"/>
      <c r="AA79" s="6"/>
      <c r="AD79" s="93"/>
      <c r="AE79"/>
      <c r="AF79"/>
      <c r="AG79"/>
      <c r="AH79"/>
      <c r="AI79"/>
      <c r="AJ79"/>
      <c r="AK79"/>
      <c r="AL79"/>
      <c r="AM79"/>
      <c r="AN79"/>
      <c r="AO79"/>
      <c r="AP79" s="6"/>
      <c r="AT79" s="6"/>
      <c r="AX79" s="6"/>
      <c r="BB79" s="6"/>
      <c r="BE79" s="6"/>
      <c r="BF79" s="6"/>
      <c r="BI79" s="6"/>
    </row>
    <row r="80" spans="1:61" s="3" customFormat="1" x14ac:dyDescent="0.3">
      <c r="B80">
        <v>1</v>
      </c>
      <c r="C80" s="62" t="s">
        <v>52</v>
      </c>
      <c r="D80" s="64">
        <v>336</v>
      </c>
      <c r="E80" s="4" t="s">
        <v>52</v>
      </c>
      <c r="F80" s="6">
        <f>D80/D42</f>
        <v>3</v>
      </c>
      <c r="G80" s="62" t="s">
        <v>171</v>
      </c>
      <c r="I80" s="6"/>
      <c r="J80"/>
      <c r="L80" s="6"/>
      <c r="O80" s="6"/>
      <c r="R80"/>
      <c r="S80"/>
      <c r="T80" s="44"/>
      <c r="X80" s="6"/>
      <c r="AA80" s="6"/>
      <c r="AD80" s="93"/>
      <c r="AE80"/>
      <c r="AF80"/>
      <c r="AG80"/>
      <c r="AH80"/>
      <c r="AI80"/>
      <c r="AJ80"/>
      <c r="AK80"/>
      <c r="AL80"/>
      <c r="AM80"/>
      <c r="AN80"/>
      <c r="AO80"/>
      <c r="AP80" s="6"/>
      <c r="AT80" s="6"/>
      <c r="AX80" s="6"/>
      <c r="BB80" s="6"/>
      <c r="BE80" s="6"/>
      <c r="BF80" s="6"/>
      <c r="BI80" s="6"/>
    </row>
    <row r="81" spans="1:61" s="3" customFormat="1" x14ac:dyDescent="0.3">
      <c r="J81"/>
      <c r="R81"/>
      <c r="S81"/>
      <c r="T81" s="44"/>
      <c r="AD81" s="93"/>
      <c r="AE81"/>
      <c r="AF81"/>
      <c r="AG81"/>
      <c r="AH81"/>
      <c r="AI81"/>
      <c r="AJ81"/>
      <c r="AK81"/>
      <c r="AL81"/>
      <c r="AM81"/>
      <c r="AN81"/>
      <c r="AO81"/>
    </row>
    <row r="82" spans="1:61" s="3" customFormat="1" x14ac:dyDescent="0.3">
      <c r="A82" s="10" t="s">
        <v>44</v>
      </c>
      <c r="J82"/>
      <c r="R82"/>
      <c r="S82"/>
      <c r="T82" s="44"/>
      <c r="AD82" s="93"/>
      <c r="AE82"/>
      <c r="AF82"/>
      <c r="AG82"/>
      <c r="AH82"/>
      <c r="AI82"/>
      <c r="AJ82"/>
      <c r="AK82"/>
      <c r="AL82"/>
      <c r="AM82"/>
      <c r="AN82"/>
      <c r="AO82"/>
    </row>
    <row r="83" spans="1:61" s="3" customFormat="1" x14ac:dyDescent="0.3">
      <c r="A83" s="3">
        <v>1887</v>
      </c>
      <c r="B83" s="3">
        <v>1</v>
      </c>
      <c r="C83" s="62" t="s">
        <v>182</v>
      </c>
      <c r="D83" s="68">
        <v>13.661538461538461</v>
      </c>
      <c r="E83" s="62" t="s">
        <v>183</v>
      </c>
      <c r="J83"/>
      <c r="R83"/>
      <c r="S83"/>
      <c r="AD83" s="93"/>
      <c r="AE83"/>
      <c r="AF83"/>
      <c r="AG83"/>
      <c r="AH83"/>
      <c r="AI83"/>
      <c r="AJ83"/>
      <c r="AK83"/>
      <c r="AL83"/>
      <c r="AM83"/>
      <c r="AN83"/>
      <c r="AO83"/>
    </row>
    <row r="84" spans="1:61" s="3" customFormat="1" x14ac:dyDescent="0.3">
      <c r="A84" s="3">
        <v>1888</v>
      </c>
      <c r="B84" s="3">
        <v>1</v>
      </c>
      <c r="C84" s="62" t="s">
        <v>182</v>
      </c>
      <c r="D84" s="68">
        <v>14.239067055393583</v>
      </c>
      <c r="E84" s="62" t="s">
        <v>183</v>
      </c>
      <c r="J84"/>
      <c r="R84"/>
      <c r="S84"/>
      <c r="AD84" s="93"/>
      <c r="AE84"/>
      <c r="AF84"/>
      <c r="AG84"/>
      <c r="AH84"/>
      <c r="AI84"/>
      <c r="AJ84"/>
      <c r="AK84"/>
      <c r="AL84"/>
      <c r="AM84"/>
      <c r="AN84"/>
      <c r="AO84"/>
    </row>
    <row r="85" spans="1:61" s="3" customFormat="1" x14ac:dyDescent="0.3">
      <c r="A85" s="3">
        <v>1889</v>
      </c>
      <c r="B85" s="3">
        <v>1</v>
      </c>
      <c r="C85" s="62" t="s">
        <v>182</v>
      </c>
      <c r="D85" s="68">
        <v>14.301610541727671</v>
      </c>
      <c r="E85" s="62" t="s">
        <v>183</v>
      </c>
      <c r="J85"/>
      <c r="R85"/>
      <c r="S85"/>
      <c r="AD85" s="93"/>
      <c r="AE85"/>
      <c r="AF85"/>
      <c r="AG85"/>
      <c r="AH85"/>
      <c r="AI85"/>
      <c r="AJ85"/>
      <c r="AK85"/>
      <c r="AL85"/>
      <c r="AM85"/>
      <c r="AN85"/>
      <c r="AO85"/>
    </row>
    <row r="86" spans="1:61" s="3" customFormat="1" x14ac:dyDescent="0.3">
      <c r="A86" s="3">
        <v>1890</v>
      </c>
      <c r="B86" s="3">
        <v>1</v>
      </c>
      <c r="C86" s="62" t="s">
        <v>182</v>
      </c>
      <c r="D86" s="68">
        <v>12.785340314136127</v>
      </c>
      <c r="E86" s="62" t="s">
        <v>183</v>
      </c>
      <c r="J86"/>
      <c r="R86"/>
      <c r="S86"/>
      <c r="AD86" s="93"/>
      <c r="AE86"/>
      <c r="AF86"/>
      <c r="AG86"/>
      <c r="AH86"/>
      <c r="AI86"/>
      <c r="AJ86"/>
      <c r="AK86"/>
      <c r="AL86"/>
      <c r="AM86"/>
      <c r="AN86"/>
      <c r="AO86"/>
    </row>
    <row r="87" spans="1:61" s="3" customFormat="1" x14ac:dyDescent="0.3">
      <c r="A87" s="3">
        <v>1891</v>
      </c>
      <c r="B87" s="3">
        <v>1</v>
      </c>
      <c r="C87" s="62" t="s">
        <v>182</v>
      </c>
      <c r="D87" s="68">
        <v>13.547850208044382</v>
      </c>
      <c r="E87" s="62" t="s">
        <v>183</v>
      </c>
      <c r="G87" s="2"/>
      <c r="J87"/>
      <c r="P87" s="2"/>
      <c r="Q87" s="2"/>
      <c r="R87"/>
      <c r="S87"/>
      <c r="AD87" s="93"/>
      <c r="AE87"/>
      <c r="AF87"/>
      <c r="AG87"/>
      <c r="AH87"/>
      <c r="AI87"/>
      <c r="AJ87"/>
      <c r="AK87"/>
      <c r="AL87"/>
      <c r="AM87"/>
      <c r="AN87"/>
      <c r="AO87"/>
    </row>
    <row r="88" spans="1:61" s="3" customFormat="1" ht="15" customHeight="1" x14ac:dyDescent="0.3">
      <c r="A88" s="3">
        <v>1892</v>
      </c>
      <c r="B88" s="3">
        <v>1</v>
      </c>
      <c r="C88" s="62" t="s">
        <v>182</v>
      </c>
      <c r="D88" s="68">
        <v>15.358490566037736</v>
      </c>
      <c r="E88" s="62" t="s">
        <v>183</v>
      </c>
      <c r="G88" s="2"/>
      <c r="J88"/>
      <c r="P88" s="2"/>
      <c r="Q88" s="2"/>
      <c r="R88"/>
      <c r="S88"/>
      <c r="AD88" s="93"/>
      <c r="AE88"/>
      <c r="AF88"/>
      <c r="AG88"/>
      <c r="AH88"/>
      <c r="AI88"/>
      <c r="AJ88"/>
      <c r="AK88"/>
      <c r="AL88"/>
      <c r="AM88"/>
      <c r="AN88"/>
      <c r="AO88"/>
    </row>
    <row r="89" spans="1:61" s="3" customFormat="1" ht="15" customHeight="1" x14ac:dyDescent="0.3">
      <c r="A89" s="3">
        <v>1893</v>
      </c>
      <c r="B89" s="3">
        <v>1</v>
      </c>
      <c r="C89" s="62" t="s">
        <v>182</v>
      </c>
      <c r="D89" s="68">
        <v>15.974930361794915</v>
      </c>
      <c r="E89" s="62" t="s">
        <v>183</v>
      </c>
      <c r="G89" s="2"/>
      <c r="J89"/>
      <c r="P89" s="2"/>
      <c r="Q89" s="2"/>
      <c r="R89"/>
      <c r="S89"/>
      <c r="AD89" s="93"/>
      <c r="AE89"/>
      <c r="AF89"/>
      <c r="AG89"/>
      <c r="AH89"/>
      <c r="AI89"/>
      <c r="AJ89"/>
      <c r="AK89"/>
      <c r="AL89"/>
      <c r="AM89"/>
      <c r="AN89"/>
      <c r="AO89"/>
    </row>
    <row r="90" spans="1:61" s="3" customFormat="1" x14ac:dyDescent="0.3">
      <c r="A90" s="3">
        <v>1894</v>
      </c>
      <c r="B90" s="3">
        <v>1</v>
      </c>
      <c r="C90" s="62" t="s">
        <v>182</v>
      </c>
      <c r="D90" s="68">
        <v>19.978401728261339</v>
      </c>
      <c r="E90" s="62" t="s">
        <v>183</v>
      </c>
      <c r="G90" s="2"/>
      <c r="J90"/>
      <c r="P90" s="2"/>
      <c r="Q90" s="2"/>
      <c r="R90"/>
      <c r="S90"/>
      <c r="AD90" s="93"/>
      <c r="AE90"/>
      <c r="AF90"/>
      <c r="AG90"/>
      <c r="AH90"/>
      <c r="AI90"/>
      <c r="AJ90"/>
      <c r="AK90"/>
      <c r="AL90"/>
      <c r="AM90"/>
      <c r="AN90"/>
      <c r="AO90"/>
    </row>
    <row r="91" spans="1:61" s="3" customFormat="1" x14ac:dyDescent="0.3">
      <c r="A91" s="3">
        <v>1895</v>
      </c>
      <c r="B91" s="3">
        <v>1</v>
      </c>
      <c r="C91" s="62" t="s">
        <v>182</v>
      </c>
      <c r="D91" s="68">
        <v>19.857442348047169</v>
      </c>
      <c r="E91" s="62" t="s">
        <v>183</v>
      </c>
      <c r="G91" s="2"/>
      <c r="J91"/>
      <c r="P91" s="2"/>
      <c r="Q91" s="2"/>
      <c r="R91"/>
      <c r="S91" s="15"/>
      <c r="AD91" s="93"/>
      <c r="AE91"/>
      <c r="AF91"/>
      <c r="AG91"/>
      <c r="AH91"/>
      <c r="AI91"/>
      <c r="AJ91"/>
      <c r="AK91"/>
      <c r="AL91"/>
      <c r="AM91"/>
      <c r="AN91"/>
      <c r="AO91"/>
    </row>
    <row r="92" spans="1:61" s="3" customFormat="1" x14ac:dyDescent="0.3">
      <c r="A92" s="3">
        <v>1896</v>
      </c>
      <c r="B92" s="3">
        <v>1</v>
      </c>
      <c r="C92" s="62" t="s">
        <v>182</v>
      </c>
      <c r="D92" s="68">
        <v>17.411764705919879</v>
      </c>
      <c r="E92" s="62" t="s">
        <v>183</v>
      </c>
      <c r="G92" s="2"/>
      <c r="J92"/>
      <c r="P92" s="2"/>
      <c r="Q92" s="2"/>
      <c r="R92"/>
      <c r="S92" s="15"/>
      <c r="AD92" s="93"/>
      <c r="AE92"/>
      <c r="AF92"/>
      <c r="AG92"/>
      <c r="AH92"/>
      <c r="AI92"/>
      <c r="AJ92"/>
      <c r="AK92"/>
      <c r="AL92"/>
      <c r="AM92"/>
      <c r="AN92"/>
      <c r="AO92"/>
    </row>
    <row r="93" spans="1:61" s="3" customFormat="1" x14ac:dyDescent="0.3">
      <c r="A93" s="3">
        <v>1897</v>
      </c>
      <c r="B93" s="3">
        <v>1</v>
      </c>
      <c r="C93" s="62" t="s">
        <v>182</v>
      </c>
      <c r="D93" s="68">
        <v>16.276643990510202</v>
      </c>
      <c r="E93" s="62" t="s">
        <v>183</v>
      </c>
      <c r="G93" s="2"/>
      <c r="J93"/>
      <c r="P93" s="2"/>
      <c r="Q93" s="2"/>
      <c r="R93"/>
      <c r="S93" s="15"/>
      <c r="AD93" s="93"/>
      <c r="AE93"/>
      <c r="AF93"/>
      <c r="AG93"/>
      <c r="AH93"/>
      <c r="AI93"/>
      <c r="AJ93"/>
      <c r="AK93"/>
      <c r="AL93"/>
      <c r="AM93"/>
      <c r="AN93"/>
      <c r="AO93"/>
    </row>
    <row r="94" spans="1:61" s="3" customFormat="1" x14ac:dyDescent="0.3">
      <c r="A94" s="3">
        <v>1898</v>
      </c>
      <c r="B94" s="3">
        <v>1</v>
      </c>
      <c r="C94" s="62" t="s">
        <v>182</v>
      </c>
      <c r="D94" s="68">
        <v>16.482598607888633</v>
      </c>
      <c r="E94" s="62" t="s">
        <v>183</v>
      </c>
      <c r="F94" s="15"/>
      <c r="G94" s="2"/>
      <c r="I94" s="15"/>
      <c r="J94"/>
      <c r="K94" s="2"/>
      <c r="L94" s="15"/>
      <c r="M94" s="2"/>
      <c r="N94" s="2"/>
      <c r="O94" s="15"/>
      <c r="P94" s="2"/>
      <c r="Q94" s="2"/>
      <c r="R94"/>
      <c r="S94" s="15"/>
      <c r="T94" s="15"/>
      <c r="U94" s="15"/>
      <c r="X94" s="15"/>
      <c r="AA94" s="15"/>
      <c r="AD94" s="93"/>
      <c r="AE94"/>
      <c r="AF94"/>
      <c r="AG94"/>
      <c r="AH94"/>
      <c r="AI94"/>
      <c r="AJ94"/>
      <c r="AK94"/>
      <c r="AL94"/>
      <c r="AM94"/>
      <c r="AN94"/>
      <c r="AO94"/>
      <c r="AP94" s="15"/>
      <c r="AT94" s="15"/>
      <c r="AX94" s="15"/>
      <c r="BB94" s="15"/>
      <c r="BE94" s="15"/>
      <c r="BF94" s="15"/>
      <c r="BI94" s="15"/>
    </row>
    <row r="95" spans="1:61" s="3" customFormat="1" x14ac:dyDescent="0.3">
      <c r="A95" s="3">
        <v>1899</v>
      </c>
      <c r="B95" s="3">
        <v>1</v>
      </c>
      <c r="C95" s="62" t="s">
        <v>182</v>
      </c>
      <c r="D95" s="68">
        <v>16.097949886062644</v>
      </c>
      <c r="E95" s="62" t="s">
        <v>183</v>
      </c>
      <c r="F95" s="15"/>
      <c r="G95" s="2"/>
      <c r="I95" s="15"/>
      <c r="J95"/>
      <c r="K95" s="2"/>
      <c r="L95" s="15"/>
      <c r="M95" s="2"/>
      <c r="N95" s="2"/>
      <c r="O95" s="15"/>
      <c r="P95" s="2"/>
      <c r="Q95" s="2"/>
      <c r="R95"/>
      <c r="S95" s="15"/>
      <c r="T95" s="15"/>
      <c r="U95" s="15"/>
      <c r="X95" s="15"/>
      <c r="AA95" s="15"/>
      <c r="AD95" s="93"/>
      <c r="AE95"/>
      <c r="AF95"/>
      <c r="AG95"/>
      <c r="AH95"/>
      <c r="AI95"/>
      <c r="AJ95"/>
      <c r="AK95"/>
      <c r="AL95"/>
      <c r="AM95"/>
      <c r="AN95"/>
      <c r="AO95"/>
      <c r="AP95" s="15"/>
      <c r="AT95" s="15"/>
      <c r="AX95" s="15"/>
      <c r="BB95" s="15"/>
      <c r="BE95" s="15"/>
      <c r="BF95" s="15"/>
      <c r="BI95" s="15"/>
    </row>
    <row r="96" spans="1:61" s="3" customFormat="1" x14ac:dyDescent="0.3">
      <c r="A96" s="3">
        <v>1900</v>
      </c>
      <c r="B96" s="3">
        <v>1</v>
      </c>
      <c r="C96" s="62" t="s">
        <v>182</v>
      </c>
      <c r="D96" s="68">
        <v>16.335540838443706</v>
      </c>
      <c r="E96" s="62" t="s">
        <v>183</v>
      </c>
      <c r="F96" s="15"/>
      <c r="G96" s="2"/>
      <c r="I96" s="15"/>
      <c r="J96"/>
      <c r="K96" s="2"/>
      <c r="L96" s="15"/>
      <c r="M96" s="2"/>
      <c r="N96" s="2"/>
      <c r="O96" s="15"/>
      <c r="P96" s="2"/>
      <c r="Q96" s="2"/>
      <c r="R96"/>
      <c r="S96" s="15"/>
      <c r="T96" s="15"/>
      <c r="U96" s="15"/>
      <c r="X96" s="15"/>
      <c r="AA96" s="15"/>
      <c r="AD96" s="93"/>
      <c r="AE96"/>
      <c r="AF96"/>
      <c r="AG96"/>
      <c r="AH96"/>
      <c r="AI96"/>
      <c r="AJ96"/>
      <c r="AK96"/>
      <c r="AL96"/>
      <c r="AM96"/>
      <c r="AN96"/>
      <c r="AO96"/>
      <c r="AP96" s="15"/>
      <c r="AT96" s="15"/>
      <c r="AX96" s="15"/>
      <c r="BB96" s="15"/>
      <c r="BE96" s="15"/>
      <c r="BF96" s="15"/>
      <c r="BI96" s="15"/>
    </row>
    <row r="97" spans="1:61" s="3" customFormat="1" x14ac:dyDescent="0.3">
      <c r="A97" s="3">
        <v>1901</v>
      </c>
      <c r="B97" s="3">
        <v>1</v>
      </c>
      <c r="C97" s="62" t="s">
        <v>182</v>
      </c>
      <c r="D97" s="68">
        <v>15.650574712647931</v>
      </c>
      <c r="E97" s="62" t="s">
        <v>183</v>
      </c>
      <c r="F97" s="15"/>
      <c r="G97" s="2"/>
      <c r="I97" s="15"/>
      <c r="J97"/>
      <c r="K97" s="2"/>
      <c r="L97" s="15"/>
      <c r="M97" s="2"/>
      <c r="N97" s="2"/>
      <c r="O97" s="15"/>
      <c r="P97" s="2"/>
      <c r="Q97" s="2"/>
      <c r="R97"/>
      <c r="S97" s="15"/>
      <c r="T97" s="15"/>
      <c r="U97" s="15"/>
      <c r="X97" s="15"/>
      <c r="AA97" s="15"/>
      <c r="AD97" s="93"/>
      <c r="AE97"/>
      <c r="AF97"/>
      <c r="AG97"/>
      <c r="AH97"/>
      <c r="AI97"/>
      <c r="AJ97"/>
      <c r="AK97"/>
      <c r="AL97"/>
      <c r="AM97"/>
      <c r="AN97"/>
      <c r="AO97"/>
      <c r="AP97" s="15"/>
      <c r="AT97" s="15"/>
      <c r="AX97" s="15"/>
      <c r="BB97" s="15"/>
      <c r="BE97" s="15"/>
      <c r="BF97" s="15"/>
      <c r="BI97" s="15"/>
    </row>
    <row r="98" spans="1:61" s="3" customFormat="1" x14ac:dyDescent="0.3">
      <c r="A98" s="3">
        <v>1902</v>
      </c>
      <c r="B98" s="3">
        <v>1</v>
      </c>
      <c r="C98" s="62" t="s">
        <v>182</v>
      </c>
      <c r="D98" s="68">
        <v>16.145454545454548</v>
      </c>
      <c r="E98" s="62" t="s">
        <v>183</v>
      </c>
      <c r="F98" s="15"/>
      <c r="G98" s="2"/>
      <c r="I98" s="15"/>
      <c r="J98"/>
      <c r="K98" s="2"/>
      <c r="L98" s="15"/>
      <c r="M98" s="2"/>
      <c r="N98" s="2"/>
      <c r="O98" s="15"/>
      <c r="P98" s="2"/>
      <c r="Q98" s="2"/>
      <c r="R98"/>
      <c r="S98" s="15"/>
      <c r="T98" s="15"/>
      <c r="U98" s="15"/>
      <c r="X98" s="15"/>
      <c r="AA98" s="15"/>
      <c r="AD98" s="93"/>
      <c r="AE98"/>
      <c r="AF98"/>
      <c r="AG98"/>
      <c r="AH98"/>
      <c r="AI98"/>
      <c r="AJ98"/>
      <c r="AK98"/>
      <c r="AL98"/>
      <c r="AM98"/>
      <c r="AN98"/>
      <c r="AO98"/>
      <c r="AP98" s="15"/>
      <c r="AT98" s="15"/>
      <c r="AX98" s="15"/>
      <c r="BB98" s="15"/>
      <c r="BE98" s="15"/>
      <c r="BF98" s="15"/>
      <c r="BI98" s="15"/>
    </row>
    <row r="99" spans="1:61" s="3" customFormat="1" x14ac:dyDescent="0.3">
      <c r="A99" s="3">
        <v>1903</v>
      </c>
      <c r="B99" s="3">
        <v>1</v>
      </c>
      <c r="C99" s="62" t="s">
        <v>182</v>
      </c>
      <c r="D99" s="68">
        <v>17.191919191923866</v>
      </c>
      <c r="E99" s="62" t="s">
        <v>183</v>
      </c>
      <c r="F99" s="2"/>
      <c r="H99" s="15"/>
      <c r="J99"/>
      <c r="K99" s="15"/>
      <c r="L99" s="2"/>
      <c r="M99" s="2"/>
      <c r="N99" s="15"/>
      <c r="O99" s="2"/>
      <c r="P99" s="2"/>
      <c r="Q99" s="15"/>
      <c r="R99"/>
      <c r="S99" s="15"/>
      <c r="T99" s="15"/>
      <c r="U99" s="15"/>
      <c r="W99" s="15"/>
      <c r="Z99" s="15"/>
      <c r="AC99" s="15"/>
      <c r="AD99" s="93"/>
      <c r="AE99"/>
      <c r="AF99"/>
      <c r="AG99"/>
      <c r="AH99"/>
      <c r="AI99"/>
      <c r="AJ99"/>
      <c r="AK99"/>
      <c r="AL99"/>
      <c r="AM99"/>
      <c r="AN99"/>
      <c r="AO99"/>
      <c r="AR99" s="15"/>
      <c r="AS99" s="15"/>
      <c r="AV99" s="15"/>
      <c r="AW99" s="15"/>
      <c r="AZ99" s="15"/>
      <c r="BA99" s="15"/>
      <c r="BD99" s="15"/>
      <c r="BH99" s="15"/>
    </row>
    <row r="100" spans="1:61" s="3" customFormat="1" x14ac:dyDescent="0.3">
      <c r="A100" s="3">
        <v>1904</v>
      </c>
      <c r="B100" s="3">
        <v>1</v>
      </c>
      <c r="C100" s="62" t="s">
        <v>182</v>
      </c>
      <c r="D100" s="68">
        <v>16.463905325399999</v>
      </c>
      <c r="E100" s="62" t="s">
        <v>183</v>
      </c>
      <c r="F100" s="2"/>
      <c r="H100" s="15"/>
      <c r="J100"/>
      <c r="K100" s="15"/>
      <c r="L100" s="2"/>
      <c r="M100" s="2"/>
      <c r="N100" s="15"/>
      <c r="O100" s="2"/>
      <c r="P100" s="2"/>
      <c r="Q100" s="15"/>
      <c r="R100"/>
      <c r="S100" s="15"/>
      <c r="T100" s="15"/>
      <c r="U100" s="15"/>
      <c r="W100" s="15"/>
      <c r="Z100" s="15"/>
      <c r="AC100" s="15"/>
      <c r="AD100" s="93"/>
      <c r="AE100"/>
      <c r="AF100"/>
      <c r="AG100"/>
      <c r="AH100"/>
      <c r="AI100"/>
      <c r="AJ100"/>
      <c r="AK100"/>
      <c r="AL100"/>
      <c r="AM100"/>
      <c r="AN100"/>
      <c r="AO100"/>
      <c r="AR100" s="15"/>
      <c r="AS100" s="15"/>
      <c r="AV100" s="15"/>
      <c r="AW100" s="15"/>
      <c r="AZ100" s="15"/>
      <c r="BA100" s="15"/>
      <c r="BD100" s="15"/>
      <c r="BH100" s="15"/>
    </row>
    <row r="101" spans="1:61" s="3" customFormat="1" x14ac:dyDescent="0.3">
      <c r="A101" s="3">
        <v>1905</v>
      </c>
      <c r="B101" s="3">
        <v>1</v>
      </c>
      <c r="C101" s="62" t="s">
        <v>182</v>
      </c>
      <c r="D101" s="68">
        <v>16.610549943841754</v>
      </c>
      <c r="E101" s="62" t="s">
        <v>183</v>
      </c>
      <c r="F101" s="2"/>
      <c r="H101" s="15"/>
      <c r="J101"/>
      <c r="K101" s="15"/>
      <c r="L101" s="2"/>
      <c r="M101" s="2"/>
      <c r="N101" s="15"/>
      <c r="O101" s="2"/>
      <c r="P101" s="2"/>
      <c r="Q101" s="15"/>
      <c r="R101"/>
      <c r="S101" s="15"/>
      <c r="T101" s="15"/>
      <c r="U101" s="15"/>
      <c r="W101" s="15"/>
      <c r="Z101" s="15"/>
      <c r="AC101" s="15"/>
      <c r="AD101" s="93"/>
      <c r="AE101"/>
      <c r="AF101"/>
      <c r="AG101"/>
      <c r="AH101"/>
      <c r="AI101"/>
      <c r="AJ101"/>
      <c r="AK101"/>
      <c r="AL101"/>
      <c r="AM101"/>
      <c r="AN101"/>
      <c r="AO101"/>
      <c r="AR101" s="15"/>
      <c r="AS101" s="15"/>
      <c r="AV101" s="15"/>
      <c r="AW101" s="15"/>
      <c r="AZ101" s="15"/>
      <c r="BA101" s="15"/>
      <c r="BD101" s="15"/>
      <c r="BH101" s="15"/>
    </row>
    <row r="102" spans="1:61" s="3" customFormat="1" x14ac:dyDescent="0.3">
      <c r="A102" s="3">
        <v>1906</v>
      </c>
      <c r="B102" s="3">
        <v>1</v>
      </c>
      <c r="C102" s="62" t="s">
        <v>182</v>
      </c>
      <c r="D102" s="68">
        <v>16.477732793559714</v>
      </c>
      <c r="E102" s="62" t="s">
        <v>183</v>
      </c>
      <c r="F102" s="2"/>
      <c r="H102" s="15"/>
      <c r="J102"/>
      <c r="K102" s="15"/>
      <c r="L102" s="2"/>
      <c r="M102" s="2"/>
      <c r="N102" s="15"/>
      <c r="O102" s="2"/>
      <c r="P102" s="2"/>
      <c r="Q102" s="15"/>
      <c r="R102"/>
      <c r="S102" s="15"/>
      <c r="T102" s="15"/>
      <c r="U102" s="15"/>
      <c r="W102" s="15"/>
      <c r="Z102" s="15"/>
      <c r="AC102" s="15"/>
      <c r="AD102" s="93"/>
      <c r="AE102"/>
      <c r="AF102"/>
      <c r="AG102"/>
      <c r="AH102"/>
      <c r="AI102"/>
      <c r="AJ102"/>
      <c r="AK102"/>
      <c r="AL102"/>
      <c r="AM102"/>
      <c r="AN102"/>
      <c r="AO102"/>
      <c r="AR102" s="15"/>
      <c r="AS102" s="15"/>
      <c r="AV102" s="15"/>
      <c r="AW102" s="15"/>
      <c r="AZ102" s="15"/>
      <c r="BA102" s="15"/>
      <c r="BD102" s="15"/>
      <c r="BH102" s="15"/>
    </row>
    <row r="103" spans="1:61" s="3" customFormat="1" x14ac:dyDescent="0.3">
      <c r="A103" s="3">
        <v>1907</v>
      </c>
      <c r="B103" s="3">
        <v>1</v>
      </c>
      <c r="C103" s="62" t="s">
        <v>182</v>
      </c>
      <c r="D103" s="68">
        <v>15.320910972701864</v>
      </c>
      <c r="E103" s="62" t="s">
        <v>183</v>
      </c>
      <c r="F103" s="2"/>
      <c r="H103" s="15"/>
      <c r="J103"/>
      <c r="K103" s="15"/>
      <c r="L103" s="2"/>
      <c r="M103" s="2"/>
      <c r="N103" s="15"/>
      <c r="O103" s="2"/>
      <c r="P103" s="2"/>
      <c r="Q103" s="15"/>
      <c r="R103"/>
      <c r="S103" s="15"/>
      <c r="T103" s="15"/>
      <c r="U103" s="15"/>
      <c r="W103" s="15"/>
      <c r="Z103" s="15"/>
      <c r="AC103" s="15"/>
      <c r="AD103" s="93"/>
      <c r="AE103"/>
      <c r="AF103"/>
      <c r="AG103"/>
      <c r="AH103"/>
      <c r="AI103"/>
      <c r="AJ103"/>
      <c r="AK103"/>
      <c r="AL103"/>
      <c r="AM103"/>
      <c r="AN103"/>
      <c r="AO103"/>
      <c r="AR103" s="15"/>
      <c r="AS103" s="15"/>
      <c r="AV103" s="15"/>
      <c r="AW103" s="15"/>
      <c r="AZ103" s="15"/>
      <c r="BA103" s="15"/>
      <c r="BD103" s="15"/>
      <c r="BH103" s="15"/>
    </row>
    <row r="104" spans="1:61" s="3" customFormat="1" x14ac:dyDescent="0.3">
      <c r="A104" s="3">
        <v>1908</v>
      </c>
      <c r="B104" s="3">
        <v>1</v>
      </c>
      <c r="C104" s="62" t="s">
        <v>182</v>
      </c>
      <c r="D104" s="68">
        <v>16.297055057665812</v>
      </c>
      <c r="E104" s="62" t="s">
        <v>183</v>
      </c>
      <c r="F104" s="2"/>
      <c r="H104" s="15"/>
      <c r="J104"/>
      <c r="K104" s="15"/>
      <c r="L104" s="2"/>
      <c r="M104" s="2"/>
      <c r="N104" s="15"/>
      <c r="O104" s="2"/>
      <c r="P104" s="2"/>
      <c r="Q104" s="15"/>
      <c r="R104"/>
      <c r="S104" s="15"/>
      <c r="T104" s="15"/>
      <c r="U104" s="15"/>
      <c r="W104" s="15"/>
      <c r="Z104" s="15"/>
      <c r="AC104" s="15"/>
      <c r="AD104" s="93"/>
      <c r="AE104"/>
      <c r="AF104"/>
      <c r="AG104"/>
      <c r="AH104"/>
      <c r="AI104"/>
      <c r="AJ104"/>
      <c r="AK104"/>
      <c r="AL104"/>
      <c r="AM104"/>
      <c r="AN104"/>
      <c r="AO104"/>
      <c r="AR104" s="15"/>
      <c r="AS104" s="15"/>
      <c r="AV104" s="15"/>
      <c r="AW104" s="15"/>
      <c r="AZ104" s="15"/>
      <c r="BA104" s="15"/>
      <c r="BD104" s="15"/>
      <c r="BH104" s="15"/>
    </row>
    <row r="105" spans="1:61" s="3" customFormat="1" x14ac:dyDescent="0.3">
      <c r="A105" s="3">
        <v>1909</v>
      </c>
      <c r="B105" s="3">
        <v>1</v>
      </c>
      <c r="C105" s="62" t="s">
        <v>182</v>
      </c>
      <c r="D105" s="68">
        <v>16.379446640316207</v>
      </c>
      <c r="E105" s="62" t="s">
        <v>183</v>
      </c>
      <c r="F105" s="2"/>
      <c r="H105" s="15"/>
      <c r="J105"/>
      <c r="K105" s="15"/>
      <c r="L105" s="2"/>
      <c r="M105" s="2"/>
      <c r="N105" s="15"/>
      <c r="O105" s="2"/>
      <c r="P105" s="2"/>
      <c r="Q105" s="15"/>
      <c r="R105"/>
      <c r="S105" s="15"/>
      <c r="T105" s="15"/>
      <c r="U105" s="15"/>
      <c r="W105" s="15"/>
      <c r="Z105" s="15"/>
      <c r="AC105" s="15"/>
      <c r="AD105" s="93"/>
      <c r="AE105"/>
      <c r="AF105"/>
      <c r="AG105"/>
      <c r="AH105"/>
      <c r="AI105"/>
      <c r="AJ105"/>
      <c r="AK105"/>
      <c r="AL105"/>
      <c r="AM105"/>
      <c r="AN105"/>
      <c r="AO105"/>
      <c r="AR105" s="15"/>
      <c r="AS105" s="15"/>
      <c r="AV105" s="15"/>
      <c r="AW105" s="15"/>
      <c r="AZ105" s="15"/>
      <c r="BA105" s="15"/>
      <c r="BD105" s="15"/>
      <c r="BH105" s="15"/>
    </row>
    <row r="106" spans="1:61" s="3" customFormat="1" x14ac:dyDescent="0.3">
      <c r="A106" s="3">
        <v>1910</v>
      </c>
      <c r="B106" s="3">
        <v>1</v>
      </c>
      <c r="C106" s="62" t="s">
        <v>182</v>
      </c>
      <c r="D106" s="68">
        <v>18.382763038022816</v>
      </c>
      <c r="E106" s="62" t="s">
        <v>183</v>
      </c>
      <c r="F106" s="2"/>
      <c r="H106" s="15"/>
      <c r="J106"/>
      <c r="K106" s="15"/>
      <c r="L106" s="2"/>
      <c r="M106" s="2"/>
      <c r="N106" s="15"/>
      <c r="O106" s="2"/>
      <c r="P106" s="2"/>
      <c r="Q106" s="15"/>
      <c r="R106"/>
      <c r="S106" s="15"/>
      <c r="T106" s="15"/>
      <c r="U106" s="15"/>
      <c r="W106" s="15"/>
      <c r="Z106" s="15"/>
      <c r="AC106" s="15"/>
      <c r="AD106" s="93"/>
      <c r="AE106"/>
      <c r="AF106"/>
      <c r="AG106"/>
      <c r="AH106"/>
      <c r="AI106"/>
      <c r="AJ106"/>
      <c r="AK106"/>
      <c r="AL106"/>
      <c r="AM106"/>
      <c r="AN106"/>
      <c r="AO106"/>
      <c r="AR106" s="15"/>
      <c r="AS106" s="15"/>
      <c r="AV106" s="15"/>
      <c r="AW106" s="15"/>
      <c r="AZ106" s="15"/>
      <c r="BA106" s="15"/>
      <c r="BD106" s="15"/>
      <c r="BH106" s="15"/>
    </row>
    <row r="107" spans="1:61" s="3" customFormat="1" x14ac:dyDescent="0.3">
      <c r="A107" s="3">
        <v>1911</v>
      </c>
      <c r="B107" s="3">
        <v>1</v>
      </c>
      <c r="C107" s="62" t="s">
        <v>182</v>
      </c>
      <c r="D107" s="68">
        <v>17.677255400207116</v>
      </c>
      <c r="E107" s="62" t="s">
        <v>183</v>
      </c>
      <c r="F107" s="2"/>
      <c r="H107" s="15"/>
      <c r="J107"/>
      <c r="K107" s="15"/>
      <c r="L107" s="2"/>
      <c r="M107" s="2"/>
      <c r="N107" s="15"/>
      <c r="O107" s="2"/>
      <c r="P107" s="2"/>
      <c r="Q107" s="15"/>
      <c r="R107"/>
      <c r="S107" s="15"/>
      <c r="T107" s="15"/>
      <c r="U107" s="15"/>
      <c r="W107" s="15"/>
      <c r="Z107" s="15"/>
      <c r="AC107" s="15"/>
      <c r="AD107" s="93"/>
      <c r="AE107"/>
      <c r="AF107"/>
      <c r="AG107"/>
      <c r="AH107"/>
      <c r="AI107"/>
      <c r="AJ107"/>
      <c r="AK107"/>
      <c r="AL107"/>
      <c r="AM107"/>
      <c r="AN107"/>
      <c r="AO107"/>
      <c r="AR107" s="15"/>
      <c r="AS107" s="15"/>
      <c r="AV107" s="15"/>
      <c r="AW107" s="15"/>
      <c r="AZ107" s="15"/>
      <c r="BA107" s="15"/>
      <c r="BD107" s="15"/>
      <c r="BH107" s="15"/>
    </row>
    <row r="108" spans="1:61" s="3" customFormat="1" x14ac:dyDescent="0.3">
      <c r="A108" s="3">
        <v>1912</v>
      </c>
      <c r="B108" s="3">
        <v>1</v>
      </c>
      <c r="C108" s="62" t="s">
        <v>182</v>
      </c>
      <c r="D108" s="68">
        <v>17.881959910954343</v>
      </c>
      <c r="E108" s="62" t="s">
        <v>183</v>
      </c>
      <c r="F108" s="2"/>
      <c r="H108" s="15"/>
      <c r="J108"/>
      <c r="K108" s="15"/>
      <c r="L108" s="2"/>
      <c r="M108" s="2"/>
      <c r="N108" s="15"/>
      <c r="O108" s="2"/>
      <c r="P108" s="2"/>
      <c r="Q108" s="15"/>
      <c r="R108"/>
      <c r="S108" s="15"/>
      <c r="T108" s="15"/>
      <c r="U108" s="15"/>
      <c r="W108" s="15"/>
      <c r="Z108" s="15"/>
      <c r="AC108" s="15"/>
      <c r="AD108" s="93"/>
      <c r="AE108"/>
      <c r="AF108"/>
      <c r="AG108"/>
      <c r="AH108"/>
      <c r="AI108"/>
      <c r="AJ108"/>
      <c r="AK108"/>
      <c r="AL108"/>
      <c r="AM108"/>
      <c r="AN108"/>
      <c r="AO108"/>
      <c r="AR108" s="15"/>
      <c r="AS108" s="15"/>
      <c r="AV108" s="15"/>
      <c r="AW108" s="15"/>
      <c r="AZ108" s="15"/>
      <c r="BA108" s="15"/>
      <c r="BD108" s="15"/>
      <c r="BH108" s="15"/>
    </row>
    <row r="109" spans="1:61" s="3" customFormat="1" x14ac:dyDescent="0.3">
      <c r="A109" s="3">
        <v>1913</v>
      </c>
      <c r="B109" s="3">
        <v>1</v>
      </c>
      <c r="C109" s="62" t="s">
        <v>182</v>
      </c>
      <c r="D109" s="68">
        <v>17.451247165537076</v>
      </c>
      <c r="E109" s="62" t="s">
        <v>183</v>
      </c>
      <c r="F109" s="2"/>
      <c r="H109" s="15"/>
      <c r="J109"/>
      <c r="K109" s="15"/>
      <c r="L109" s="2"/>
      <c r="M109" s="2"/>
      <c r="N109" s="15"/>
      <c r="O109" s="2"/>
      <c r="P109" s="2"/>
      <c r="Q109" s="15"/>
      <c r="R109"/>
      <c r="S109" s="15"/>
      <c r="T109" s="15"/>
      <c r="U109" s="15"/>
      <c r="W109" s="15"/>
      <c r="Z109" s="15"/>
      <c r="AC109" s="15"/>
      <c r="AD109" s="93"/>
      <c r="AE109"/>
      <c r="AF109"/>
      <c r="AG109"/>
      <c r="AH109"/>
      <c r="AI109"/>
      <c r="AJ109"/>
      <c r="AK109"/>
      <c r="AL109"/>
      <c r="AM109"/>
      <c r="AN109"/>
      <c r="AO109"/>
      <c r="AR109" s="15"/>
      <c r="AS109" s="15"/>
      <c r="AV109" s="15"/>
      <c r="AW109" s="15"/>
      <c r="AZ109" s="15"/>
      <c r="BA109" s="15"/>
      <c r="BD109" s="15"/>
      <c r="BH109" s="15"/>
    </row>
    <row r="110" spans="1:61" s="3" customFormat="1" x14ac:dyDescent="0.3">
      <c r="B110" s="2"/>
      <c r="C110" s="2"/>
      <c r="D110" s="15"/>
      <c r="E110" s="2"/>
      <c r="F110" s="2"/>
      <c r="H110" s="15"/>
      <c r="J110"/>
      <c r="K110" s="15"/>
      <c r="L110" s="2"/>
      <c r="M110" s="2"/>
      <c r="N110" s="15"/>
      <c r="O110" s="2"/>
      <c r="P110" s="2"/>
      <c r="Q110" s="15"/>
      <c r="R110"/>
      <c r="S110" s="15"/>
      <c r="T110" s="15"/>
      <c r="U110" s="15"/>
      <c r="W110" s="15"/>
      <c r="Z110" s="15"/>
      <c r="AC110" s="15"/>
      <c r="AD110" s="93"/>
      <c r="AE110"/>
      <c r="AF110"/>
      <c r="AG110"/>
      <c r="AH110"/>
      <c r="AI110"/>
      <c r="AJ110"/>
      <c r="AK110"/>
      <c r="AL110"/>
      <c r="AM110"/>
      <c r="AN110"/>
      <c r="AO110"/>
      <c r="AR110" s="15"/>
      <c r="AS110" s="15"/>
      <c r="AV110" s="15"/>
      <c r="AW110" s="15"/>
      <c r="AZ110" s="15"/>
      <c r="BA110" s="15"/>
      <c r="BD110" s="15"/>
      <c r="BH110" s="15"/>
    </row>
    <row r="111" spans="1:61" s="3" customFormat="1" x14ac:dyDescent="0.3">
      <c r="A111" s="11"/>
      <c r="B111" s="15"/>
      <c r="C111" s="2"/>
      <c r="D111" s="2"/>
      <c r="E111" s="15"/>
      <c r="F111" s="15"/>
      <c r="G111" s="2"/>
      <c r="I111" s="15"/>
      <c r="J111" s="15"/>
      <c r="K111" s="2"/>
      <c r="L111" s="15"/>
      <c r="M111" s="2"/>
      <c r="N111" s="2"/>
      <c r="O111" s="15"/>
      <c r="P111" s="2"/>
      <c r="Q111" s="2"/>
      <c r="R111" s="15"/>
      <c r="S111" s="15"/>
      <c r="T111" s="15"/>
      <c r="U111" s="15"/>
      <c r="X111" s="15"/>
      <c r="AA111" s="15"/>
      <c r="AD111" s="93"/>
      <c r="AE111"/>
      <c r="AF111"/>
      <c r="AG111"/>
      <c r="AH111"/>
      <c r="AI111"/>
      <c r="AJ111"/>
      <c r="AK111"/>
      <c r="AL111"/>
      <c r="AM111"/>
      <c r="AN111"/>
      <c r="AO111"/>
      <c r="AP111" s="15"/>
      <c r="AT111" s="15"/>
      <c r="AX111" s="15"/>
      <c r="BB111" s="15"/>
      <c r="BE111" s="15"/>
      <c r="BH111" s="15"/>
    </row>
    <row r="112" spans="1:61" s="3" customFormat="1" x14ac:dyDescent="0.3">
      <c r="A112" s="11"/>
      <c r="B112" s="15"/>
      <c r="C112" s="2"/>
      <c r="D112" s="2"/>
      <c r="E112" s="15"/>
      <c r="F112" s="15"/>
      <c r="G112" s="2"/>
      <c r="I112" s="15"/>
      <c r="J112" s="15"/>
      <c r="K112" s="2"/>
      <c r="L112" s="15"/>
      <c r="M112" s="2"/>
      <c r="N112" s="2"/>
      <c r="O112" s="15"/>
      <c r="P112" s="2"/>
      <c r="Q112" s="2"/>
      <c r="R112" s="15"/>
      <c r="S112" s="15"/>
      <c r="T112" s="15"/>
      <c r="U112" s="15"/>
      <c r="X112" s="15"/>
      <c r="AA112" s="15"/>
      <c r="AD112" s="93"/>
      <c r="AE112"/>
      <c r="AF112"/>
      <c r="AG112"/>
      <c r="AH112"/>
      <c r="AI112"/>
      <c r="AJ112"/>
      <c r="AK112"/>
      <c r="AL112"/>
      <c r="AM112"/>
      <c r="AN112"/>
      <c r="AO112"/>
      <c r="AP112" s="15"/>
      <c r="AT112" s="15"/>
      <c r="AX112" s="15"/>
      <c r="BB112" s="15"/>
      <c r="BE112" s="15"/>
      <c r="BH112" s="15"/>
    </row>
    <row r="113" spans="1:61" s="3" customFormat="1" x14ac:dyDescent="0.3">
      <c r="A113" s="11"/>
      <c r="B113" s="15"/>
      <c r="C113" s="2"/>
      <c r="D113" s="2"/>
      <c r="E113" s="15"/>
      <c r="F113" s="15"/>
      <c r="G113" s="2"/>
      <c r="I113" s="15"/>
      <c r="J113" s="15"/>
      <c r="K113" s="2"/>
      <c r="L113" s="15"/>
      <c r="M113" s="2"/>
      <c r="N113" s="2"/>
      <c r="O113" s="15"/>
      <c r="P113" s="2"/>
      <c r="Q113" s="2"/>
      <c r="R113" s="15"/>
      <c r="S113" s="15"/>
      <c r="T113" s="15"/>
      <c r="U113" s="15"/>
      <c r="X113" s="15"/>
      <c r="AA113" s="15"/>
      <c r="AD113" s="93"/>
      <c r="AE113"/>
      <c r="AF113"/>
      <c r="AG113"/>
      <c r="AH113"/>
      <c r="AI113"/>
      <c r="AJ113"/>
      <c r="AK113"/>
      <c r="AL113"/>
      <c r="AM113"/>
      <c r="AN113"/>
      <c r="AO113"/>
      <c r="AP113" s="15"/>
      <c r="AT113" s="15"/>
      <c r="AX113" s="15"/>
      <c r="BB113" s="15"/>
      <c r="BE113" s="15"/>
      <c r="BH113" s="15"/>
    </row>
    <row r="114" spans="1:61" s="3" customFormat="1" x14ac:dyDescent="0.3">
      <c r="A114" s="11"/>
      <c r="B114" s="15"/>
      <c r="C114" s="2"/>
      <c r="D114" s="2"/>
      <c r="E114" s="15"/>
      <c r="F114" s="15"/>
      <c r="G114" s="2"/>
      <c r="I114" s="15"/>
      <c r="J114" s="15"/>
      <c r="K114" s="2"/>
      <c r="L114" s="15"/>
      <c r="M114" s="2"/>
      <c r="N114" s="2"/>
      <c r="O114" s="15"/>
      <c r="P114" s="2"/>
      <c r="Q114" s="2"/>
      <c r="R114" s="15"/>
      <c r="S114" s="15"/>
      <c r="T114" s="15"/>
      <c r="U114" s="15"/>
      <c r="X114" s="15"/>
      <c r="AA114" s="15"/>
      <c r="AD114" s="93"/>
      <c r="AE114"/>
      <c r="AF114"/>
      <c r="AG114"/>
      <c r="AH114"/>
      <c r="AI114"/>
      <c r="AJ114"/>
      <c r="AK114"/>
      <c r="AL114"/>
      <c r="AM114"/>
      <c r="AN114"/>
      <c r="AO114"/>
      <c r="AP114" s="15"/>
      <c r="AT114" s="15"/>
      <c r="AX114" s="15"/>
      <c r="BB114" s="15"/>
      <c r="BE114" s="15"/>
      <c r="BH114" s="15"/>
    </row>
    <row r="115" spans="1:61" s="3" customFormat="1" x14ac:dyDescent="0.3">
      <c r="A115" s="11"/>
      <c r="B115" s="15"/>
      <c r="E115" s="15"/>
      <c r="F115" s="15"/>
      <c r="I115" s="15"/>
      <c r="J115" s="15"/>
      <c r="L115" s="15"/>
      <c r="O115" s="15"/>
      <c r="R115" s="15"/>
      <c r="S115" s="15"/>
      <c r="T115" s="15"/>
      <c r="U115" s="15"/>
      <c r="X115" s="15"/>
      <c r="AA115" s="15"/>
      <c r="AD115" s="93"/>
      <c r="AE115"/>
      <c r="AF115"/>
      <c r="AG115"/>
      <c r="AH115"/>
      <c r="AI115"/>
      <c r="AJ115"/>
      <c r="AK115"/>
      <c r="AL115"/>
      <c r="AM115"/>
      <c r="AN115"/>
      <c r="AO115"/>
      <c r="AP115" s="15"/>
      <c r="AT115" s="15"/>
      <c r="AX115" s="15"/>
      <c r="BB115" s="15"/>
      <c r="BE115" s="15"/>
      <c r="BH115" s="15"/>
    </row>
    <row r="116" spans="1:61" s="3" customFormat="1" x14ac:dyDescent="0.3">
      <c r="A116" s="11"/>
      <c r="B116" s="15"/>
      <c r="C116" s="2"/>
      <c r="D116" s="2"/>
      <c r="E116" s="15"/>
      <c r="F116" s="15"/>
      <c r="G116" s="2"/>
      <c r="I116" s="15"/>
      <c r="J116" s="15"/>
      <c r="K116" s="2"/>
      <c r="L116" s="15"/>
      <c r="M116" s="2"/>
      <c r="N116" s="2"/>
      <c r="O116" s="15"/>
      <c r="P116" s="2"/>
      <c r="Q116" s="2"/>
      <c r="R116" s="15"/>
      <c r="S116" s="15"/>
      <c r="T116" s="15"/>
      <c r="U116" s="15"/>
      <c r="X116" s="15"/>
      <c r="AA116" s="15"/>
      <c r="AD116" s="93"/>
      <c r="AE116"/>
      <c r="AF116"/>
      <c r="AG116"/>
      <c r="AH116"/>
      <c r="AI116"/>
      <c r="AJ116"/>
      <c r="AK116"/>
      <c r="AL116"/>
      <c r="AM116"/>
      <c r="AN116"/>
      <c r="AO116"/>
      <c r="AP116" s="15"/>
      <c r="AT116" s="15"/>
      <c r="AX116" s="15"/>
      <c r="BB116" s="15"/>
      <c r="BE116" s="15"/>
      <c r="BH116" s="15"/>
    </row>
    <row r="117" spans="1:61" s="3" customFormat="1" x14ac:dyDescent="0.3">
      <c r="A117" s="11"/>
      <c r="B117" s="15"/>
      <c r="C117" s="2"/>
      <c r="D117" s="2"/>
      <c r="E117" s="15"/>
      <c r="F117" s="15"/>
      <c r="G117" s="2"/>
      <c r="I117" s="15"/>
      <c r="J117" s="15"/>
      <c r="K117" s="2"/>
      <c r="L117" s="15"/>
      <c r="M117" s="2"/>
      <c r="N117" s="2"/>
      <c r="O117" s="15"/>
      <c r="P117" s="2"/>
      <c r="Q117" s="2"/>
      <c r="R117" s="15"/>
      <c r="S117" s="15"/>
      <c r="T117" s="15"/>
      <c r="U117" s="15"/>
      <c r="X117" s="15"/>
      <c r="AA117" s="15"/>
      <c r="AD117" s="93"/>
      <c r="AE117"/>
      <c r="AF117"/>
      <c r="AG117"/>
      <c r="AH117"/>
      <c r="AI117"/>
      <c r="AJ117"/>
      <c r="AK117"/>
      <c r="AL117"/>
      <c r="AM117"/>
      <c r="AN117"/>
      <c r="AO117"/>
      <c r="AP117" s="15"/>
      <c r="AT117" s="15"/>
      <c r="AX117" s="15"/>
      <c r="BB117" s="15"/>
      <c r="BE117" s="15"/>
      <c r="BH117" s="15"/>
    </row>
    <row r="118" spans="1:61" s="3" customFormat="1" x14ac:dyDescent="0.3">
      <c r="A118" s="11"/>
      <c r="B118" s="15"/>
      <c r="C118" s="2"/>
      <c r="D118" s="2"/>
      <c r="E118" s="15"/>
      <c r="F118" s="15"/>
      <c r="G118" s="2"/>
      <c r="I118" s="15"/>
      <c r="J118" s="15"/>
      <c r="K118" s="2"/>
      <c r="L118" s="15"/>
      <c r="M118" s="2"/>
      <c r="N118" s="2"/>
      <c r="O118" s="15"/>
      <c r="P118" s="2"/>
      <c r="Q118" s="2"/>
      <c r="R118" s="15"/>
      <c r="S118" s="15"/>
      <c r="T118" s="15"/>
      <c r="U118" s="15"/>
      <c r="X118" s="15"/>
      <c r="AA118" s="15"/>
      <c r="AD118" s="93"/>
      <c r="AE118"/>
      <c r="AF118"/>
      <c r="AG118"/>
      <c r="AH118"/>
      <c r="AI118"/>
      <c r="AJ118"/>
      <c r="AK118"/>
      <c r="AL118"/>
      <c r="AM118"/>
      <c r="AN118"/>
      <c r="AO118"/>
      <c r="AP118" s="15"/>
      <c r="AT118" s="15"/>
      <c r="AX118" s="15"/>
      <c r="BB118" s="15"/>
      <c r="BE118" s="15"/>
      <c r="BH118" s="15"/>
    </row>
    <row r="119" spans="1:61" s="3" customFormat="1" x14ac:dyDescent="0.3">
      <c r="A119" s="11"/>
      <c r="B119" s="15"/>
      <c r="C119" s="2"/>
      <c r="D119" s="2"/>
      <c r="E119" s="15"/>
      <c r="F119" s="15"/>
      <c r="G119" s="2"/>
      <c r="I119" s="15"/>
      <c r="J119" s="15"/>
      <c r="K119" s="2"/>
      <c r="L119" s="15"/>
      <c r="M119" s="2"/>
      <c r="N119" s="2"/>
      <c r="O119" s="15"/>
      <c r="P119" s="2"/>
      <c r="Q119" s="2"/>
      <c r="R119" s="15"/>
      <c r="S119" s="15"/>
      <c r="T119" s="15"/>
      <c r="U119" s="15"/>
      <c r="X119" s="15"/>
      <c r="AA119" s="15"/>
      <c r="AD119" s="93"/>
      <c r="AE119"/>
      <c r="AF119"/>
      <c r="AG119"/>
      <c r="AH119"/>
      <c r="AI119"/>
      <c r="AJ119"/>
      <c r="AK119"/>
      <c r="AL119"/>
      <c r="AM119"/>
      <c r="AN119"/>
      <c r="AO119"/>
      <c r="AP119" s="15"/>
      <c r="AT119" s="15"/>
      <c r="AX119" s="15"/>
      <c r="BB119" s="15"/>
      <c r="BE119" s="15"/>
      <c r="BH119" s="15"/>
    </row>
    <row r="120" spans="1:61" s="3" customFormat="1" x14ac:dyDescent="0.3">
      <c r="A120" s="11"/>
      <c r="B120" s="15"/>
      <c r="C120" s="2"/>
      <c r="D120" s="2"/>
      <c r="E120" s="15"/>
      <c r="F120" s="15"/>
      <c r="G120" s="2"/>
      <c r="I120" s="15"/>
      <c r="J120" s="15"/>
      <c r="K120" s="2"/>
      <c r="L120" s="15"/>
      <c r="M120" s="2"/>
      <c r="N120" s="2"/>
      <c r="O120" s="15"/>
      <c r="P120" s="2"/>
      <c r="Q120" s="2"/>
      <c r="R120" s="15"/>
      <c r="S120" s="15"/>
      <c r="T120" s="15"/>
      <c r="U120" s="15"/>
      <c r="X120" s="15"/>
      <c r="AA120" s="15"/>
      <c r="AD120" s="93"/>
      <c r="AE120"/>
      <c r="AF120"/>
      <c r="AG120"/>
      <c r="AH120"/>
      <c r="AI120"/>
      <c r="AJ120"/>
      <c r="AK120"/>
      <c r="AL120"/>
      <c r="AM120"/>
      <c r="AN120"/>
      <c r="AO120"/>
      <c r="AP120" s="15"/>
      <c r="AT120" s="15"/>
      <c r="AX120" s="15"/>
      <c r="BB120" s="15"/>
      <c r="BE120" s="15"/>
      <c r="BH120" s="15"/>
    </row>
    <row r="121" spans="1:61" s="3" customFormat="1" x14ac:dyDescent="0.3">
      <c r="A121" s="11"/>
      <c r="B121" s="15"/>
      <c r="C121" s="2"/>
      <c r="D121" s="2"/>
      <c r="E121" s="15"/>
      <c r="F121" s="15"/>
      <c r="G121" s="2"/>
      <c r="I121" s="15"/>
      <c r="J121" s="15"/>
      <c r="K121" s="2"/>
      <c r="L121" s="15"/>
      <c r="M121" s="2"/>
      <c r="N121" s="2"/>
      <c r="O121" s="15"/>
      <c r="P121" s="2"/>
      <c r="Q121" s="2"/>
      <c r="R121" s="15"/>
      <c r="S121" s="15"/>
      <c r="T121" s="15"/>
      <c r="U121" s="15"/>
      <c r="X121" s="15"/>
      <c r="AA121" s="15"/>
      <c r="AD121" s="93"/>
      <c r="AE121"/>
      <c r="AF121"/>
      <c r="AG121"/>
      <c r="AH121"/>
      <c r="AI121"/>
      <c r="AJ121"/>
      <c r="AK121"/>
      <c r="AL121"/>
      <c r="AM121"/>
      <c r="AN121"/>
      <c r="AO121"/>
      <c r="AP121" s="15"/>
      <c r="AT121" s="15"/>
      <c r="AX121" s="15"/>
      <c r="BB121" s="15"/>
      <c r="BE121" s="15"/>
      <c r="BF121" s="15"/>
      <c r="BI121" s="15"/>
    </row>
    <row r="122" spans="1:61" s="3" customFormat="1" x14ac:dyDescent="0.3">
      <c r="A122" s="11"/>
      <c r="B122" s="15"/>
      <c r="C122" s="2"/>
      <c r="D122" s="2"/>
      <c r="E122" s="15"/>
      <c r="F122" s="15"/>
      <c r="G122" s="2"/>
      <c r="I122" s="15"/>
      <c r="J122" s="15"/>
      <c r="K122" s="2"/>
      <c r="L122" s="15"/>
      <c r="M122" s="2"/>
      <c r="N122" s="2"/>
      <c r="O122" s="15"/>
      <c r="P122" s="2"/>
      <c r="Q122" s="2"/>
      <c r="R122" s="15"/>
      <c r="S122" s="15"/>
      <c r="T122" s="15"/>
      <c r="U122" s="15"/>
      <c r="X122" s="15"/>
      <c r="AA122" s="15"/>
      <c r="AD122" s="93"/>
      <c r="AE122"/>
      <c r="AF122"/>
      <c r="AG122"/>
      <c r="AH122"/>
      <c r="AI122"/>
      <c r="AJ122"/>
      <c r="AK122"/>
      <c r="AL122"/>
      <c r="AM122"/>
      <c r="AN122"/>
      <c r="AO122"/>
      <c r="AP122" s="15"/>
      <c r="AT122" s="15"/>
      <c r="AX122" s="15"/>
      <c r="BB122" s="15"/>
      <c r="BE122" s="15"/>
      <c r="BF122" s="15"/>
      <c r="BI122" s="15"/>
    </row>
    <row r="123" spans="1:61" s="3" customFormat="1" x14ac:dyDescent="0.3">
      <c r="A123" s="11"/>
      <c r="B123" s="15"/>
      <c r="C123" s="2"/>
      <c r="D123" s="2"/>
      <c r="E123" s="15"/>
      <c r="F123" s="15"/>
      <c r="G123" s="2"/>
      <c r="I123" s="15"/>
      <c r="J123" s="15"/>
      <c r="K123" s="2"/>
      <c r="L123" s="15"/>
      <c r="M123" s="2"/>
      <c r="N123" s="2"/>
      <c r="O123" s="15"/>
      <c r="P123" s="2"/>
      <c r="Q123" s="2"/>
      <c r="R123" s="15"/>
      <c r="S123" s="15"/>
      <c r="T123" s="15"/>
      <c r="U123" s="15"/>
      <c r="X123" s="15"/>
      <c r="AA123" s="15"/>
      <c r="AD123" s="93"/>
      <c r="AE123"/>
      <c r="AF123"/>
      <c r="AG123"/>
      <c r="AH123"/>
      <c r="AI123"/>
      <c r="AJ123"/>
      <c r="AK123"/>
      <c r="AL123"/>
      <c r="AM123"/>
      <c r="AN123"/>
      <c r="AO123"/>
      <c r="AP123" s="15"/>
      <c r="AT123" s="15"/>
      <c r="AX123" s="15"/>
      <c r="BB123" s="15"/>
      <c r="BE123" s="15"/>
      <c r="BF123" s="15"/>
      <c r="BI123" s="15"/>
    </row>
    <row r="124" spans="1:61" s="3" customFormat="1" x14ac:dyDescent="0.3">
      <c r="A124" s="11"/>
      <c r="B124" s="15"/>
      <c r="C124" s="2"/>
      <c r="D124" s="2"/>
      <c r="E124" s="15"/>
      <c r="F124" s="15"/>
      <c r="G124" s="2"/>
      <c r="I124" s="15"/>
      <c r="J124" s="15"/>
      <c r="K124" s="2"/>
      <c r="L124" s="15"/>
      <c r="M124" s="2"/>
      <c r="N124" s="2"/>
      <c r="O124" s="15"/>
      <c r="P124" s="2"/>
      <c r="Q124" s="2"/>
      <c r="R124" s="15"/>
      <c r="S124" s="15"/>
      <c r="T124" s="15"/>
      <c r="U124" s="15"/>
      <c r="X124" s="15"/>
      <c r="AA124" s="15"/>
      <c r="AD124" s="93"/>
      <c r="AE124"/>
      <c r="AF124"/>
      <c r="AG124"/>
      <c r="AH124"/>
      <c r="AI124"/>
      <c r="AJ124"/>
      <c r="AK124"/>
      <c r="AL124"/>
      <c r="AM124"/>
      <c r="AN124"/>
      <c r="AO124"/>
      <c r="AP124" s="15"/>
      <c r="AT124" s="15"/>
      <c r="AX124" s="15"/>
      <c r="BB124" s="15"/>
      <c r="BE124" s="15"/>
      <c r="BF124" s="15"/>
      <c r="BI124" s="15"/>
    </row>
    <row r="125" spans="1:61" s="3" customFormat="1" x14ac:dyDescent="0.3">
      <c r="A125" s="11"/>
      <c r="B125" s="15"/>
      <c r="C125" s="2"/>
      <c r="D125" s="2"/>
      <c r="E125" s="15"/>
      <c r="F125" s="15"/>
      <c r="G125" s="2"/>
      <c r="I125" s="15"/>
      <c r="J125" s="15"/>
      <c r="K125" s="2"/>
      <c r="L125" s="15"/>
      <c r="M125" s="2"/>
      <c r="N125" s="2"/>
      <c r="O125" s="15"/>
      <c r="P125" s="2"/>
      <c r="Q125" s="2"/>
      <c r="R125" s="15"/>
      <c r="S125" s="15"/>
      <c r="T125" s="15"/>
      <c r="U125" s="15"/>
      <c r="X125" s="15"/>
      <c r="AA125" s="15"/>
      <c r="AD125" s="93"/>
      <c r="AE125"/>
      <c r="AF125"/>
      <c r="AG125"/>
      <c r="AH125"/>
      <c r="AI125"/>
      <c r="AJ125"/>
      <c r="AK125"/>
      <c r="AL125"/>
      <c r="AM125"/>
      <c r="AN125"/>
      <c r="AO125"/>
      <c r="AP125" s="15"/>
      <c r="AT125" s="15"/>
      <c r="AX125" s="15"/>
      <c r="BB125" s="15"/>
      <c r="BE125" s="15"/>
      <c r="BF125" s="15"/>
      <c r="BI125" s="15"/>
    </row>
    <row r="126" spans="1:61" s="3" customFormat="1" x14ac:dyDescent="0.3">
      <c r="A126" s="11"/>
      <c r="B126" s="15"/>
      <c r="C126" s="2"/>
      <c r="D126" s="2"/>
      <c r="E126" s="15"/>
      <c r="F126" s="15"/>
      <c r="G126" s="2"/>
      <c r="I126" s="15"/>
      <c r="J126" s="15"/>
      <c r="K126" s="2"/>
      <c r="L126" s="15"/>
      <c r="M126" s="2"/>
      <c r="N126" s="2"/>
      <c r="O126" s="15"/>
      <c r="P126" s="2"/>
      <c r="Q126" s="2"/>
      <c r="R126" s="15"/>
      <c r="S126" s="15"/>
      <c r="T126" s="15"/>
      <c r="U126" s="15"/>
      <c r="X126" s="15"/>
      <c r="AA126" s="15"/>
      <c r="AD126" s="93"/>
      <c r="AE126"/>
      <c r="AF126"/>
      <c r="AG126"/>
      <c r="AH126"/>
      <c r="AI126"/>
      <c r="AJ126"/>
      <c r="AK126"/>
      <c r="AL126"/>
      <c r="AM126"/>
      <c r="AN126"/>
      <c r="AO126"/>
      <c r="AP126" s="15"/>
      <c r="AT126" s="15"/>
      <c r="AX126" s="15"/>
      <c r="BB126" s="15"/>
      <c r="BE126" s="15"/>
      <c r="BF126" s="15"/>
      <c r="BI126" s="15"/>
    </row>
    <row r="127" spans="1:61" s="3" customFormat="1" x14ac:dyDescent="0.3">
      <c r="A127" s="11"/>
      <c r="B127" s="15"/>
      <c r="C127" s="2"/>
      <c r="D127" s="2"/>
      <c r="E127" s="15"/>
      <c r="F127" s="15"/>
      <c r="G127" s="2"/>
      <c r="I127" s="15"/>
      <c r="J127" s="15"/>
      <c r="K127" s="2"/>
      <c r="L127" s="15"/>
      <c r="M127" s="2"/>
      <c r="N127" s="2"/>
      <c r="O127" s="15"/>
      <c r="P127" s="2"/>
      <c r="Q127" s="2"/>
      <c r="R127" s="15"/>
      <c r="S127" s="15"/>
      <c r="T127" s="15"/>
      <c r="U127" s="15"/>
      <c r="X127" s="15"/>
      <c r="AA127" s="15"/>
      <c r="AD127" s="93"/>
      <c r="AE127"/>
      <c r="AF127"/>
      <c r="AG127"/>
      <c r="AH127"/>
      <c r="AI127"/>
      <c r="AJ127"/>
      <c r="AK127"/>
      <c r="AL127"/>
      <c r="AM127"/>
      <c r="AN127"/>
      <c r="AO127"/>
      <c r="AP127" s="15"/>
      <c r="AT127" s="15"/>
      <c r="AX127" s="15"/>
      <c r="BB127" s="15"/>
      <c r="BE127" s="15"/>
      <c r="BF127" s="15"/>
      <c r="BI127" s="15"/>
    </row>
    <row r="128" spans="1:61" s="3" customFormat="1" x14ac:dyDescent="0.3">
      <c r="A128" s="11"/>
      <c r="B128" s="15"/>
      <c r="C128" s="2"/>
      <c r="D128" s="2"/>
      <c r="E128" s="15"/>
      <c r="F128" s="15"/>
      <c r="G128" s="2"/>
      <c r="I128" s="15"/>
      <c r="J128" s="15"/>
      <c r="K128" s="2"/>
      <c r="L128" s="15"/>
      <c r="M128" s="2"/>
      <c r="N128" s="2"/>
      <c r="O128" s="15"/>
      <c r="P128" s="2"/>
      <c r="Q128" s="2"/>
      <c r="R128" s="15"/>
      <c r="S128" s="15"/>
      <c r="T128" s="15"/>
      <c r="U128" s="15"/>
      <c r="X128" s="15"/>
      <c r="AA128" s="15"/>
      <c r="AD128" s="93"/>
      <c r="AE128"/>
      <c r="AF128"/>
      <c r="AG128"/>
      <c r="AH128"/>
      <c r="AI128"/>
      <c r="AJ128"/>
      <c r="AK128"/>
      <c r="AL128"/>
      <c r="AM128"/>
      <c r="AN128"/>
      <c r="AO128"/>
      <c r="AP128" s="15"/>
      <c r="AT128" s="15"/>
      <c r="AX128" s="15"/>
      <c r="BB128" s="15"/>
      <c r="BE128" s="15"/>
      <c r="BF128" s="15"/>
      <c r="BI128" s="15"/>
    </row>
    <row r="129" spans="1:61" s="3" customFormat="1" x14ac:dyDescent="0.3">
      <c r="A129" s="11"/>
      <c r="B129" s="15"/>
      <c r="C129" s="2"/>
      <c r="D129" s="2"/>
      <c r="E129" s="15"/>
      <c r="F129" s="15"/>
      <c r="G129" s="2"/>
      <c r="I129" s="15"/>
      <c r="J129" s="15"/>
      <c r="K129" s="2"/>
      <c r="L129" s="15"/>
      <c r="M129" s="2"/>
      <c r="N129" s="2"/>
      <c r="O129" s="15"/>
      <c r="P129" s="2"/>
      <c r="Q129" s="2"/>
      <c r="R129" s="15"/>
      <c r="S129" s="15"/>
      <c r="T129" s="15"/>
      <c r="U129" s="15"/>
      <c r="X129" s="15"/>
      <c r="AA129" s="15"/>
      <c r="AD129" s="93"/>
      <c r="AE129"/>
      <c r="AF129"/>
      <c r="AG129"/>
      <c r="AH129"/>
      <c r="AI129"/>
      <c r="AJ129"/>
      <c r="AK129"/>
      <c r="AL129"/>
      <c r="AM129"/>
      <c r="AN129"/>
      <c r="AO129"/>
      <c r="AP129" s="15"/>
      <c r="AT129" s="15"/>
      <c r="AX129" s="15"/>
      <c r="BB129" s="15"/>
      <c r="BE129" s="15"/>
      <c r="BF129" s="15"/>
      <c r="BI129" s="15"/>
    </row>
    <row r="130" spans="1:61" s="3" customFormat="1" x14ac:dyDescent="0.3">
      <c r="A130" s="11"/>
      <c r="B130" s="15"/>
      <c r="C130" s="2"/>
      <c r="D130" s="2"/>
      <c r="E130" s="15"/>
      <c r="F130" s="15"/>
      <c r="G130" s="2"/>
      <c r="I130" s="15"/>
      <c r="J130" s="15"/>
      <c r="K130" s="2"/>
      <c r="L130" s="15"/>
      <c r="M130" s="2"/>
      <c r="N130" s="2"/>
      <c r="O130" s="15"/>
      <c r="P130" s="2"/>
      <c r="Q130" s="2"/>
      <c r="R130" s="15"/>
      <c r="S130" s="15"/>
      <c r="T130" s="15"/>
      <c r="U130" s="15"/>
      <c r="X130" s="15"/>
      <c r="AA130" s="15"/>
      <c r="AD130" s="93"/>
      <c r="AE130"/>
      <c r="AF130"/>
      <c r="AG130"/>
      <c r="AH130"/>
      <c r="AI130"/>
      <c r="AJ130"/>
      <c r="AK130"/>
      <c r="AL130"/>
      <c r="AM130"/>
      <c r="AN130"/>
      <c r="AO130"/>
      <c r="AP130" s="15"/>
      <c r="AT130" s="15"/>
      <c r="AX130" s="15"/>
      <c r="BB130" s="15"/>
      <c r="BE130" s="15"/>
      <c r="BF130" s="15"/>
      <c r="BI130" s="15"/>
    </row>
    <row r="131" spans="1:61" s="3" customFormat="1" x14ac:dyDescent="0.3">
      <c r="A131" s="11"/>
      <c r="B131" s="15"/>
      <c r="C131" s="2"/>
      <c r="D131" s="2"/>
      <c r="E131" s="15"/>
      <c r="F131" s="15"/>
      <c r="G131" s="2"/>
      <c r="I131" s="15"/>
      <c r="J131" s="15"/>
      <c r="K131" s="2"/>
      <c r="L131" s="15"/>
      <c r="M131" s="2"/>
      <c r="N131" s="2"/>
      <c r="O131" s="15"/>
      <c r="P131" s="2"/>
      <c r="Q131" s="2"/>
      <c r="R131" s="15"/>
      <c r="S131" s="15"/>
      <c r="T131" s="15"/>
      <c r="U131" s="15"/>
      <c r="X131" s="15"/>
      <c r="AA131" s="15"/>
      <c r="AD131" s="93"/>
      <c r="AE131"/>
      <c r="AF131"/>
      <c r="AG131"/>
      <c r="AH131"/>
      <c r="AI131"/>
      <c r="AJ131"/>
      <c r="AK131"/>
      <c r="AL131"/>
      <c r="AM131"/>
      <c r="AN131"/>
      <c r="AO131"/>
      <c r="AP131" s="15"/>
      <c r="AT131" s="15"/>
      <c r="AX131" s="15"/>
      <c r="BB131" s="15"/>
      <c r="BE131" s="15"/>
      <c r="BF131" s="15"/>
      <c r="BI131" s="15"/>
    </row>
    <row r="132" spans="1:61" s="3" customFormat="1" x14ac:dyDescent="0.3">
      <c r="A132" s="11"/>
      <c r="B132" s="15"/>
      <c r="C132" s="2"/>
      <c r="D132" s="2"/>
      <c r="E132" s="15"/>
      <c r="F132" s="15"/>
      <c r="G132" s="2"/>
      <c r="I132" s="15"/>
      <c r="J132" s="15"/>
      <c r="K132" s="2"/>
      <c r="L132" s="15"/>
      <c r="M132" s="2"/>
      <c r="N132" s="2"/>
      <c r="O132" s="15"/>
      <c r="P132" s="2"/>
      <c r="Q132" s="2"/>
      <c r="R132" s="15"/>
      <c r="S132" s="15"/>
      <c r="T132" s="15"/>
      <c r="U132" s="15"/>
      <c r="X132" s="15"/>
      <c r="AA132" s="15"/>
      <c r="AD132" s="93"/>
      <c r="AE132"/>
      <c r="AF132"/>
      <c r="AG132"/>
      <c r="AH132"/>
      <c r="AI132"/>
      <c r="AJ132"/>
      <c r="AK132"/>
      <c r="AL132"/>
      <c r="AM132"/>
      <c r="AN132"/>
      <c r="AO132"/>
      <c r="AP132" s="15"/>
      <c r="AT132" s="15"/>
      <c r="AX132" s="15"/>
      <c r="BB132" s="15"/>
      <c r="BE132" s="15"/>
      <c r="BF132" s="15"/>
      <c r="BI132" s="15"/>
    </row>
    <row r="133" spans="1:61" s="3" customFormat="1" x14ac:dyDescent="0.3">
      <c r="A133" s="11"/>
      <c r="B133" s="15"/>
      <c r="C133" s="2"/>
      <c r="D133" s="2"/>
      <c r="E133" s="15"/>
      <c r="F133" s="15"/>
      <c r="G133" s="2"/>
      <c r="I133" s="15"/>
      <c r="J133" s="15"/>
      <c r="K133" s="2"/>
      <c r="L133" s="15"/>
      <c r="M133" s="2"/>
      <c r="N133" s="2"/>
      <c r="O133" s="15"/>
      <c r="P133" s="2"/>
      <c r="Q133" s="2"/>
      <c r="R133" s="15"/>
      <c r="S133" s="15"/>
      <c r="T133" s="15"/>
      <c r="U133" s="15"/>
      <c r="X133" s="15"/>
      <c r="AA133" s="15"/>
      <c r="AD133" s="93"/>
      <c r="AE133"/>
      <c r="AF133"/>
      <c r="AG133"/>
      <c r="AH133"/>
      <c r="AI133"/>
      <c r="AJ133"/>
      <c r="AK133"/>
      <c r="AL133"/>
      <c r="AM133"/>
      <c r="AN133"/>
      <c r="AO133"/>
      <c r="AP133" s="15"/>
      <c r="AT133" s="15"/>
      <c r="AX133" s="15"/>
      <c r="BB133" s="15"/>
      <c r="BE133" s="15"/>
      <c r="BF133" s="15"/>
      <c r="BI133" s="15"/>
    </row>
    <row r="134" spans="1:61" s="3" customFormat="1" x14ac:dyDescent="0.3">
      <c r="A134" s="11"/>
      <c r="B134" s="15"/>
      <c r="C134" s="2"/>
      <c r="D134" s="2"/>
      <c r="E134" s="15"/>
      <c r="F134" s="15"/>
      <c r="G134" s="2"/>
      <c r="I134" s="15"/>
      <c r="J134" s="15"/>
      <c r="K134" s="2"/>
      <c r="L134" s="15"/>
      <c r="M134" s="2"/>
      <c r="N134" s="2"/>
      <c r="O134" s="15"/>
      <c r="P134" s="2"/>
      <c r="Q134" s="2"/>
      <c r="R134" s="15"/>
      <c r="S134" s="15"/>
      <c r="T134" s="15"/>
      <c r="U134" s="15"/>
      <c r="X134" s="15"/>
      <c r="AA134" s="15"/>
      <c r="AD134" s="93"/>
      <c r="AE134"/>
      <c r="AF134"/>
      <c r="AG134"/>
      <c r="AH134"/>
      <c r="AI134"/>
      <c r="AJ134"/>
      <c r="AK134"/>
      <c r="AL134"/>
      <c r="AM134"/>
      <c r="AN134"/>
      <c r="AO134"/>
      <c r="AP134" s="15"/>
      <c r="AT134" s="15"/>
      <c r="AX134" s="15"/>
      <c r="BB134" s="15"/>
      <c r="BE134" s="15"/>
      <c r="BF134" s="15"/>
      <c r="BI134" s="15"/>
    </row>
    <row r="135" spans="1:61" s="3" customFormat="1" x14ac:dyDescent="0.3">
      <c r="A135" s="11"/>
      <c r="B135" s="15"/>
      <c r="C135" s="2"/>
      <c r="D135" s="2"/>
      <c r="E135" s="15"/>
      <c r="F135" s="15"/>
      <c r="G135" s="2"/>
      <c r="I135" s="15"/>
      <c r="J135" s="15"/>
      <c r="K135" s="2"/>
      <c r="L135" s="15"/>
      <c r="M135" s="2"/>
      <c r="N135" s="2"/>
      <c r="O135" s="15"/>
      <c r="P135" s="2"/>
      <c r="Q135" s="2"/>
      <c r="R135" s="15"/>
      <c r="S135" s="15"/>
      <c r="T135" s="15"/>
      <c r="U135" s="15"/>
      <c r="X135" s="15"/>
      <c r="AA135" s="15"/>
      <c r="AD135" s="93"/>
      <c r="AE135"/>
      <c r="AF135"/>
      <c r="AG135"/>
      <c r="AH135"/>
      <c r="AI135"/>
      <c r="AJ135"/>
      <c r="AK135"/>
      <c r="AL135"/>
      <c r="AM135"/>
      <c r="AN135"/>
      <c r="AO135"/>
      <c r="AP135" s="15"/>
      <c r="AT135" s="15"/>
      <c r="AX135" s="15"/>
      <c r="BB135" s="15"/>
      <c r="BE135" s="15"/>
      <c r="BF135" s="15"/>
      <c r="BI135" s="15"/>
    </row>
    <row r="136" spans="1:61" s="3" customFormat="1" x14ac:dyDescent="0.3">
      <c r="A136" s="11"/>
      <c r="B136" s="15"/>
      <c r="C136" s="2"/>
      <c r="D136" s="2"/>
      <c r="E136" s="15"/>
      <c r="F136" s="15"/>
      <c r="G136" s="2"/>
      <c r="I136" s="15"/>
      <c r="J136" s="15"/>
      <c r="K136" s="2"/>
      <c r="L136" s="15"/>
      <c r="M136" s="2"/>
      <c r="N136" s="2"/>
      <c r="O136" s="15"/>
      <c r="P136" s="2"/>
      <c r="Q136" s="2"/>
      <c r="R136" s="15"/>
      <c r="S136" s="15"/>
      <c r="T136" s="15"/>
      <c r="U136" s="15"/>
      <c r="X136" s="15"/>
      <c r="AA136" s="15"/>
      <c r="AD136" s="93"/>
      <c r="AE136"/>
      <c r="AF136"/>
      <c r="AG136"/>
      <c r="AH136"/>
      <c r="AI136"/>
      <c r="AJ136"/>
      <c r="AK136"/>
      <c r="AL136"/>
      <c r="AM136"/>
      <c r="AN136"/>
      <c r="AO136"/>
      <c r="AP136" s="15"/>
      <c r="AT136" s="15"/>
      <c r="AX136" s="15"/>
      <c r="BB136" s="15"/>
      <c r="BE136" s="15"/>
      <c r="BF136" s="15"/>
      <c r="BI136" s="15"/>
    </row>
    <row r="137" spans="1:61" s="3" customFormat="1" x14ac:dyDescent="0.3">
      <c r="A137" s="11"/>
      <c r="B137" s="15"/>
      <c r="C137" s="2"/>
      <c r="D137" s="2"/>
      <c r="E137" s="15"/>
      <c r="F137" s="15"/>
      <c r="G137" s="2"/>
      <c r="I137" s="15"/>
      <c r="J137" s="15"/>
      <c r="K137" s="2"/>
      <c r="L137" s="15"/>
      <c r="M137" s="2"/>
      <c r="N137" s="2"/>
      <c r="O137" s="15"/>
      <c r="P137" s="2"/>
      <c r="Q137" s="2"/>
      <c r="R137" s="15"/>
      <c r="S137" s="15"/>
      <c r="T137" s="15"/>
      <c r="U137" s="15"/>
      <c r="X137" s="15"/>
      <c r="AA137" s="15"/>
      <c r="AD137" s="93"/>
      <c r="AE137"/>
      <c r="AF137"/>
      <c r="AG137"/>
      <c r="AH137"/>
      <c r="AI137"/>
      <c r="AJ137"/>
      <c r="AK137"/>
      <c r="AL137"/>
      <c r="AM137"/>
      <c r="AN137"/>
      <c r="AO137"/>
      <c r="AP137" s="15"/>
      <c r="AT137" s="15"/>
      <c r="AX137" s="15"/>
      <c r="BB137" s="15"/>
      <c r="BE137" s="15"/>
      <c r="BF137" s="15"/>
      <c r="BI137" s="15"/>
    </row>
    <row r="138" spans="1:61" s="3" customFormat="1" x14ac:dyDescent="0.3">
      <c r="A138" s="11"/>
      <c r="B138" s="15"/>
      <c r="C138" s="2"/>
      <c r="D138" s="2"/>
      <c r="E138" s="15"/>
      <c r="F138" s="15"/>
      <c r="G138" s="2"/>
      <c r="I138" s="15"/>
      <c r="J138" s="15"/>
      <c r="K138" s="2"/>
      <c r="L138" s="15"/>
      <c r="M138" s="2"/>
      <c r="N138" s="2"/>
      <c r="O138" s="15"/>
      <c r="P138" s="2"/>
      <c r="Q138" s="2"/>
      <c r="R138" s="15"/>
      <c r="S138" s="15"/>
      <c r="T138" s="15"/>
      <c r="U138" s="15"/>
      <c r="X138" s="15"/>
      <c r="AA138" s="15"/>
      <c r="AD138" s="93"/>
      <c r="AE138"/>
      <c r="AF138"/>
      <c r="AG138"/>
      <c r="AH138"/>
      <c r="AI138"/>
      <c r="AJ138"/>
      <c r="AK138"/>
      <c r="AL138"/>
      <c r="AM138"/>
      <c r="AN138"/>
      <c r="AO138"/>
      <c r="AP138" s="15"/>
      <c r="AT138" s="15"/>
      <c r="AX138" s="15"/>
      <c r="BB138" s="15"/>
      <c r="BE138" s="15"/>
      <c r="BF138" s="15"/>
      <c r="BI138" s="15"/>
    </row>
    <row r="139" spans="1:61" s="3" customFormat="1" x14ac:dyDescent="0.3">
      <c r="A139" s="11"/>
      <c r="B139" s="15"/>
      <c r="C139" s="2"/>
      <c r="D139" s="2"/>
      <c r="E139" s="15"/>
      <c r="F139" s="15"/>
      <c r="G139" s="2"/>
      <c r="I139" s="15"/>
      <c r="J139" s="15"/>
      <c r="K139" s="2"/>
      <c r="L139" s="15"/>
      <c r="M139" s="2"/>
      <c r="N139" s="2"/>
      <c r="O139" s="15"/>
      <c r="P139" s="2"/>
      <c r="Q139" s="2"/>
      <c r="R139" s="15"/>
      <c r="S139" s="15"/>
      <c r="T139" s="15"/>
      <c r="U139" s="15"/>
      <c r="X139" s="15"/>
      <c r="AA139" s="15"/>
      <c r="AD139" s="93"/>
      <c r="AE139"/>
      <c r="AF139"/>
      <c r="AG139"/>
      <c r="AH139"/>
      <c r="AI139"/>
      <c r="AJ139"/>
      <c r="AK139"/>
      <c r="AL139"/>
      <c r="AM139"/>
      <c r="AN139"/>
      <c r="AO139"/>
      <c r="AP139" s="15"/>
      <c r="AT139" s="15"/>
      <c r="AX139" s="15"/>
      <c r="BB139" s="15"/>
      <c r="BE139" s="15"/>
      <c r="BF139" s="15"/>
      <c r="BI139" s="15"/>
    </row>
    <row r="140" spans="1:61" s="3" customFormat="1" x14ac:dyDescent="0.3">
      <c r="A140" s="11"/>
      <c r="B140" s="15"/>
      <c r="C140" s="2"/>
      <c r="D140" s="2"/>
      <c r="E140" s="15"/>
      <c r="F140" s="15"/>
      <c r="G140" s="2"/>
      <c r="I140" s="15"/>
      <c r="J140" s="15"/>
      <c r="K140" s="2"/>
      <c r="L140" s="15"/>
      <c r="M140" s="2"/>
      <c r="N140" s="2"/>
      <c r="O140" s="15"/>
      <c r="P140" s="2"/>
      <c r="Q140" s="2"/>
      <c r="R140" s="15"/>
      <c r="S140" s="15"/>
      <c r="T140" s="15"/>
      <c r="U140" s="15"/>
      <c r="X140" s="15"/>
      <c r="AA140" s="15"/>
      <c r="AD140" s="93"/>
      <c r="AE140"/>
      <c r="AF140"/>
      <c r="AG140"/>
      <c r="AH140"/>
      <c r="AI140"/>
      <c r="AJ140"/>
      <c r="AK140"/>
      <c r="AL140"/>
      <c r="AM140"/>
      <c r="AN140"/>
      <c r="AO140"/>
      <c r="AP140" s="15"/>
      <c r="AT140" s="15"/>
      <c r="AX140" s="15"/>
      <c r="BB140" s="15"/>
      <c r="BE140" s="15"/>
      <c r="BF140" s="15"/>
      <c r="BI140" s="15"/>
    </row>
    <row r="141" spans="1:61" s="3" customFormat="1" x14ac:dyDescent="0.3">
      <c r="A141" s="11"/>
      <c r="B141" s="15"/>
      <c r="C141" s="2"/>
      <c r="D141" s="2"/>
      <c r="E141" s="15"/>
      <c r="F141" s="15"/>
      <c r="G141" s="2"/>
      <c r="I141" s="15"/>
      <c r="J141" s="15"/>
      <c r="K141" s="2"/>
      <c r="L141" s="15"/>
      <c r="M141" s="2"/>
      <c r="N141" s="2"/>
      <c r="O141" s="15"/>
      <c r="P141" s="2"/>
      <c r="Q141" s="2"/>
      <c r="R141" s="15"/>
      <c r="S141" s="15"/>
      <c r="T141" s="15"/>
      <c r="U141" s="15"/>
      <c r="X141" s="15"/>
      <c r="AA141" s="15"/>
      <c r="AD141" s="93"/>
      <c r="AE141"/>
      <c r="AF141"/>
      <c r="AG141"/>
      <c r="AH141"/>
      <c r="AI141"/>
      <c r="AJ141"/>
      <c r="AK141"/>
      <c r="AL141"/>
      <c r="AM141"/>
      <c r="AN141"/>
      <c r="AO141"/>
      <c r="AP141" s="15"/>
      <c r="AT141" s="15"/>
      <c r="AX141" s="15"/>
      <c r="BB141" s="15"/>
      <c r="BE141" s="15"/>
      <c r="BF141" s="15"/>
      <c r="BI141" s="15"/>
    </row>
    <row r="142" spans="1:61" s="3" customFormat="1" x14ac:dyDescent="0.3">
      <c r="A142" s="11"/>
      <c r="B142" s="15"/>
      <c r="C142" s="2"/>
      <c r="D142" s="2"/>
      <c r="E142" s="15"/>
      <c r="F142" s="15"/>
      <c r="G142" s="2"/>
      <c r="I142" s="15"/>
      <c r="J142" s="15"/>
      <c r="K142" s="2"/>
      <c r="L142" s="15"/>
      <c r="M142" s="2"/>
      <c r="N142" s="2"/>
      <c r="O142" s="15"/>
      <c r="P142" s="2"/>
      <c r="Q142" s="2"/>
      <c r="R142" s="15"/>
      <c r="S142" s="15"/>
      <c r="T142" s="15"/>
      <c r="U142" s="15"/>
      <c r="X142" s="15"/>
      <c r="AA142" s="15"/>
      <c r="AD142" s="93"/>
      <c r="AE142"/>
      <c r="AF142"/>
      <c r="AG142"/>
      <c r="AH142"/>
      <c r="AI142"/>
      <c r="AJ142"/>
      <c r="AK142"/>
      <c r="AL142"/>
      <c r="AM142"/>
      <c r="AN142"/>
      <c r="AO142"/>
      <c r="AP142" s="15"/>
      <c r="AT142" s="15"/>
      <c r="AX142" s="15"/>
      <c r="BB142" s="15"/>
      <c r="BE142" s="15"/>
      <c r="BF142" s="15"/>
      <c r="BI142" s="15"/>
    </row>
    <row r="143" spans="1:61" s="3" customFormat="1" x14ac:dyDescent="0.3">
      <c r="A143" s="11"/>
      <c r="B143" s="15"/>
      <c r="C143" s="2"/>
      <c r="D143" s="2"/>
      <c r="E143" s="15"/>
      <c r="F143" s="15"/>
      <c r="G143" s="2"/>
      <c r="I143" s="15"/>
      <c r="J143" s="15"/>
      <c r="K143" s="2"/>
      <c r="L143" s="15"/>
      <c r="M143" s="2"/>
      <c r="N143" s="2"/>
      <c r="O143" s="15"/>
      <c r="P143" s="2"/>
      <c r="Q143" s="2"/>
      <c r="R143" s="15"/>
      <c r="S143" s="15"/>
      <c r="T143" s="15"/>
      <c r="U143" s="15"/>
      <c r="X143" s="15"/>
      <c r="AA143" s="15"/>
      <c r="AD143" s="93"/>
      <c r="AE143"/>
      <c r="AF143"/>
      <c r="AG143"/>
      <c r="AH143"/>
      <c r="AI143"/>
      <c r="AJ143"/>
      <c r="AK143"/>
      <c r="AL143"/>
      <c r="AM143"/>
      <c r="AN143"/>
      <c r="AO143"/>
      <c r="AP143" s="15"/>
      <c r="AT143" s="15"/>
      <c r="AX143" s="15"/>
      <c r="BB143" s="15"/>
      <c r="BE143" s="15"/>
      <c r="BF143" s="15"/>
      <c r="BI143" s="15"/>
    </row>
    <row r="144" spans="1:61" s="3" customFormat="1" x14ac:dyDescent="0.3">
      <c r="A144" s="11"/>
      <c r="B144" s="15"/>
      <c r="C144" s="2"/>
      <c r="D144" s="2"/>
      <c r="E144" s="15"/>
      <c r="F144" s="15"/>
      <c r="G144" s="2"/>
      <c r="I144" s="15"/>
      <c r="J144" s="15"/>
      <c r="K144" s="2"/>
      <c r="L144" s="15"/>
      <c r="M144" s="2"/>
      <c r="N144" s="2"/>
      <c r="O144" s="15"/>
      <c r="P144" s="2"/>
      <c r="Q144" s="2"/>
      <c r="R144" s="15"/>
      <c r="S144" s="15"/>
      <c r="T144" s="15"/>
      <c r="U144" s="15"/>
      <c r="X144" s="15"/>
      <c r="AA144" s="15"/>
      <c r="AD144" s="93"/>
      <c r="AE144"/>
      <c r="AF144"/>
      <c r="AG144"/>
      <c r="AH144"/>
      <c r="AI144"/>
      <c r="AJ144"/>
      <c r="AK144"/>
      <c r="AL144"/>
      <c r="AM144"/>
      <c r="AN144"/>
      <c r="AO144"/>
      <c r="AP144" s="15"/>
      <c r="AT144" s="15"/>
      <c r="AX144" s="15"/>
      <c r="BB144" s="15"/>
      <c r="BE144" s="15"/>
      <c r="BF144" s="15"/>
      <c r="BI144" s="15"/>
    </row>
    <row r="145" spans="1:61" s="3" customFormat="1" x14ac:dyDescent="0.3">
      <c r="A145" s="11"/>
      <c r="B145" s="15"/>
      <c r="C145" s="2"/>
      <c r="D145" s="2"/>
      <c r="E145" s="15"/>
      <c r="F145" s="15"/>
      <c r="G145" s="2"/>
      <c r="I145" s="15"/>
      <c r="J145" s="15"/>
      <c r="K145" s="2"/>
      <c r="L145" s="15"/>
      <c r="M145" s="2"/>
      <c r="N145" s="2"/>
      <c r="O145" s="15"/>
      <c r="P145" s="2"/>
      <c r="Q145" s="2"/>
      <c r="R145" s="15"/>
      <c r="S145" s="15"/>
      <c r="T145" s="15"/>
      <c r="U145" s="15"/>
      <c r="X145" s="15"/>
      <c r="AA145" s="15"/>
      <c r="AD145" s="93"/>
      <c r="AE145"/>
      <c r="AF145"/>
      <c r="AG145"/>
      <c r="AH145"/>
      <c r="AI145"/>
      <c r="AJ145"/>
      <c r="AK145"/>
      <c r="AL145"/>
      <c r="AM145"/>
      <c r="AN145"/>
      <c r="AO145"/>
      <c r="AP145" s="15"/>
      <c r="AT145" s="15"/>
      <c r="AX145" s="15"/>
      <c r="BB145" s="15"/>
      <c r="BE145" s="15"/>
      <c r="BF145" s="15"/>
      <c r="BI145" s="15"/>
    </row>
    <row r="146" spans="1:61" s="3" customFormat="1" x14ac:dyDescent="0.3">
      <c r="A146" s="11"/>
      <c r="B146" s="15"/>
      <c r="C146" s="2"/>
      <c r="D146" s="2"/>
      <c r="E146" s="15"/>
      <c r="F146" s="15"/>
      <c r="G146" s="2"/>
      <c r="I146" s="15"/>
      <c r="J146" s="15"/>
      <c r="K146" s="2"/>
      <c r="L146" s="15"/>
      <c r="M146" s="2"/>
      <c r="N146" s="2"/>
      <c r="O146" s="15"/>
      <c r="P146" s="2"/>
      <c r="Q146" s="2"/>
      <c r="R146" s="15"/>
      <c r="S146" s="15"/>
      <c r="T146" s="15"/>
      <c r="U146" s="15"/>
      <c r="X146" s="15"/>
      <c r="AA146" s="15"/>
      <c r="AD146" s="93"/>
      <c r="AE146"/>
      <c r="AF146"/>
      <c r="AG146"/>
      <c r="AH146"/>
      <c r="AI146"/>
      <c r="AJ146"/>
      <c r="AK146"/>
      <c r="AL146"/>
      <c r="AM146"/>
      <c r="AN146"/>
      <c r="AO146"/>
      <c r="AP146" s="15"/>
      <c r="AT146" s="15"/>
      <c r="AX146" s="15"/>
      <c r="BB146" s="15"/>
      <c r="BE146" s="15"/>
      <c r="BF146" s="15"/>
      <c r="BI146" s="15"/>
    </row>
    <row r="147" spans="1:61" s="3" customFormat="1" x14ac:dyDescent="0.3">
      <c r="A147" s="11"/>
      <c r="B147" s="15"/>
      <c r="C147" s="2"/>
      <c r="D147" s="2"/>
      <c r="E147" s="15"/>
      <c r="F147" s="15"/>
      <c r="G147" s="2"/>
      <c r="I147" s="15"/>
      <c r="J147" s="15"/>
      <c r="K147" s="2"/>
      <c r="L147" s="15"/>
      <c r="M147" s="2"/>
      <c r="N147" s="2"/>
      <c r="O147" s="15"/>
      <c r="P147" s="2"/>
      <c r="Q147" s="2"/>
      <c r="R147" s="15"/>
      <c r="S147" s="15"/>
      <c r="T147" s="15"/>
      <c r="U147" s="15"/>
      <c r="X147" s="15"/>
      <c r="AA147" s="15"/>
      <c r="AD147" s="93"/>
      <c r="AE147"/>
      <c r="AF147"/>
      <c r="AG147"/>
      <c r="AH147"/>
      <c r="AI147"/>
      <c r="AJ147"/>
      <c r="AK147"/>
      <c r="AL147"/>
      <c r="AM147"/>
      <c r="AN147"/>
      <c r="AO147"/>
      <c r="AP147" s="15"/>
      <c r="AT147" s="15"/>
      <c r="AX147" s="15"/>
      <c r="BB147" s="15"/>
      <c r="BE147" s="15"/>
      <c r="BF147" s="15"/>
      <c r="BI147" s="15"/>
    </row>
    <row r="148" spans="1:61" s="3" customFormat="1" x14ac:dyDescent="0.3">
      <c r="A148" s="11"/>
      <c r="B148" s="15"/>
      <c r="C148" s="2"/>
      <c r="D148" s="2"/>
      <c r="E148" s="15"/>
      <c r="F148" s="15"/>
      <c r="G148" s="2"/>
      <c r="I148" s="15"/>
      <c r="J148" s="15"/>
      <c r="K148" s="2"/>
      <c r="L148" s="15"/>
      <c r="M148" s="2"/>
      <c r="N148" s="2"/>
      <c r="O148" s="15"/>
      <c r="P148" s="2"/>
      <c r="Q148" s="2"/>
      <c r="R148" s="15"/>
      <c r="S148" s="15"/>
      <c r="T148" s="15"/>
      <c r="U148" s="15"/>
      <c r="X148" s="15"/>
      <c r="AA148" s="15"/>
      <c r="AD148" s="93"/>
      <c r="AE148"/>
      <c r="AF148"/>
      <c r="AG148"/>
      <c r="AH148"/>
      <c r="AI148"/>
      <c r="AJ148"/>
      <c r="AK148"/>
      <c r="AL148"/>
      <c r="AM148"/>
      <c r="AN148"/>
      <c r="AO148"/>
      <c r="AP148" s="15"/>
      <c r="AT148" s="15"/>
      <c r="AX148" s="15"/>
      <c r="BB148" s="15"/>
      <c r="BE148" s="15"/>
      <c r="BF148" s="15"/>
      <c r="BI148" s="15"/>
    </row>
    <row r="149" spans="1:61" s="3" customFormat="1" x14ac:dyDescent="0.3">
      <c r="A149" s="11"/>
      <c r="B149" s="15"/>
      <c r="C149" s="2"/>
      <c r="D149" s="2"/>
      <c r="E149" s="15"/>
      <c r="F149" s="15"/>
      <c r="G149" s="2"/>
      <c r="I149" s="15"/>
      <c r="J149" s="15"/>
      <c r="K149" s="2"/>
      <c r="L149" s="15"/>
      <c r="M149" s="2"/>
      <c r="N149" s="2"/>
      <c r="O149" s="15"/>
      <c r="P149" s="2"/>
      <c r="Q149" s="2"/>
      <c r="R149" s="15"/>
      <c r="S149" s="15"/>
      <c r="T149" s="15"/>
      <c r="U149" s="15"/>
      <c r="X149" s="15"/>
      <c r="AA149" s="15"/>
      <c r="AD149" s="93"/>
      <c r="AE149"/>
      <c r="AF149"/>
      <c r="AG149"/>
      <c r="AH149"/>
      <c r="AI149"/>
      <c r="AJ149"/>
      <c r="AK149"/>
      <c r="AL149"/>
      <c r="AM149"/>
      <c r="AN149"/>
      <c r="AO149"/>
      <c r="AP149" s="15"/>
      <c r="AT149" s="15"/>
      <c r="AX149" s="15"/>
      <c r="BB149" s="15"/>
      <c r="BE149" s="15"/>
      <c r="BF149" s="15"/>
      <c r="BI149" s="15"/>
    </row>
    <row r="150" spans="1:61" s="3" customFormat="1" x14ac:dyDescent="0.3">
      <c r="A150" s="11"/>
      <c r="B150" s="15"/>
      <c r="C150" s="2"/>
      <c r="D150" s="2"/>
      <c r="E150" s="15"/>
      <c r="F150" s="15"/>
      <c r="G150" s="2"/>
      <c r="I150" s="15"/>
      <c r="J150" s="15"/>
      <c r="K150" s="2"/>
      <c r="L150" s="15"/>
      <c r="M150" s="2"/>
      <c r="N150" s="2"/>
      <c r="O150" s="15"/>
      <c r="P150" s="2"/>
      <c r="Q150" s="2"/>
      <c r="R150" s="15"/>
      <c r="S150" s="15"/>
      <c r="T150" s="15"/>
      <c r="U150" s="15"/>
      <c r="X150" s="15"/>
      <c r="AA150" s="15"/>
      <c r="AD150" s="93"/>
      <c r="AE150"/>
      <c r="AF150"/>
      <c r="AG150"/>
      <c r="AH150"/>
      <c r="AI150"/>
      <c r="AJ150"/>
      <c r="AK150"/>
      <c r="AL150"/>
      <c r="AM150"/>
      <c r="AN150"/>
      <c r="AO150"/>
      <c r="AP150" s="15"/>
      <c r="AT150" s="15"/>
      <c r="AX150" s="15"/>
      <c r="BB150" s="15"/>
      <c r="BE150" s="15"/>
      <c r="BF150" s="15"/>
      <c r="BI150" s="15"/>
    </row>
    <row r="151" spans="1:61" s="3" customFormat="1" x14ac:dyDescent="0.3">
      <c r="A151" s="11"/>
      <c r="B151" s="15"/>
      <c r="C151" s="2"/>
      <c r="D151" s="2"/>
      <c r="E151" s="15"/>
      <c r="F151" s="15"/>
      <c r="G151" s="2"/>
      <c r="I151" s="15"/>
      <c r="J151" s="15"/>
      <c r="K151" s="2"/>
      <c r="L151" s="15"/>
      <c r="M151" s="2"/>
      <c r="N151" s="2"/>
      <c r="O151" s="15"/>
      <c r="P151" s="2"/>
      <c r="Q151" s="2"/>
      <c r="R151" s="15"/>
      <c r="S151" s="15"/>
      <c r="T151" s="15"/>
      <c r="U151" s="15"/>
      <c r="X151" s="15"/>
      <c r="AA151" s="15"/>
      <c r="AD151" s="93"/>
      <c r="AE151"/>
      <c r="AF151"/>
      <c r="AG151"/>
      <c r="AH151"/>
      <c r="AI151"/>
      <c r="AJ151"/>
      <c r="AK151"/>
      <c r="AL151"/>
      <c r="AM151"/>
      <c r="AN151"/>
      <c r="AO151"/>
      <c r="AP151" s="15"/>
      <c r="AT151" s="15"/>
      <c r="AX151" s="15"/>
      <c r="BB151" s="15"/>
      <c r="BE151" s="15"/>
      <c r="BF151" s="15"/>
      <c r="BI151" s="15"/>
    </row>
    <row r="152" spans="1:61" s="3" customFormat="1" x14ac:dyDescent="0.3">
      <c r="A152" s="11"/>
      <c r="B152" s="15"/>
      <c r="C152" s="2"/>
      <c r="D152" s="2"/>
      <c r="E152" s="15"/>
      <c r="F152" s="15"/>
      <c r="G152" s="2"/>
      <c r="I152" s="15"/>
      <c r="J152" s="15"/>
      <c r="K152" s="2"/>
      <c r="L152" s="15"/>
      <c r="M152" s="2"/>
      <c r="N152" s="2"/>
      <c r="O152" s="15"/>
      <c r="P152" s="2"/>
      <c r="Q152" s="2"/>
      <c r="R152" s="15"/>
      <c r="S152" s="15"/>
      <c r="T152" s="15"/>
      <c r="U152" s="15"/>
      <c r="X152" s="15"/>
      <c r="AA152" s="15"/>
      <c r="AD152" s="93"/>
      <c r="AE152"/>
      <c r="AF152"/>
      <c r="AG152"/>
      <c r="AH152"/>
      <c r="AI152"/>
      <c r="AJ152"/>
      <c r="AK152"/>
      <c r="AL152"/>
      <c r="AM152"/>
      <c r="AN152"/>
      <c r="AO152"/>
      <c r="AP152" s="15"/>
      <c r="AT152" s="15"/>
      <c r="AX152" s="15"/>
      <c r="BB152" s="15"/>
      <c r="BE152" s="15"/>
      <c r="BF152" s="15"/>
      <c r="BI152" s="15"/>
    </row>
    <row r="153" spans="1:61" s="3" customFormat="1" x14ac:dyDescent="0.3">
      <c r="A153" s="11"/>
      <c r="B153" s="15"/>
      <c r="C153" s="2"/>
      <c r="D153" s="2"/>
      <c r="E153" s="15"/>
      <c r="F153" s="15"/>
      <c r="G153" s="2"/>
      <c r="I153" s="15"/>
      <c r="J153" s="15"/>
      <c r="K153" s="2"/>
      <c r="L153" s="15"/>
      <c r="M153" s="2"/>
      <c r="N153" s="2"/>
      <c r="O153" s="15"/>
      <c r="P153" s="2"/>
      <c r="Q153" s="2"/>
      <c r="R153" s="15"/>
      <c r="S153" s="15"/>
      <c r="T153" s="15"/>
      <c r="U153" s="15"/>
      <c r="X153" s="15"/>
      <c r="AA153" s="15"/>
      <c r="AD153" s="93"/>
      <c r="AE153"/>
      <c r="AF153"/>
      <c r="AG153"/>
      <c r="AH153"/>
      <c r="AI153"/>
      <c r="AJ153"/>
      <c r="AK153"/>
      <c r="AL153"/>
      <c r="AM153"/>
      <c r="AN153"/>
      <c r="AO153"/>
      <c r="AP153" s="15"/>
      <c r="AT153" s="15"/>
      <c r="AX153" s="15"/>
      <c r="BB153" s="15"/>
      <c r="BE153" s="15"/>
      <c r="BF153" s="15"/>
      <c r="BI153" s="15"/>
    </row>
    <row r="154" spans="1:61" s="3" customFormat="1" x14ac:dyDescent="0.3">
      <c r="A154" s="11"/>
      <c r="B154" s="15"/>
      <c r="C154" s="2"/>
      <c r="D154" s="2"/>
      <c r="E154" s="15"/>
      <c r="F154" s="15"/>
      <c r="G154" s="2"/>
      <c r="I154" s="15"/>
      <c r="J154" s="15"/>
      <c r="K154" s="2"/>
      <c r="L154" s="15"/>
      <c r="M154" s="2"/>
      <c r="N154" s="2"/>
      <c r="O154" s="15"/>
      <c r="P154" s="2"/>
      <c r="Q154" s="2"/>
      <c r="R154" s="15"/>
      <c r="S154" s="15"/>
      <c r="T154" s="15"/>
      <c r="U154" s="15"/>
      <c r="X154" s="15"/>
      <c r="AA154" s="15"/>
      <c r="AD154" s="93"/>
      <c r="AE154"/>
      <c r="AF154"/>
      <c r="AG154"/>
      <c r="AH154"/>
      <c r="AI154"/>
      <c r="AJ154"/>
      <c r="AK154"/>
      <c r="AL154"/>
      <c r="AM154"/>
      <c r="AN154"/>
      <c r="AO154"/>
      <c r="AP154" s="15"/>
      <c r="AT154" s="15"/>
      <c r="AX154" s="15"/>
      <c r="BB154" s="15"/>
      <c r="BE154" s="15"/>
      <c r="BF154" s="15"/>
      <c r="BI154" s="15"/>
    </row>
    <row r="155" spans="1:61" s="3" customFormat="1" x14ac:dyDescent="0.3">
      <c r="A155" s="11"/>
      <c r="B155" s="15"/>
      <c r="C155" s="2"/>
      <c r="D155" s="2"/>
      <c r="E155" s="15"/>
      <c r="F155" s="15"/>
      <c r="G155" s="2"/>
      <c r="I155" s="15"/>
      <c r="J155" s="15"/>
      <c r="K155" s="2"/>
      <c r="L155" s="15"/>
      <c r="M155" s="2"/>
      <c r="N155" s="2"/>
      <c r="O155" s="15"/>
      <c r="P155" s="2"/>
      <c r="Q155" s="2"/>
      <c r="R155" s="15"/>
      <c r="S155" s="15"/>
      <c r="T155" s="15"/>
      <c r="U155" s="15"/>
      <c r="X155" s="15"/>
      <c r="AA155" s="15"/>
      <c r="AD155" s="93"/>
      <c r="AE155"/>
      <c r="AF155"/>
      <c r="AG155"/>
      <c r="AH155"/>
      <c r="AI155"/>
      <c r="AJ155"/>
      <c r="AK155"/>
      <c r="AL155"/>
      <c r="AM155"/>
      <c r="AN155"/>
      <c r="AO155"/>
      <c r="AP155" s="15"/>
      <c r="AT155" s="15"/>
      <c r="AX155" s="15"/>
      <c r="BB155" s="15"/>
      <c r="BE155" s="15"/>
      <c r="BF155" s="15"/>
      <c r="BI155" s="15"/>
    </row>
    <row r="156" spans="1:61" s="3" customFormat="1" x14ac:dyDescent="0.3">
      <c r="A156" s="11"/>
      <c r="B156" s="15"/>
      <c r="C156" s="2"/>
      <c r="D156" s="2"/>
      <c r="E156" s="15"/>
      <c r="F156" s="15"/>
      <c r="G156" s="2"/>
      <c r="I156" s="15"/>
      <c r="J156" s="15"/>
      <c r="K156" s="2"/>
      <c r="L156" s="15"/>
      <c r="M156" s="2"/>
      <c r="N156" s="2"/>
      <c r="O156" s="15"/>
      <c r="P156" s="2"/>
      <c r="Q156" s="2"/>
      <c r="R156" s="15"/>
      <c r="S156" s="15"/>
      <c r="T156" s="15"/>
      <c r="U156" s="15"/>
      <c r="X156" s="15"/>
      <c r="AA156" s="15"/>
      <c r="AD156" s="93"/>
      <c r="AE156"/>
      <c r="AF156"/>
      <c r="AG156"/>
      <c r="AH156"/>
      <c r="AI156"/>
      <c r="AJ156"/>
      <c r="AK156"/>
      <c r="AL156"/>
      <c r="AM156"/>
      <c r="AN156"/>
      <c r="AO156"/>
      <c r="AP156" s="15"/>
      <c r="AT156" s="15"/>
      <c r="AX156" s="15"/>
      <c r="BB156" s="15"/>
      <c r="BE156" s="15"/>
      <c r="BF156" s="15"/>
      <c r="BI156" s="15"/>
    </row>
    <row r="157" spans="1:61" s="3" customFormat="1" x14ac:dyDescent="0.3">
      <c r="A157" s="11"/>
      <c r="B157" s="15"/>
      <c r="C157" s="2"/>
      <c r="D157" s="2"/>
      <c r="E157" s="15"/>
      <c r="F157" s="15"/>
      <c r="G157" s="2"/>
      <c r="I157" s="15"/>
      <c r="J157" s="15"/>
      <c r="K157" s="2"/>
      <c r="L157" s="15"/>
      <c r="M157" s="2"/>
      <c r="N157" s="2"/>
      <c r="O157" s="15"/>
      <c r="P157" s="2"/>
      <c r="Q157" s="2"/>
      <c r="R157" s="15"/>
      <c r="S157" s="15"/>
      <c r="T157" s="15"/>
      <c r="U157" s="15"/>
      <c r="X157" s="15"/>
      <c r="AA157" s="15"/>
      <c r="AD157" s="93"/>
      <c r="AE157"/>
      <c r="AF157"/>
      <c r="AG157"/>
      <c r="AH157"/>
      <c r="AI157"/>
      <c r="AJ157"/>
      <c r="AK157"/>
      <c r="AL157"/>
      <c r="AM157"/>
      <c r="AN157"/>
      <c r="AO157"/>
      <c r="AP157" s="15"/>
      <c r="AT157" s="15"/>
      <c r="AX157" s="15"/>
      <c r="BB157" s="15"/>
      <c r="BE157" s="15"/>
      <c r="BF157" s="15"/>
      <c r="BI157" s="15"/>
    </row>
    <row r="158" spans="1:61" s="3" customFormat="1" x14ac:dyDescent="0.3">
      <c r="A158" s="11"/>
      <c r="B158" s="15"/>
      <c r="C158" s="2"/>
      <c r="D158" s="2"/>
      <c r="E158" s="15"/>
      <c r="F158" s="15"/>
      <c r="G158" s="2"/>
      <c r="I158" s="15"/>
      <c r="J158" s="15"/>
      <c r="K158" s="2"/>
      <c r="L158" s="15"/>
      <c r="M158" s="2"/>
      <c r="N158" s="2"/>
      <c r="O158" s="15"/>
      <c r="P158" s="2"/>
      <c r="Q158" s="2"/>
      <c r="R158" s="15"/>
      <c r="S158" s="15"/>
      <c r="T158" s="15"/>
      <c r="U158" s="15"/>
      <c r="X158" s="15"/>
      <c r="AA158" s="15"/>
      <c r="AD158" s="93"/>
      <c r="AE158"/>
      <c r="AF158"/>
      <c r="AG158"/>
      <c r="AH158"/>
      <c r="AI158"/>
      <c r="AJ158"/>
      <c r="AK158"/>
      <c r="AL158"/>
      <c r="AM158"/>
      <c r="AN158"/>
      <c r="AO158"/>
      <c r="AP158" s="15"/>
      <c r="AT158" s="15"/>
      <c r="AX158" s="15"/>
      <c r="BB158" s="15"/>
      <c r="BE158" s="15"/>
      <c r="BF158" s="15"/>
      <c r="BI158" s="15"/>
    </row>
    <row r="159" spans="1:61" s="3" customFormat="1" x14ac:dyDescent="0.3">
      <c r="A159" s="11"/>
      <c r="B159" s="15"/>
      <c r="C159" s="2"/>
      <c r="D159" s="2"/>
      <c r="E159" s="15"/>
      <c r="F159" s="15"/>
      <c r="G159" s="2"/>
      <c r="I159" s="15"/>
      <c r="J159" s="15"/>
      <c r="K159" s="2"/>
      <c r="L159" s="15"/>
      <c r="M159" s="2"/>
      <c r="N159" s="2"/>
      <c r="O159" s="15"/>
      <c r="P159" s="2"/>
      <c r="Q159" s="2"/>
      <c r="R159" s="15"/>
      <c r="S159" s="15"/>
      <c r="T159" s="15"/>
      <c r="U159" s="15"/>
      <c r="X159" s="15"/>
      <c r="AA159" s="15"/>
      <c r="AD159" s="93"/>
      <c r="AE159"/>
      <c r="AF159"/>
      <c r="AG159"/>
      <c r="AH159"/>
      <c r="AI159"/>
      <c r="AJ159"/>
      <c r="AK159"/>
      <c r="AL159"/>
      <c r="AM159"/>
      <c r="AN159"/>
      <c r="AO159"/>
      <c r="AP159" s="15"/>
      <c r="AT159" s="15"/>
      <c r="AX159" s="15"/>
      <c r="BB159" s="15"/>
      <c r="BE159" s="15"/>
      <c r="BF159" s="15"/>
      <c r="BI159" s="15"/>
    </row>
    <row r="160" spans="1:61" s="3" customFormat="1" x14ac:dyDescent="0.3">
      <c r="A160" s="11"/>
      <c r="B160" s="15"/>
      <c r="C160" s="2"/>
      <c r="D160" s="2"/>
      <c r="E160" s="15"/>
      <c r="F160" s="15"/>
      <c r="G160" s="2"/>
      <c r="I160" s="15"/>
      <c r="J160" s="15"/>
      <c r="K160" s="2"/>
      <c r="L160" s="15"/>
      <c r="M160" s="2"/>
      <c r="N160" s="2"/>
      <c r="O160" s="15"/>
      <c r="P160" s="2"/>
      <c r="Q160" s="2"/>
      <c r="R160" s="15"/>
      <c r="S160" s="15"/>
      <c r="T160" s="15"/>
      <c r="U160" s="15"/>
      <c r="X160" s="15"/>
      <c r="AA160" s="15"/>
      <c r="AD160" s="93"/>
      <c r="AE160"/>
      <c r="AF160"/>
      <c r="AG160"/>
      <c r="AH160"/>
      <c r="AI160"/>
      <c r="AJ160"/>
      <c r="AK160"/>
      <c r="AL160"/>
      <c r="AM160"/>
      <c r="AN160"/>
      <c r="AO160"/>
      <c r="AP160" s="15"/>
      <c r="AT160" s="15"/>
      <c r="AX160" s="15"/>
      <c r="BB160" s="15"/>
      <c r="BE160" s="15"/>
      <c r="BF160" s="15"/>
      <c r="BI160" s="15"/>
    </row>
    <row r="161" spans="1:61" s="3" customFormat="1" x14ac:dyDescent="0.3">
      <c r="A161" s="11"/>
      <c r="B161" s="15"/>
      <c r="C161" s="2"/>
      <c r="D161" s="2"/>
      <c r="E161" s="15"/>
      <c r="F161" s="15"/>
      <c r="G161" s="2"/>
      <c r="I161" s="15"/>
      <c r="J161" s="15"/>
      <c r="K161" s="2"/>
      <c r="L161" s="15"/>
      <c r="M161" s="2"/>
      <c r="N161" s="2"/>
      <c r="O161" s="15"/>
      <c r="P161" s="2"/>
      <c r="Q161" s="2"/>
      <c r="R161" s="15"/>
      <c r="S161" s="15"/>
      <c r="T161" s="15"/>
      <c r="U161" s="15"/>
      <c r="X161" s="15"/>
      <c r="AA161" s="15"/>
      <c r="AD161" s="93"/>
      <c r="AE161"/>
      <c r="AF161"/>
      <c r="AG161"/>
      <c r="AH161"/>
      <c r="AI161"/>
      <c r="AJ161"/>
      <c r="AK161"/>
      <c r="AL161"/>
      <c r="AM161"/>
      <c r="AN161"/>
      <c r="AO161"/>
      <c r="AP161" s="15"/>
      <c r="AT161" s="15"/>
      <c r="AX161" s="15"/>
      <c r="BB161" s="15"/>
      <c r="BE161" s="15"/>
      <c r="BF161" s="15"/>
      <c r="BI161" s="15"/>
    </row>
    <row r="162" spans="1:61" s="3" customFormat="1" x14ac:dyDescent="0.3">
      <c r="A162" s="11"/>
      <c r="B162" s="15"/>
      <c r="C162" s="2"/>
      <c r="D162" s="2"/>
      <c r="E162" s="15"/>
      <c r="F162" s="15"/>
      <c r="G162" s="2"/>
      <c r="I162" s="15"/>
      <c r="J162" s="15"/>
      <c r="K162" s="2"/>
      <c r="L162" s="15"/>
      <c r="M162" s="2"/>
      <c r="N162" s="2"/>
      <c r="O162" s="15"/>
      <c r="P162" s="2"/>
      <c r="Q162" s="2"/>
      <c r="R162" s="15"/>
      <c r="S162" s="15"/>
      <c r="T162" s="15"/>
      <c r="U162" s="15"/>
      <c r="X162" s="15"/>
      <c r="AA162" s="15"/>
      <c r="AD162" s="93"/>
      <c r="AE162"/>
      <c r="AF162"/>
      <c r="AG162"/>
      <c r="AH162"/>
      <c r="AI162"/>
      <c r="AJ162"/>
      <c r="AK162"/>
      <c r="AL162"/>
      <c r="AM162"/>
      <c r="AN162"/>
      <c r="AO162"/>
      <c r="AP162" s="15"/>
      <c r="AT162" s="15"/>
      <c r="AX162" s="15"/>
      <c r="BB162" s="15"/>
      <c r="BE162" s="15"/>
      <c r="BF162" s="15"/>
      <c r="BI162" s="15"/>
    </row>
    <row r="163" spans="1:61" s="3" customFormat="1" x14ac:dyDescent="0.3">
      <c r="A163" s="11"/>
      <c r="B163" s="15"/>
      <c r="C163" s="2"/>
      <c r="D163" s="2"/>
      <c r="E163" s="15"/>
      <c r="F163" s="15"/>
      <c r="G163" s="2"/>
      <c r="I163" s="15"/>
      <c r="J163" s="15"/>
      <c r="K163" s="2"/>
      <c r="L163" s="15"/>
      <c r="M163" s="2"/>
      <c r="N163" s="2"/>
      <c r="O163" s="15"/>
      <c r="P163" s="2"/>
      <c r="Q163" s="2"/>
      <c r="R163" s="15"/>
      <c r="S163" s="15"/>
      <c r="T163" s="15"/>
      <c r="U163" s="15"/>
      <c r="X163" s="15"/>
      <c r="AA163" s="15"/>
      <c r="AD163" s="93"/>
      <c r="AE163"/>
      <c r="AF163"/>
      <c r="AG163"/>
      <c r="AH163"/>
      <c r="AI163"/>
      <c r="AJ163"/>
      <c r="AK163"/>
      <c r="AL163"/>
      <c r="AM163"/>
      <c r="AN163"/>
      <c r="AO163"/>
      <c r="AP163" s="15"/>
      <c r="AT163" s="15"/>
      <c r="AX163" s="15"/>
      <c r="BB163" s="15"/>
      <c r="BE163" s="15"/>
      <c r="BF163" s="15"/>
      <c r="BI163" s="15"/>
    </row>
    <row r="164" spans="1:61" s="3" customFormat="1" x14ac:dyDescent="0.3">
      <c r="A164" s="11"/>
      <c r="B164" s="15"/>
      <c r="C164" s="2"/>
      <c r="D164" s="2"/>
      <c r="E164" s="15"/>
      <c r="F164" s="15"/>
      <c r="G164" s="2"/>
      <c r="I164" s="15"/>
      <c r="J164" s="15"/>
      <c r="K164" s="2"/>
      <c r="L164" s="15"/>
      <c r="M164" s="2"/>
      <c r="N164" s="2"/>
      <c r="O164" s="15"/>
      <c r="P164" s="2"/>
      <c r="Q164" s="2"/>
      <c r="R164" s="15"/>
      <c r="S164" s="15"/>
      <c r="T164" s="15"/>
      <c r="U164" s="15"/>
      <c r="X164" s="15"/>
      <c r="AA164" s="15"/>
      <c r="AD164" s="93"/>
      <c r="AE164"/>
      <c r="AF164"/>
      <c r="AG164"/>
      <c r="AH164"/>
      <c r="AI164"/>
      <c r="AJ164"/>
      <c r="AK164"/>
      <c r="AL164"/>
      <c r="AM164"/>
      <c r="AN164"/>
      <c r="AO164"/>
      <c r="AP164" s="15"/>
      <c r="AT164" s="15"/>
      <c r="AX164" s="15"/>
      <c r="BB164" s="15"/>
      <c r="BE164" s="15"/>
      <c r="BF164" s="15"/>
      <c r="BI164" s="15"/>
    </row>
    <row r="165" spans="1:61" s="3" customFormat="1" x14ac:dyDescent="0.3">
      <c r="A165" s="11"/>
      <c r="B165" s="15"/>
      <c r="C165" s="2"/>
      <c r="D165" s="2"/>
      <c r="E165" s="15"/>
      <c r="F165" s="15"/>
      <c r="G165" s="2"/>
      <c r="I165" s="15"/>
      <c r="J165" s="15"/>
      <c r="K165" s="2"/>
      <c r="L165" s="15"/>
      <c r="M165" s="2"/>
      <c r="N165" s="2"/>
      <c r="O165" s="15"/>
      <c r="P165" s="2"/>
      <c r="Q165" s="2"/>
      <c r="R165" s="15"/>
      <c r="S165" s="15"/>
      <c r="T165" s="15"/>
      <c r="U165" s="15"/>
      <c r="X165" s="15"/>
      <c r="AA165" s="15"/>
      <c r="AD165" s="93"/>
      <c r="AE165"/>
      <c r="AF165"/>
      <c r="AG165"/>
      <c r="AH165"/>
      <c r="AI165"/>
      <c r="AJ165"/>
      <c r="AK165"/>
      <c r="AL165"/>
      <c r="AM165"/>
      <c r="AN165"/>
      <c r="AO165"/>
      <c r="AP165" s="15"/>
      <c r="AT165" s="15"/>
      <c r="AX165" s="15"/>
      <c r="BB165" s="15"/>
      <c r="BE165" s="15"/>
      <c r="BF165" s="15"/>
      <c r="BI165" s="15"/>
    </row>
    <row r="166" spans="1:61" s="3" customFormat="1" x14ac:dyDescent="0.3">
      <c r="A166" s="11"/>
      <c r="B166" s="15"/>
      <c r="C166" s="2"/>
      <c r="D166" s="2"/>
      <c r="E166" s="15"/>
      <c r="F166" s="15"/>
      <c r="G166" s="2"/>
      <c r="I166" s="15"/>
      <c r="J166" s="15"/>
      <c r="K166" s="2"/>
      <c r="L166" s="15"/>
      <c r="M166" s="2"/>
      <c r="N166" s="2"/>
      <c r="O166" s="15"/>
      <c r="P166" s="2"/>
      <c r="Q166" s="2"/>
      <c r="R166" s="15"/>
      <c r="S166" s="15"/>
      <c r="T166" s="15"/>
      <c r="U166" s="15"/>
      <c r="X166" s="15"/>
      <c r="AA166" s="15"/>
      <c r="AD166" s="93"/>
      <c r="AE166"/>
      <c r="AF166"/>
      <c r="AG166"/>
      <c r="AH166"/>
      <c r="AI166"/>
      <c r="AJ166"/>
      <c r="AK166"/>
      <c r="AL166"/>
      <c r="AM166"/>
      <c r="AN166"/>
      <c r="AO166"/>
      <c r="AP166" s="15"/>
      <c r="AT166" s="15"/>
      <c r="AX166" s="15"/>
      <c r="BB166" s="15"/>
      <c r="BE166" s="15"/>
      <c r="BF166" s="15"/>
      <c r="BI166" s="15"/>
    </row>
    <row r="167" spans="1:61" s="3" customFormat="1" x14ac:dyDescent="0.3">
      <c r="A167" s="11"/>
      <c r="B167" s="15"/>
      <c r="C167" s="1"/>
      <c r="D167" s="1"/>
      <c r="E167" s="15"/>
      <c r="F167" s="15"/>
      <c r="G167" s="1"/>
      <c r="I167" s="15"/>
      <c r="J167" s="15"/>
      <c r="K167" s="1"/>
      <c r="L167" s="15"/>
      <c r="M167" s="1"/>
      <c r="N167" s="1"/>
      <c r="O167" s="15"/>
      <c r="P167" s="1"/>
      <c r="Q167" s="1"/>
      <c r="R167" s="15"/>
      <c r="S167" s="15"/>
      <c r="T167" s="15"/>
      <c r="U167" s="15"/>
      <c r="X167" s="15"/>
      <c r="AA167" s="15"/>
      <c r="AD167" s="93"/>
      <c r="AE167"/>
      <c r="AF167"/>
      <c r="AG167"/>
      <c r="AH167"/>
      <c r="AI167"/>
      <c r="AJ167"/>
      <c r="AK167"/>
      <c r="AL167"/>
      <c r="AM167"/>
      <c r="AN167"/>
      <c r="AO167"/>
      <c r="AP167" s="15"/>
      <c r="AT167" s="15"/>
      <c r="AX167" s="15"/>
      <c r="BB167" s="15"/>
      <c r="BE167" s="15"/>
      <c r="BF167" s="15"/>
      <c r="BI167" s="15"/>
    </row>
    <row r="168" spans="1:61" s="3" customFormat="1" x14ac:dyDescent="0.3">
      <c r="A168" s="11"/>
      <c r="B168" s="15"/>
      <c r="C168" s="1"/>
      <c r="D168" s="1"/>
      <c r="E168" s="15"/>
      <c r="F168" s="15"/>
      <c r="G168" s="1"/>
      <c r="I168" s="15"/>
      <c r="J168" s="15"/>
      <c r="K168" s="1"/>
      <c r="L168" s="15"/>
      <c r="M168" s="1"/>
      <c r="N168" s="1"/>
      <c r="O168" s="15"/>
      <c r="P168" s="1"/>
      <c r="Q168" s="1"/>
      <c r="R168" s="15"/>
      <c r="S168" s="15"/>
      <c r="T168" s="15"/>
      <c r="U168" s="15"/>
      <c r="X168" s="15"/>
      <c r="AA168" s="15"/>
      <c r="AD168" s="93"/>
      <c r="AE168"/>
      <c r="AF168"/>
      <c r="AG168"/>
      <c r="AH168"/>
      <c r="AI168"/>
      <c r="AJ168"/>
      <c r="AK168"/>
      <c r="AL168"/>
      <c r="AM168"/>
      <c r="AN168"/>
      <c r="AO168"/>
      <c r="AP168" s="15"/>
      <c r="AT168" s="15"/>
      <c r="AX168" s="15"/>
      <c r="BB168" s="15"/>
      <c r="BE168" s="15"/>
      <c r="BF168" s="15"/>
      <c r="BI168" s="15"/>
    </row>
    <row r="169" spans="1:61" s="3" customFormat="1" x14ac:dyDescent="0.3">
      <c r="A169" s="11"/>
      <c r="B169" s="15"/>
      <c r="C169" s="1"/>
      <c r="D169" s="1"/>
      <c r="E169" s="15"/>
      <c r="F169" s="15"/>
      <c r="G169" s="1"/>
      <c r="I169" s="15"/>
      <c r="J169" s="15"/>
      <c r="K169" s="1"/>
      <c r="L169" s="15"/>
      <c r="M169" s="1"/>
      <c r="N169" s="1"/>
      <c r="O169" s="15"/>
      <c r="P169" s="1"/>
      <c r="Q169" s="1"/>
      <c r="R169" s="15"/>
      <c r="S169" s="15"/>
      <c r="T169" s="15"/>
      <c r="U169" s="15"/>
      <c r="X169" s="15"/>
      <c r="AA169" s="15"/>
      <c r="AD169" s="93"/>
      <c r="AE169"/>
      <c r="AF169"/>
      <c r="AG169"/>
      <c r="AH169"/>
      <c r="AI169"/>
      <c r="AJ169"/>
      <c r="AK169"/>
      <c r="AL169"/>
      <c r="AM169"/>
      <c r="AN169"/>
      <c r="AO169"/>
      <c r="AP169" s="15"/>
      <c r="AT169" s="15"/>
      <c r="AX169" s="15"/>
      <c r="BB169" s="15"/>
      <c r="BE169" s="15"/>
      <c r="BF169" s="15"/>
      <c r="BI169" s="15"/>
    </row>
    <row r="170" spans="1:61" s="3" customFormat="1" x14ac:dyDescent="0.3">
      <c r="A170" s="11"/>
      <c r="B170" s="15"/>
      <c r="C170" s="1"/>
      <c r="D170" s="1"/>
      <c r="E170" s="15"/>
      <c r="F170" s="15"/>
      <c r="G170" s="1"/>
      <c r="I170" s="15"/>
      <c r="J170" s="15"/>
      <c r="K170" s="1"/>
      <c r="L170" s="15"/>
      <c r="M170" s="1"/>
      <c r="N170" s="1"/>
      <c r="O170" s="15"/>
      <c r="P170" s="1"/>
      <c r="Q170" s="1"/>
      <c r="R170" s="15"/>
      <c r="S170" s="15"/>
      <c r="T170" s="15"/>
      <c r="U170" s="15"/>
      <c r="X170" s="15"/>
      <c r="AA170" s="15"/>
      <c r="AD170" s="93"/>
      <c r="AE170"/>
      <c r="AF170"/>
      <c r="AG170"/>
      <c r="AH170"/>
      <c r="AI170"/>
      <c r="AJ170"/>
      <c r="AK170"/>
      <c r="AL170"/>
      <c r="AM170"/>
      <c r="AN170"/>
      <c r="AO170"/>
      <c r="AP170" s="15"/>
      <c r="AT170" s="15"/>
      <c r="AX170" s="15"/>
      <c r="BB170" s="15"/>
      <c r="BE170" s="15"/>
      <c r="BF170" s="15"/>
      <c r="BI170" s="15"/>
    </row>
    <row r="171" spans="1:61" s="3" customFormat="1" x14ac:dyDescent="0.3">
      <c r="A171" s="11"/>
      <c r="B171" s="15"/>
      <c r="C171" s="1"/>
      <c r="D171" s="1"/>
      <c r="E171" s="15"/>
      <c r="F171" s="15"/>
      <c r="G171" s="1"/>
      <c r="I171" s="15"/>
      <c r="J171" s="15"/>
      <c r="K171" s="1"/>
      <c r="L171" s="15"/>
      <c r="M171" s="1"/>
      <c r="N171" s="1"/>
      <c r="O171" s="15"/>
      <c r="P171" s="1"/>
      <c r="Q171" s="1"/>
      <c r="R171" s="15"/>
      <c r="S171" s="15"/>
      <c r="T171" s="15"/>
      <c r="U171" s="15"/>
      <c r="X171" s="15"/>
      <c r="AA171" s="15"/>
      <c r="AD171" s="93"/>
      <c r="AE171"/>
      <c r="AF171"/>
      <c r="AG171"/>
      <c r="AH171"/>
      <c r="AI171"/>
      <c r="AJ171"/>
      <c r="AK171"/>
      <c r="AL171"/>
      <c r="AM171"/>
      <c r="AN171"/>
      <c r="AO171"/>
      <c r="AP171" s="15"/>
      <c r="AT171" s="15"/>
      <c r="AX171" s="15"/>
      <c r="BB171" s="15"/>
      <c r="BE171" s="15"/>
      <c r="BF171" s="15"/>
      <c r="BI171" s="15"/>
    </row>
    <row r="172" spans="1:61" s="3" customFormat="1" x14ac:dyDescent="0.3">
      <c r="A172" s="11"/>
      <c r="B172" s="15"/>
      <c r="C172" s="1"/>
      <c r="D172" s="1"/>
      <c r="E172" s="15"/>
      <c r="F172" s="15"/>
      <c r="G172" s="1"/>
      <c r="I172" s="15"/>
      <c r="J172" s="15"/>
      <c r="K172" s="1"/>
      <c r="L172" s="15"/>
      <c r="M172" s="1"/>
      <c r="N172" s="1"/>
      <c r="O172" s="15"/>
      <c r="P172" s="1"/>
      <c r="Q172" s="1"/>
      <c r="R172" s="15"/>
      <c r="S172" s="15"/>
      <c r="T172" s="15"/>
      <c r="U172" s="15"/>
      <c r="X172" s="15"/>
      <c r="AA172" s="15"/>
      <c r="AD172" s="93"/>
      <c r="AE172"/>
      <c r="AF172"/>
      <c r="AG172"/>
      <c r="AH172"/>
      <c r="AI172"/>
      <c r="AJ172"/>
      <c r="AK172"/>
      <c r="AL172"/>
      <c r="AM172"/>
      <c r="AN172"/>
      <c r="AO172"/>
      <c r="AP172" s="15"/>
      <c r="AT172" s="15"/>
      <c r="AX172" s="15"/>
      <c r="BB172" s="15"/>
      <c r="BE172" s="15"/>
      <c r="BF172" s="15"/>
      <c r="BI172" s="15"/>
    </row>
    <row r="173" spans="1:61" s="3" customFormat="1" x14ac:dyDescent="0.3">
      <c r="A173" s="11"/>
      <c r="B173" s="15"/>
      <c r="C173" s="1"/>
      <c r="D173" s="1"/>
      <c r="E173" s="15"/>
      <c r="F173" s="15"/>
      <c r="G173" s="1"/>
      <c r="I173" s="15"/>
      <c r="J173" s="15"/>
      <c r="K173" s="1"/>
      <c r="L173" s="15"/>
      <c r="M173" s="1"/>
      <c r="N173" s="1"/>
      <c r="O173" s="15"/>
      <c r="P173" s="1"/>
      <c r="Q173" s="1"/>
      <c r="R173" s="15"/>
      <c r="S173" s="15"/>
      <c r="T173" s="15"/>
      <c r="U173" s="15"/>
      <c r="X173" s="15"/>
      <c r="AA173" s="15"/>
      <c r="AD173" s="93"/>
      <c r="AE173"/>
      <c r="AF173"/>
      <c r="AG173"/>
      <c r="AH173"/>
      <c r="AI173"/>
      <c r="AJ173"/>
      <c r="AK173"/>
      <c r="AL173"/>
      <c r="AM173"/>
      <c r="AN173"/>
      <c r="AO173"/>
      <c r="AP173" s="15"/>
      <c r="AT173" s="15"/>
      <c r="AX173" s="15"/>
      <c r="BB173" s="15"/>
      <c r="BE173" s="15"/>
      <c r="BF173" s="15"/>
      <c r="BI173" s="15"/>
    </row>
    <row r="174" spans="1:61" s="3" customFormat="1" x14ac:dyDescent="0.3">
      <c r="A174" s="11"/>
      <c r="B174" s="15"/>
      <c r="C174" s="1"/>
      <c r="D174" s="1"/>
      <c r="E174" s="15"/>
      <c r="F174" s="15"/>
      <c r="G174" s="1"/>
      <c r="I174" s="15"/>
      <c r="J174" s="15"/>
      <c r="K174" s="1"/>
      <c r="L174" s="15"/>
      <c r="M174" s="1"/>
      <c r="N174" s="1"/>
      <c r="O174" s="15"/>
      <c r="P174" s="1"/>
      <c r="Q174" s="1"/>
      <c r="R174" s="15"/>
      <c r="S174" s="15"/>
      <c r="T174" s="15"/>
      <c r="U174" s="15"/>
      <c r="X174" s="15"/>
      <c r="AA174" s="15"/>
      <c r="AD174" s="93"/>
      <c r="AE174"/>
      <c r="AF174"/>
      <c r="AG174"/>
      <c r="AH174"/>
      <c r="AI174"/>
      <c r="AJ174"/>
      <c r="AK174"/>
      <c r="AL174"/>
      <c r="AM174"/>
      <c r="AN174"/>
      <c r="AO174"/>
      <c r="AP174" s="15"/>
      <c r="AT174" s="15"/>
      <c r="AX174" s="15"/>
      <c r="BB174" s="15"/>
      <c r="BE174" s="15"/>
      <c r="BF174" s="15"/>
      <c r="BI174" s="15"/>
    </row>
    <row r="175" spans="1:61" s="3" customFormat="1" x14ac:dyDescent="0.3">
      <c r="A175" s="11"/>
      <c r="B175" s="15"/>
      <c r="C175" s="1"/>
      <c r="D175" s="1"/>
      <c r="E175" s="15"/>
      <c r="F175" s="15"/>
      <c r="G175" s="1"/>
      <c r="I175" s="15"/>
      <c r="J175" s="15"/>
      <c r="K175" s="1"/>
      <c r="L175" s="15"/>
      <c r="M175" s="1"/>
      <c r="N175" s="1"/>
      <c r="O175" s="15"/>
      <c r="P175" s="1"/>
      <c r="Q175" s="1"/>
      <c r="R175" s="15"/>
      <c r="S175" s="15"/>
      <c r="T175" s="15"/>
      <c r="U175" s="15"/>
      <c r="X175" s="15"/>
      <c r="AA175" s="15"/>
      <c r="AD175" s="93"/>
      <c r="AE175"/>
      <c r="AF175"/>
      <c r="AG175"/>
      <c r="AH175"/>
      <c r="AI175"/>
      <c r="AJ175"/>
      <c r="AK175"/>
      <c r="AL175"/>
      <c r="AM175"/>
      <c r="AN175"/>
      <c r="AO175"/>
      <c r="AP175" s="15"/>
      <c r="AT175" s="15"/>
      <c r="AX175" s="15"/>
      <c r="BB175" s="15"/>
      <c r="BE175" s="15"/>
      <c r="BF175" s="15"/>
      <c r="BI175" s="15"/>
    </row>
    <row r="176" spans="1:61" s="3" customFormat="1" x14ac:dyDescent="0.3">
      <c r="A176" s="11"/>
      <c r="B176" s="15"/>
      <c r="C176" s="1"/>
      <c r="D176" s="1"/>
      <c r="E176" s="15"/>
      <c r="F176" s="15"/>
      <c r="G176" s="1"/>
      <c r="I176" s="15"/>
      <c r="J176" s="15"/>
      <c r="K176" s="1"/>
      <c r="L176" s="15"/>
      <c r="M176" s="1"/>
      <c r="N176" s="1"/>
      <c r="O176" s="15"/>
      <c r="P176" s="1"/>
      <c r="Q176" s="1"/>
      <c r="R176" s="15"/>
      <c r="S176" s="15"/>
      <c r="T176" s="15"/>
      <c r="U176" s="15"/>
      <c r="X176" s="15"/>
      <c r="AA176" s="15"/>
      <c r="AD176" s="93"/>
      <c r="AE176"/>
      <c r="AF176"/>
      <c r="AG176"/>
      <c r="AH176"/>
      <c r="AI176"/>
      <c r="AJ176"/>
      <c r="AK176"/>
      <c r="AL176"/>
      <c r="AM176"/>
      <c r="AN176"/>
      <c r="AO176"/>
      <c r="AP176" s="15"/>
      <c r="AT176" s="15"/>
      <c r="AX176" s="15"/>
      <c r="BB176" s="15"/>
      <c r="BE176" s="15"/>
      <c r="BF176" s="15"/>
      <c r="BI176" s="15"/>
    </row>
    <row r="177" spans="1:61" s="3" customFormat="1" x14ac:dyDescent="0.3">
      <c r="A177" s="11"/>
      <c r="B177" s="15"/>
      <c r="C177" s="1"/>
      <c r="D177" s="1"/>
      <c r="E177" s="15"/>
      <c r="F177" s="15"/>
      <c r="G177" s="1"/>
      <c r="I177" s="15"/>
      <c r="J177" s="15"/>
      <c r="K177" s="1"/>
      <c r="L177" s="15"/>
      <c r="M177" s="1"/>
      <c r="N177" s="1"/>
      <c r="O177" s="15"/>
      <c r="P177" s="1"/>
      <c r="Q177" s="1"/>
      <c r="R177" s="15"/>
      <c r="S177" s="15"/>
      <c r="T177" s="15"/>
      <c r="U177" s="15"/>
      <c r="X177" s="15"/>
      <c r="AA177" s="15"/>
      <c r="AD177" s="93"/>
      <c r="AE177"/>
      <c r="AF177"/>
      <c r="AG177"/>
      <c r="AH177"/>
      <c r="AI177"/>
      <c r="AJ177"/>
      <c r="AK177"/>
      <c r="AL177"/>
      <c r="AM177"/>
      <c r="AN177"/>
      <c r="AO177"/>
      <c r="AP177" s="15"/>
      <c r="AT177" s="15"/>
      <c r="AX177" s="15"/>
      <c r="BB177" s="15"/>
      <c r="BE177" s="15"/>
      <c r="BF177" s="15"/>
      <c r="BI177" s="15"/>
    </row>
    <row r="178" spans="1:61" s="3" customFormat="1" x14ac:dyDescent="0.3">
      <c r="A178" s="11"/>
      <c r="B178" s="15"/>
      <c r="C178" s="1"/>
      <c r="D178" s="1"/>
      <c r="E178" s="15"/>
      <c r="F178" s="15"/>
      <c r="G178" s="1"/>
      <c r="I178" s="15"/>
      <c r="J178" s="15"/>
      <c r="K178" s="1"/>
      <c r="L178" s="15"/>
      <c r="M178" s="1"/>
      <c r="N178" s="1"/>
      <c r="O178" s="15"/>
      <c r="P178" s="1"/>
      <c r="Q178" s="1"/>
      <c r="R178" s="15"/>
      <c r="S178" s="15"/>
      <c r="T178" s="15"/>
      <c r="U178" s="15"/>
      <c r="X178" s="15"/>
      <c r="AA178" s="15"/>
      <c r="AD178" s="93"/>
      <c r="AE178"/>
      <c r="AF178"/>
      <c r="AG178"/>
      <c r="AH178"/>
      <c r="AI178"/>
      <c r="AJ178"/>
      <c r="AK178"/>
      <c r="AL178"/>
      <c r="AM178"/>
      <c r="AN178"/>
      <c r="AO178"/>
      <c r="AP178" s="15"/>
      <c r="AT178" s="15"/>
      <c r="AX178" s="15"/>
      <c r="BB178" s="15"/>
      <c r="BE178" s="15"/>
      <c r="BF178" s="15"/>
      <c r="BI178" s="15"/>
    </row>
    <row r="179" spans="1:61" s="3" customFormat="1" x14ac:dyDescent="0.3">
      <c r="A179" s="11"/>
      <c r="B179" s="15"/>
      <c r="C179" s="1"/>
      <c r="D179" s="1"/>
      <c r="E179" s="15"/>
      <c r="F179" s="15"/>
      <c r="G179" s="1"/>
      <c r="I179" s="15"/>
      <c r="J179" s="15"/>
      <c r="K179" s="1"/>
      <c r="L179" s="15"/>
      <c r="M179" s="1"/>
      <c r="N179" s="1"/>
      <c r="O179" s="15"/>
      <c r="P179" s="1"/>
      <c r="Q179" s="1"/>
      <c r="R179" s="15"/>
      <c r="S179" s="15"/>
      <c r="T179" s="15"/>
      <c r="U179" s="15"/>
      <c r="X179" s="15"/>
      <c r="AA179" s="15"/>
      <c r="AD179" s="93"/>
      <c r="AE179"/>
      <c r="AF179"/>
      <c r="AG179"/>
      <c r="AH179"/>
      <c r="AI179"/>
      <c r="AJ179"/>
      <c r="AK179"/>
      <c r="AL179"/>
      <c r="AM179"/>
      <c r="AN179"/>
      <c r="AO179"/>
      <c r="AP179" s="15"/>
      <c r="AT179" s="15"/>
      <c r="AX179" s="15"/>
      <c r="BB179" s="15"/>
      <c r="BE179" s="15"/>
      <c r="BF179" s="15"/>
      <c r="BI179" s="15"/>
    </row>
    <row r="180" spans="1:61" s="3" customFormat="1" x14ac:dyDescent="0.3">
      <c r="A180" s="11"/>
      <c r="B180" s="15"/>
      <c r="C180" s="1"/>
      <c r="D180" s="1"/>
      <c r="E180" s="15"/>
      <c r="F180" s="15"/>
      <c r="G180" s="1"/>
      <c r="I180" s="15"/>
      <c r="J180" s="15"/>
      <c r="K180" s="1"/>
      <c r="L180" s="15"/>
      <c r="M180" s="1"/>
      <c r="N180" s="1"/>
      <c r="O180" s="15"/>
      <c r="P180" s="1"/>
      <c r="Q180" s="1"/>
      <c r="R180" s="15"/>
      <c r="S180" s="15"/>
      <c r="T180" s="15"/>
      <c r="U180" s="15"/>
      <c r="X180" s="15"/>
      <c r="AA180" s="15"/>
      <c r="AD180" s="93"/>
      <c r="AE180"/>
      <c r="AF180"/>
      <c r="AG180"/>
      <c r="AH180"/>
      <c r="AI180"/>
      <c r="AJ180"/>
      <c r="AK180"/>
      <c r="AL180"/>
      <c r="AM180"/>
      <c r="AN180"/>
      <c r="AO180"/>
      <c r="AP180" s="15"/>
      <c r="AT180" s="15"/>
      <c r="AX180" s="15"/>
      <c r="BB180" s="15"/>
      <c r="BE180" s="15"/>
      <c r="BF180" s="15"/>
      <c r="BI180" s="15"/>
    </row>
    <row r="181" spans="1:61" s="3" customFormat="1" x14ac:dyDescent="0.3">
      <c r="A181" s="11"/>
      <c r="B181" s="15"/>
      <c r="C181" s="1"/>
      <c r="D181" s="1"/>
      <c r="E181" s="15"/>
      <c r="F181" s="15"/>
      <c r="G181" s="1"/>
      <c r="I181" s="15"/>
      <c r="J181" s="15"/>
      <c r="K181" s="1"/>
      <c r="L181" s="15"/>
      <c r="M181" s="1"/>
      <c r="N181" s="1"/>
      <c r="O181" s="15"/>
      <c r="P181" s="1"/>
      <c r="Q181" s="1"/>
      <c r="R181" s="15"/>
      <c r="S181" s="15"/>
      <c r="T181" s="15"/>
      <c r="U181" s="15"/>
      <c r="X181" s="15"/>
      <c r="AA181" s="15"/>
      <c r="AD181" s="93"/>
      <c r="AE181"/>
      <c r="AF181"/>
      <c r="AG181"/>
      <c r="AH181"/>
      <c r="AI181"/>
      <c r="AJ181"/>
      <c r="AK181"/>
      <c r="AL181"/>
      <c r="AM181"/>
      <c r="AN181"/>
      <c r="AO181"/>
      <c r="AP181" s="15"/>
      <c r="AT181" s="15"/>
      <c r="AX181" s="15"/>
      <c r="BB181" s="15"/>
      <c r="BE181" s="15"/>
      <c r="BF181" s="15"/>
      <c r="BI181" s="15"/>
    </row>
    <row r="182" spans="1:61" s="3" customFormat="1" x14ac:dyDescent="0.3">
      <c r="A182" s="11"/>
      <c r="B182" s="15"/>
      <c r="C182" s="1"/>
      <c r="D182" s="1"/>
      <c r="E182" s="15"/>
      <c r="F182" s="15"/>
      <c r="G182" s="1"/>
      <c r="I182" s="15"/>
      <c r="J182" s="15"/>
      <c r="K182" s="1"/>
      <c r="L182" s="15"/>
      <c r="M182" s="1"/>
      <c r="N182" s="1"/>
      <c r="O182" s="15"/>
      <c r="P182" s="1"/>
      <c r="Q182" s="1"/>
      <c r="R182" s="15"/>
      <c r="S182" s="15"/>
      <c r="T182" s="15"/>
      <c r="U182" s="15"/>
      <c r="X182" s="15"/>
      <c r="AA182" s="15"/>
      <c r="AD182" s="93"/>
      <c r="AE182"/>
      <c r="AF182"/>
      <c r="AG182"/>
      <c r="AH182"/>
      <c r="AI182"/>
      <c r="AJ182"/>
      <c r="AK182"/>
      <c r="AL182"/>
      <c r="AM182"/>
      <c r="AN182"/>
      <c r="AO182"/>
      <c r="AP182" s="15"/>
      <c r="AT182" s="15"/>
      <c r="AX182" s="15"/>
      <c r="BB182" s="15"/>
      <c r="BE182" s="15"/>
      <c r="BF182" s="15"/>
      <c r="BI182" s="15"/>
    </row>
    <row r="183" spans="1:61" s="3" customFormat="1" x14ac:dyDescent="0.3">
      <c r="A183" s="11"/>
      <c r="B183" s="15"/>
      <c r="C183" s="1"/>
      <c r="D183" s="1"/>
      <c r="E183" s="15"/>
      <c r="F183" s="15"/>
      <c r="G183" s="1"/>
      <c r="I183" s="15"/>
      <c r="J183" s="15"/>
      <c r="K183" s="1"/>
      <c r="L183" s="15"/>
      <c r="M183" s="1"/>
      <c r="N183" s="1"/>
      <c r="O183" s="15"/>
      <c r="P183" s="1"/>
      <c r="Q183" s="1"/>
      <c r="R183" s="15"/>
      <c r="S183" s="15"/>
      <c r="T183" s="15"/>
      <c r="U183" s="15"/>
      <c r="X183" s="15"/>
      <c r="AA183" s="15"/>
      <c r="AD183" s="93"/>
      <c r="AE183"/>
      <c r="AF183"/>
      <c r="AG183"/>
      <c r="AH183"/>
      <c r="AI183"/>
      <c r="AJ183"/>
      <c r="AK183"/>
      <c r="AL183"/>
      <c r="AM183"/>
      <c r="AN183"/>
      <c r="AO183"/>
      <c r="AP183" s="15"/>
      <c r="AT183" s="15"/>
      <c r="AX183" s="15"/>
      <c r="BB183" s="15"/>
      <c r="BE183" s="15"/>
      <c r="BF183" s="15"/>
      <c r="BI183" s="15"/>
    </row>
    <row r="184" spans="1:61" s="3" customFormat="1" x14ac:dyDescent="0.3">
      <c r="A184" s="11"/>
      <c r="B184" s="15"/>
      <c r="C184" s="1"/>
      <c r="D184" s="1"/>
      <c r="E184" s="15"/>
      <c r="F184" s="15"/>
      <c r="G184" s="1"/>
      <c r="I184" s="15"/>
      <c r="J184" s="15"/>
      <c r="K184" s="1"/>
      <c r="L184" s="15"/>
      <c r="M184" s="1"/>
      <c r="N184" s="1"/>
      <c r="O184" s="15"/>
      <c r="P184" s="1"/>
      <c r="Q184" s="1"/>
      <c r="R184" s="15"/>
      <c r="S184" s="15"/>
      <c r="T184" s="15"/>
      <c r="U184" s="15"/>
      <c r="X184" s="15"/>
      <c r="AA184" s="15"/>
      <c r="AD184" s="93"/>
      <c r="AE184"/>
      <c r="AF184"/>
      <c r="AG184"/>
      <c r="AH184"/>
      <c r="AI184"/>
      <c r="AJ184"/>
      <c r="AK184"/>
      <c r="AL184"/>
      <c r="AM184"/>
      <c r="AN184"/>
      <c r="AO184"/>
      <c r="AP184" s="15"/>
      <c r="AT184" s="15"/>
      <c r="AX184" s="15"/>
      <c r="BB184" s="15"/>
      <c r="BE184" s="15"/>
      <c r="BF184" s="15"/>
      <c r="BI184" s="15"/>
    </row>
    <row r="185" spans="1:61" s="3" customFormat="1" x14ac:dyDescent="0.3">
      <c r="A185" s="11"/>
      <c r="B185" s="15"/>
      <c r="C185" s="1"/>
      <c r="D185" s="1"/>
      <c r="E185" s="15"/>
      <c r="F185" s="15"/>
      <c r="G185" s="1"/>
      <c r="I185" s="15"/>
      <c r="J185" s="15"/>
      <c r="K185" s="1"/>
      <c r="L185" s="15"/>
      <c r="M185" s="1"/>
      <c r="N185" s="1"/>
      <c r="O185" s="15"/>
      <c r="P185" s="1"/>
      <c r="Q185" s="1"/>
      <c r="R185" s="15"/>
      <c r="S185" s="15"/>
      <c r="T185" s="15"/>
      <c r="U185" s="15"/>
      <c r="X185" s="15"/>
      <c r="AA185" s="15"/>
      <c r="AD185" s="93"/>
      <c r="AE185"/>
      <c r="AF185"/>
      <c r="AG185"/>
      <c r="AH185"/>
      <c r="AI185"/>
      <c r="AJ185"/>
      <c r="AK185"/>
      <c r="AL185"/>
      <c r="AM185"/>
      <c r="AN185"/>
      <c r="AO185"/>
      <c r="AP185" s="15"/>
      <c r="AT185" s="15"/>
      <c r="AX185" s="15"/>
      <c r="BB185" s="15"/>
      <c r="BE185" s="15"/>
      <c r="BF185" s="15"/>
      <c r="BI185" s="15"/>
    </row>
    <row r="186" spans="1:61" s="3" customFormat="1" x14ac:dyDescent="0.3">
      <c r="A186" s="11"/>
      <c r="B186" s="15"/>
      <c r="C186" s="1"/>
      <c r="D186" s="1"/>
      <c r="E186" s="15"/>
      <c r="F186" s="15"/>
      <c r="G186" s="1"/>
      <c r="I186" s="15"/>
      <c r="J186" s="15"/>
      <c r="K186" s="1"/>
      <c r="L186" s="15"/>
      <c r="M186" s="1"/>
      <c r="N186" s="1"/>
      <c r="O186" s="15"/>
      <c r="P186" s="1"/>
      <c r="Q186" s="1"/>
      <c r="R186" s="15"/>
      <c r="S186" s="15"/>
      <c r="T186" s="15"/>
      <c r="U186" s="15"/>
      <c r="X186" s="15"/>
      <c r="AA186" s="15"/>
      <c r="AD186" s="93"/>
      <c r="AE186"/>
      <c r="AF186"/>
      <c r="AG186"/>
      <c r="AH186"/>
      <c r="AI186"/>
      <c r="AJ186"/>
      <c r="AK186"/>
      <c r="AL186"/>
      <c r="AM186"/>
      <c r="AN186"/>
      <c r="AO186"/>
      <c r="AP186" s="15"/>
      <c r="AT186" s="15"/>
      <c r="AX186" s="15"/>
      <c r="BB186" s="15"/>
      <c r="BE186" s="15"/>
      <c r="BF186" s="15"/>
      <c r="BI186" s="15"/>
    </row>
    <row r="187" spans="1:61" s="3" customFormat="1" x14ac:dyDescent="0.3">
      <c r="A187" s="11"/>
      <c r="B187" s="15"/>
      <c r="C187" s="1"/>
      <c r="D187" s="1"/>
      <c r="E187" s="15"/>
      <c r="F187" s="15"/>
      <c r="G187" s="1"/>
      <c r="I187" s="15"/>
      <c r="J187" s="15"/>
      <c r="K187" s="1"/>
      <c r="L187" s="15"/>
      <c r="M187" s="1"/>
      <c r="N187" s="1"/>
      <c r="O187" s="15"/>
      <c r="P187" s="1"/>
      <c r="Q187" s="1"/>
      <c r="R187" s="15"/>
      <c r="S187" s="15"/>
      <c r="T187" s="15"/>
      <c r="U187" s="15"/>
      <c r="X187" s="15"/>
      <c r="AA187" s="15"/>
      <c r="AD187" s="93"/>
      <c r="AE187"/>
      <c r="AF187"/>
      <c r="AG187"/>
      <c r="AH187"/>
      <c r="AI187"/>
      <c r="AJ187"/>
      <c r="AK187"/>
      <c r="AL187"/>
      <c r="AM187"/>
      <c r="AN187"/>
      <c r="AO187"/>
      <c r="AP187" s="15"/>
      <c r="AT187" s="15"/>
      <c r="AX187" s="15"/>
      <c r="BB187" s="15"/>
      <c r="BE187" s="15"/>
      <c r="BF187" s="15"/>
      <c r="BI187" s="15"/>
    </row>
    <row r="188" spans="1:61" s="3" customFormat="1" x14ac:dyDescent="0.3">
      <c r="A188" s="11"/>
      <c r="B188" s="15"/>
      <c r="C188" s="1"/>
      <c r="D188" s="1"/>
      <c r="E188" s="15"/>
      <c r="F188" s="15"/>
      <c r="G188" s="1"/>
      <c r="I188" s="15"/>
      <c r="J188" s="15"/>
      <c r="K188" s="1"/>
      <c r="L188" s="15"/>
      <c r="M188" s="1"/>
      <c r="N188" s="1"/>
      <c r="O188" s="15"/>
      <c r="P188" s="1"/>
      <c r="Q188" s="1"/>
      <c r="R188" s="15"/>
      <c r="S188" s="15"/>
      <c r="T188" s="15"/>
      <c r="U188" s="15"/>
      <c r="X188" s="15"/>
      <c r="AA188" s="15"/>
      <c r="AD188" s="93"/>
      <c r="AE188"/>
      <c r="AF188"/>
      <c r="AG188"/>
      <c r="AH188"/>
      <c r="AI188"/>
      <c r="AJ188"/>
      <c r="AK188"/>
      <c r="AL188"/>
      <c r="AM188"/>
      <c r="AN188"/>
      <c r="AO188"/>
      <c r="AP188" s="15"/>
      <c r="AT188" s="15"/>
      <c r="AX188" s="15"/>
      <c r="BB188" s="15"/>
      <c r="BE188" s="15"/>
      <c r="BF188" s="15"/>
      <c r="BI188" s="15"/>
    </row>
    <row r="189" spans="1:61" s="3" customFormat="1" x14ac:dyDescent="0.3">
      <c r="A189" s="11"/>
      <c r="B189" s="15"/>
      <c r="C189" s="1"/>
      <c r="D189" s="1"/>
      <c r="E189" s="15"/>
      <c r="F189" s="15"/>
      <c r="G189" s="1"/>
      <c r="I189" s="15"/>
      <c r="J189" s="15"/>
      <c r="K189" s="1"/>
      <c r="L189" s="15"/>
      <c r="M189" s="1"/>
      <c r="N189" s="1"/>
      <c r="O189" s="15"/>
      <c r="P189" s="1"/>
      <c r="Q189" s="1"/>
      <c r="R189" s="15"/>
      <c r="S189" s="15"/>
      <c r="T189" s="15"/>
      <c r="U189" s="15"/>
      <c r="X189" s="15"/>
      <c r="AA189" s="15"/>
      <c r="AD189" s="93"/>
      <c r="AE189"/>
      <c r="AF189"/>
      <c r="AG189"/>
      <c r="AH189"/>
      <c r="AI189"/>
      <c r="AJ189"/>
      <c r="AK189"/>
      <c r="AL189"/>
      <c r="AM189"/>
      <c r="AN189"/>
      <c r="AO189"/>
      <c r="AP189" s="15"/>
      <c r="AT189" s="15"/>
      <c r="AX189" s="15"/>
      <c r="BB189" s="15"/>
      <c r="BE189" s="15"/>
      <c r="BF189" s="15"/>
      <c r="BI189" s="15"/>
    </row>
    <row r="190" spans="1:61" s="3" customFormat="1" x14ac:dyDescent="0.3">
      <c r="A190" s="11"/>
      <c r="B190" s="15"/>
      <c r="C190" s="1"/>
      <c r="D190" s="1"/>
      <c r="E190" s="15"/>
      <c r="F190" s="15"/>
      <c r="G190" s="1"/>
      <c r="I190" s="15"/>
      <c r="J190" s="15"/>
      <c r="K190" s="1"/>
      <c r="L190" s="15"/>
      <c r="M190" s="1"/>
      <c r="N190" s="1"/>
      <c r="O190" s="15"/>
      <c r="P190" s="1"/>
      <c r="Q190" s="1"/>
      <c r="R190" s="15"/>
      <c r="S190" s="15"/>
      <c r="T190" s="15"/>
      <c r="U190" s="15"/>
      <c r="X190" s="15"/>
      <c r="AA190" s="15"/>
      <c r="AD190" s="93"/>
      <c r="AE190"/>
      <c r="AF190"/>
      <c r="AG190"/>
      <c r="AH190"/>
      <c r="AI190"/>
      <c r="AJ190"/>
      <c r="AK190"/>
      <c r="AL190"/>
      <c r="AM190"/>
      <c r="AN190"/>
      <c r="AO190"/>
      <c r="AP190" s="15"/>
      <c r="AT190" s="15"/>
      <c r="AX190" s="15"/>
      <c r="BB190" s="15"/>
      <c r="BE190" s="15"/>
      <c r="BF190" s="15"/>
      <c r="BI190" s="15"/>
    </row>
    <row r="191" spans="1:61" s="3" customFormat="1" x14ac:dyDescent="0.3">
      <c r="A191" s="11"/>
      <c r="B191" s="15"/>
      <c r="C191" s="1"/>
      <c r="D191" s="1"/>
      <c r="E191" s="15"/>
      <c r="F191" s="15"/>
      <c r="G191" s="1"/>
      <c r="I191" s="15"/>
      <c r="J191" s="15"/>
      <c r="K191" s="1"/>
      <c r="L191" s="15"/>
      <c r="M191" s="1"/>
      <c r="N191" s="1"/>
      <c r="O191" s="15"/>
      <c r="P191" s="1"/>
      <c r="Q191" s="1"/>
      <c r="R191" s="15"/>
      <c r="S191" s="15"/>
      <c r="T191" s="15"/>
      <c r="U191" s="15"/>
      <c r="X191" s="15"/>
      <c r="AA191" s="15"/>
      <c r="AD191" s="93"/>
      <c r="AE191"/>
      <c r="AF191"/>
      <c r="AG191"/>
      <c r="AH191"/>
      <c r="AI191"/>
      <c r="AJ191"/>
      <c r="AK191"/>
      <c r="AL191"/>
      <c r="AM191"/>
      <c r="AN191"/>
      <c r="AO191"/>
      <c r="AP191" s="15"/>
      <c r="AT191" s="15"/>
      <c r="AX191" s="15"/>
      <c r="BB191" s="15"/>
      <c r="BE191" s="15"/>
      <c r="BF191" s="15"/>
      <c r="BI191" s="15"/>
    </row>
    <row r="192" spans="1:61" s="3" customFormat="1" x14ac:dyDescent="0.3">
      <c r="A192" s="11"/>
      <c r="B192" s="15"/>
      <c r="C192" s="1"/>
      <c r="D192" s="1"/>
      <c r="E192" s="15"/>
      <c r="F192" s="15"/>
      <c r="G192" s="1"/>
      <c r="I192" s="15"/>
      <c r="J192" s="15"/>
      <c r="K192" s="1"/>
      <c r="L192" s="15"/>
      <c r="M192" s="1"/>
      <c r="N192" s="1"/>
      <c r="O192" s="15"/>
      <c r="P192" s="1"/>
      <c r="Q192" s="1"/>
      <c r="R192" s="15"/>
      <c r="S192" s="15"/>
      <c r="T192" s="15"/>
      <c r="U192" s="15"/>
      <c r="X192" s="15"/>
      <c r="AA192" s="15"/>
      <c r="AD192" s="93"/>
      <c r="AE192"/>
      <c r="AF192"/>
      <c r="AG192"/>
      <c r="AH192"/>
      <c r="AI192"/>
      <c r="AJ192"/>
      <c r="AK192"/>
      <c r="AL192"/>
      <c r="AM192"/>
      <c r="AN192"/>
      <c r="AO192"/>
      <c r="AP192" s="15"/>
      <c r="AT192" s="15"/>
      <c r="AX192" s="15"/>
      <c r="BB192" s="15"/>
      <c r="BE192" s="15"/>
      <c r="BF192" s="15"/>
      <c r="BI192" s="15"/>
    </row>
    <row r="193" spans="1:61" s="3" customFormat="1" x14ac:dyDescent="0.3">
      <c r="A193" s="11"/>
      <c r="B193" s="15"/>
      <c r="C193" s="1"/>
      <c r="D193" s="1"/>
      <c r="E193" s="15"/>
      <c r="F193" s="15"/>
      <c r="G193" s="1"/>
      <c r="I193" s="15"/>
      <c r="J193" s="15"/>
      <c r="K193" s="1"/>
      <c r="L193" s="15"/>
      <c r="M193" s="1"/>
      <c r="N193" s="1"/>
      <c r="O193" s="15"/>
      <c r="P193" s="1"/>
      <c r="Q193" s="1"/>
      <c r="R193" s="15"/>
      <c r="S193" s="15"/>
      <c r="T193" s="15"/>
      <c r="U193" s="15"/>
      <c r="X193" s="15"/>
      <c r="AA193" s="15"/>
      <c r="AD193" s="93"/>
      <c r="AE193"/>
      <c r="AF193"/>
      <c r="AG193"/>
      <c r="AH193"/>
      <c r="AI193"/>
      <c r="AJ193"/>
      <c r="AK193"/>
      <c r="AL193"/>
      <c r="AM193"/>
      <c r="AN193"/>
      <c r="AO193"/>
      <c r="AP193" s="15"/>
      <c r="AT193" s="15"/>
      <c r="AX193" s="15"/>
      <c r="BB193" s="15"/>
      <c r="BE193" s="15"/>
      <c r="BF193" s="15"/>
      <c r="BI193" s="15"/>
    </row>
    <row r="194" spans="1:61" s="3" customFormat="1" x14ac:dyDescent="0.3">
      <c r="A194" s="11"/>
      <c r="B194" s="15"/>
      <c r="C194" s="1"/>
      <c r="D194" s="1"/>
      <c r="E194" s="15"/>
      <c r="F194" s="15"/>
      <c r="G194" s="1"/>
      <c r="I194" s="15"/>
      <c r="J194" s="15"/>
      <c r="K194" s="1"/>
      <c r="L194" s="15"/>
      <c r="M194" s="1"/>
      <c r="N194" s="1"/>
      <c r="O194" s="15"/>
      <c r="P194" s="1"/>
      <c r="Q194" s="1"/>
      <c r="R194" s="15"/>
      <c r="S194" s="15"/>
      <c r="T194" s="15"/>
      <c r="U194" s="15"/>
      <c r="X194" s="15"/>
      <c r="AA194" s="15"/>
      <c r="AD194" s="93"/>
      <c r="AE194"/>
      <c r="AF194"/>
      <c r="AG194"/>
      <c r="AH194"/>
      <c r="AI194"/>
      <c r="AJ194"/>
      <c r="AK194"/>
      <c r="AL194"/>
      <c r="AM194"/>
      <c r="AN194"/>
      <c r="AO194"/>
      <c r="AP194" s="15"/>
      <c r="AT194" s="15"/>
      <c r="AX194" s="15"/>
      <c r="BB194" s="15"/>
      <c r="BE194" s="15"/>
      <c r="BF194" s="15"/>
      <c r="BI194" s="15"/>
    </row>
    <row r="195" spans="1:61" s="3" customFormat="1" x14ac:dyDescent="0.3">
      <c r="A195" s="11"/>
      <c r="B195" s="15"/>
      <c r="C195" s="1"/>
      <c r="D195" s="1"/>
      <c r="E195" s="15"/>
      <c r="F195" s="15"/>
      <c r="G195" s="1"/>
      <c r="I195" s="15"/>
      <c r="J195" s="15"/>
      <c r="K195" s="1"/>
      <c r="L195" s="15"/>
      <c r="M195" s="1"/>
      <c r="N195" s="1"/>
      <c r="O195" s="15"/>
      <c r="P195" s="1"/>
      <c r="Q195" s="1"/>
      <c r="R195" s="15"/>
      <c r="S195" s="15"/>
      <c r="T195" s="15"/>
      <c r="U195" s="15"/>
      <c r="X195" s="15"/>
      <c r="AA195" s="15"/>
      <c r="AD195" s="93"/>
      <c r="AE195"/>
      <c r="AF195"/>
      <c r="AG195"/>
      <c r="AH195"/>
      <c r="AI195"/>
      <c r="AJ195"/>
      <c r="AK195"/>
      <c r="AL195"/>
      <c r="AM195"/>
      <c r="AN195"/>
      <c r="AO195"/>
      <c r="AP195" s="15"/>
      <c r="AT195" s="15"/>
      <c r="AX195" s="15"/>
      <c r="BB195" s="15"/>
      <c r="BE195" s="15"/>
      <c r="BF195" s="15"/>
      <c r="BI195" s="15"/>
    </row>
    <row r="196" spans="1:61" s="3" customFormat="1" x14ac:dyDescent="0.3">
      <c r="A196" s="5"/>
      <c r="B196" s="15"/>
      <c r="C196" s="1"/>
      <c r="D196" s="1"/>
      <c r="E196" s="15"/>
      <c r="F196" s="15"/>
      <c r="G196" s="1"/>
      <c r="I196" s="15"/>
      <c r="J196" s="15"/>
      <c r="K196" s="1"/>
      <c r="L196" s="15"/>
      <c r="M196" s="1"/>
      <c r="N196" s="1"/>
      <c r="O196" s="15"/>
      <c r="P196" s="1"/>
      <c r="Q196" s="1"/>
      <c r="R196" s="15"/>
      <c r="S196" s="15"/>
      <c r="T196" s="15"/>
      <c r="U196" s="15"/>
      <c r="X196" s="15"/>
      <c r="AA196" s="15"/>
      <c r="AD196" s="93"/>
      <c r="AE196"/>
      <c r="AF196"/>
      <c r="AG196"/>
      <c r="AH196"/>
      <c r="AI196"/>
      <c r="AJ196"/>
      <c r="AK196"/>
      <c r="AL196"/>
      <c r="AM196"/>
      <c r="AN196"/>
      <c r="AO196"/>
      <c r="AP196" s="15"/>
      <c r="AT196" s="15"/>
      <c r="AX196" s="15"/>
      <c r="BB196" s="15"/>
      <c r="BE196" s="15"/>
      <c r="BF196" s="15"/>
      <c r="BI196" s="15"/>
    </row>
    <row r="197" spans="1:61" s="3" customFormat="1" x14ac:dyDescent="0.3">
      <c r="A197" s="5"/>
      <c r="B197" s="15"/>
      <c r="C197" s="1"/>
      <c r="D197" s="1"/>
      <c r="E197" s="15"/>
      <c r="F197" s="15"/>
      <c r="G197" s="1"/>
      <c r="I197" s="15"/>
      <c r="J197" s="15"/>
      <c r="K197" s="1"/>
      <c r="L197" s="15"/>
      <c r="M197" s="1"/>
      <c r="N197" s="1"/>
      <c r="O197" s="15"/>
      <c r="P197" s="1"/>
      <c r="Q197" s="1"/>
      <c r="R197" s="15"/>
      <c r="S197" s="15"/>
      <c r="T197" s="15"/>
      <c r="U197" s="15"/>
      <c r="X197" s="15"/>
      <c r="AA197" s="15"/>
      <c r="AD197" s="93"/>
      <c r="AE197"/>
      <c r="AF197"/>
      <c r="AG197"/>
      <c r="AH197"/>
      <c r="AI197"/>
      <c r="AJ197"/>
      <c r="AK197"/>
      <c r="AL197"/>
      <c r="AM197"/>
      <c r="AN197"/>
      <c r="AO197"/>
      <c r="AP197" s="15"/>
      <c r="AT197" s="15"/>
      <c r="AX197" s="15"/>
      <c r="BB197" s="15"/>
      <c r="BE197" s="15"/>
      <c r="BF197" s="15"/>
      <c r="BI197" s="15"/>
    </row>
    <row r="198" spans="1:61" s="3" customFormat="1" x14ac:dyDescent="0.3">
      <c r="A198" s="5"/>
      <c r="B198" s="15"/>
      <c r="C198" s="1"/>
      <c r="D198" s="1"/>
      <c r="E198" s="15"/>
      <c r="F198" s="15"/>
      <c r="G198" s="1"/>
      <c r="I198" s="15"/>
      <c r="J198" s="15"/>
      <c r="K198" s="1"/>
      <c r="L198" s="15"/>
      <c r="M198" s="1"/>
      <c r="N198" s="1"/>
      <c r="O198" s="15"/>
      <c r="P198" s="1"/>
      <c r="Q198" s="1"/>
      <c r="R198" s="15"/>
      <c r="S198" s="15"/>
      <c r="T198" s="15"/>
      <c r="U198" s="15"/>
      <c r="X198" s="15"/>
      <c r="AA198" s="15"/>
      <c r="AD198" s="93"/>
      <c r="AE198"/>
      <c r="AF198"/>
      <c r="AG198"/>
      <c r="AH198"/>
      <c r="AI198"/>
      <c r="AJ198"/>
      <c r="AK198"/>
      <c r="AL198"/>
      <c r="AM198"/>
      <c r="AN198"/>
      <c r="AO198"/>
      <c r="AP198" s="15"/>
      <c r="AT198" s="15"/>
      <c r="AX198" s="15"/>
      <c r="BB198" s="15"/>
      <c r="BE198" s="15"/>
      <c r="BF198" s="15"/>
      <c r="BI198" s="15"/>
    </row>
    <row r="199" spans="1:61" s="3" customFormat="1" x14ac:dyDescent="0.3">
      <c r="A199" s="5"/>
      <c r="B199" s="15"/>
      <c r="C199" s="1"/>
      <c r="D199" s="1"/>
      <c r="E199" s="15"/>
      <c r="F199" s="15"/>
      <c r="G199" s="1"/>
      <c r="I199" s="15"/>
      <c r="J199" s="15"/>
      <c r="K199" s="1"/>
      <c r="L199" s="15"/>
      <c r="M199" s="1"/>
      <c r="N199" s="1"/>
      <c r="O199" s="15"/>
      <c r="P199" s="1"/>
      <c r="Q199" s="1"/>
      <c r="R199" s="15"/>
      <c r="S199" s="15"/>
      <c r="T199" s="15"/>
      <c r="U199" s="15"/>
      <c r="X199" s="15"/>
      <c r="AA199" s="15"/>
      <c r="AD199" s="93"/>
      <c r="AE199"/>
      <c r="AF199"/>
      <c r="AG199"/>
      <c r="AH199"/>
      <c r="AI199"/>
      <c r="AJ199"/>
      <c r="AK199"/>
      <c r="AL199"/>
      <c r="AM199"/>
      <c r="AN199"/>
      <c r="AO199"/>
      <c r="AP199" s="15"/>
      <c r="AT199" s="15"/>
      <c r="AX199" s="15"/>
      <c r="BB199" s="15"/>
      <c r="BE199" s="15"/>
      <c r="BF199" s="15"/>
      <c r="BI199" s="15"/>
    </row>
    <row r="200" spans="1:61" s="3" customFormat="1" x14ac:dyDescent="0.3">
      <c r="A200" s="5"/>
      <c r="B200" s="15"/>
      <c r="C200" s="1"/>
      <c r="D200" s="1"/>
      <c r="E200" s="15"/>
      <c r="F200" s="15"/>
      <c r="G200" s="1"/>
      <c r="I200" s="15"/>
      <c r="J200" s="15"/>
      <c r="K200" s="1"/>
      <c r="L200" s="15"/>
      <c r="M200" s="1"/>
      <c r="N200" s="1"/>
      <c r="O200" s="15"/>
      <c r="P200" s="1"/>
      <c r="Q200" s="1"/>
      <c r="R200" s="15"/>
      <c r="S200" s="15"/>
      <c r="T200" s="15"/>
      <c r="U200" s="15"/>
      <c r="X200" s="15"/>
      <c r="AA200" s="15"/>
      <c r="AD200" s="93"/>
      <c r="AE200"/>
      <c r="AF200"/>
      <c r="AG200"/>
      <c r="AH200"/>
      <c r="AI200"/>
      <c r="AJ200"/>
      <c r="AK200"/>
      <c r="AL200"/>
      <c r="AM200"/>
      <c r="AN200"/>
      <c r="AO200"/>
      <c r="AP200" s="15"/>
      <c r="AT200" s="15"/>
      <c r="AX200" s="15"/>
      <c r="BB200" s="15"/>
      <c r="BE200" s="15"/>
      <c r="BF200" s="15"/>
      <c r="BI200" s="15"/>
    </row>
    <row r="201" spans="1:61" s="3" customFormat="1" x14ac:dyDescent="0.3">
      <c r="A201" s="5"/>
      <c r="B201" s="15"/>
      <c r="C201" s="1"/>
      <c r="D201" s="1"/>
      <c r="E201" s="15"/>
      <c r="F201" s="15"/>
      <c r="G201" s="1"/>
      <c r="I201" s="15"/>
      <c r="J201" s="15"/>
      <c r="K201" s="1"/>
      <c r="L201" s="15"/>
      <c r="M201" s="1"/>
      <c r="N201" s="1"/>
      <c r="O201" s="15"/>
      <c r="P201" s="1"/>
      <c r="Q201" s="1"/>
      <c r="R201" s="15"/>
      <c r="S201" s="15"/>
      <c r="T201" s="15"/>
      <c r="U201" s="15"/>
      <c r="X201" s="15"/>
      <c r="AA201" s="15"/>
      <c r="AD201" s="93"/>
      <c r="AE201"/>
      <c r="AF201"/>
      <c r="AG201"/>
      <c r="AH201"/>
      <c r="AI201"/>
      <c r="AJ201"/>
      <c r="AK201"/>
      <c r="AL201"/>
      <c r="AM201"/>
      <c r="AN201"/>
      <c r="AO201"/>
      <c r="AP201" s="15"/>
      <c r="AT201" s="15"/>
      <c r="AX201" s="15"/>
      <c r="BB201" s="15"/>
      <c r="BE201" s="15"/>
      <c r="BF201" s="15"/>
      <c r="BI201" s="15"/>
    </row>
    <row r="202" spans="1:61" s="3" customFormat="1" x14ac:dyDescent="0.3">
      <c r="A202" s="5"/>
      <c r="B202" s="15"/>
      <c r="C202" s="1"/>
      <c r="D202" s="1"/>
      <c r="E202" s="15"/>
      <c r="F202" s="15"/>
      <c r="G202" s="1"/>
      <c r="I202" s="15"/>
      <c r="J202" s="15"/>
      <c r="K202" s="1"/>
      <c r="L202" s="15"/>
      <c r="M202" s="1"/>
      <c r="N202" s="1"/>
      <c r="O202" s="15"/>
      <c r="P202" s="1"/>
      <c r="Q202" s="1"/>
      <c r="R202" s="15"/>
      <c r="S202" s="15"/>
      <c r="T202" s="15"/>
      <c r="U202" s="15"/>
      <c r="X202" s="15"/>
      <c r="AA202" s="15"/>
      <c r="AD202" s="93"/>
      <c r="AE202"/>
      <c r="AF202"/>
      <c r="AG202"/>
      <c r="AH202"/>
      <c r="AI202"/>
      <c r="AJ202"/>
      <c r="AK202"/>
      <c r="AL202"/>
      <c r="AM202"/>
      <c r="AN202"/>
      <c r="AO202"/>
      <c r="AP202" s="15"/>
      <c r="AT202" s="15"/>
      <c r="AX202" s="15"/>
      <c r="BB202" s="15"/>
      <c r="BE202" s="15"/>
      <c r="BF202" s="15"/>
      <c r="BI202" s="15"/>
    </row>
    <row r="203" spans="1:61" s="3" customFormat="1" x14ac:dyDescent="0.3">
      <c r="A203" s="5"/>
      <c r="B203" s="15"/>
      <c r="C203" s="1"/>
      <c r="D203" s="1"/>
      <c r="E203" s="15"/>
      <c r="F203" s="15"/>
      <c r="G203" s="1"/>
      <c r="I203" s="15"/>
      <c r="J203" s="15"/>
      <c r="K203" s="1"/>
      <c r="L203" s="15"/>
      <c r="M203" s="1"/>
      <c r="N203" s="1"/>
      <c r="O203" s="15"/>
      <c r="P203" s="1"/>
      <c r="Q203" s="1"/>
      <c r="R203" s="15"/>
      <c r="S203" s="15"/>
      <c r="T203" s="15"/>
      <c r="U203" s="15"/>
      <c r="X203" s="15"/>
      <c r="AA203" s="15"/>
      <c r="AD203" s="93"/>
      <c r="AE203"/>
      <c r="AF203"/>
      <c r="AG203"/>
      <c r="AH203"/>
      <c r="AI203"/>
      <c r="AJ203"/>
      <c r="AK203"/>
      <c r="AL203"/>
      <c r="AM203"/>
      <c r="AN203"/>
      <c r="AO203"/>
      <c r="AP203" s="15"/>
      <c r="AT203" s="15"/>
      <c r="AX203" s="15"/>
      <c r="BB203" s="15"/>
      <c r="BE203" s="15"/>
      <c r="BF203" s="15"/>
      <c r="BI203" s="15"/>
    </row>
    <row r="204" spans="1:61" s="3" customFormat="1" x14ac:dyDescent="0.3">
      <c r="A204" s="5"/>
      <c r="B204" s="15"/>
      <c r="C204" s="1"/>
      <c r="D204" s="1"/>
      <c r="E204" s="15"/>
      <c r="F204" s="15"/>
      <c r="G204" s="1"/>
      <c r="I204" s="15"/>
      <c r="J204" s="15"/>
      <c r="K204" s="1"/>
      <c r="L204" s="15"/>
      <c r="M204" s="1"/>
      <c r="N204" s="1"/>
      <c r="O204" s="15"/>
      <c r="P204" s="1"/>
      <c r="Q204" s="1"/>
      <c r="R204" s="15"/>
      <c r="S204" s="15"/>
      <c r="T204" s="15"/>
      <c r="U204" s="15"/>
      <c r="X204" s="15"/>
      <c r="AA204" s="15"/>
      <c r="AD204" s="93"/>
      <c r="AE204"/>
      <c r="AF204"/>
      <c r="AG204"/>
      <c r="AH204"/>
      <c r="AI204"/>
      <c r="AJ204"/>
      <c r="AK204"/>
      <c r="AL204"/>
      <c r="AM204"/>
      <c r="AN204"/>
      <c r="AO204"/>
      <c r="AP204" s="15"/>
      <c r="AT204" s="15"/>
      <c r="AX204" s="15"/>
      <c r="BB204" s="15"/>
      <c r="BE204" s="15"/>
      <c r="BF204" s="15"/>
      <c r="BI204" s="15"/>
    </row>
    <row r="205" spans="1:61" x14ac:dyDescent="0.3">
      <c r="C205" s="1"/>
      <c r="D205" s="1"/>
      <c r="G205" s="1"/>
      <c r="K205" s="1"/>
      <c r="M205" s="1"/>
      <c r="N205" s="1"/>
      <c r="P205" s="1"/>
      <c r="Q205" s="1"/>
      <c r="BG205" s="3"/>
      <c r="BH205" s="3"/>
    </row>
    <row r="206" spans="1:61" x14ac:dyDescent="0.3">
      <c r="C206" s="1"/>
      <c r="D206" s="1"/>
      <c r="G206" s="1"/>
      <c r="K206" s="1"/>
      <c r="M206" s="1"/>
      <c r="N206" s="1"/>
      <c r="P206" s="1"/>
      <c r="Q206" s="1"/>
      <c r="BG206" s="3"/>
      <c r="BH206" s="3"/>
    </row>
    <row r="207" spans="1:61" s="15" customFormat="1" x14ac:dyDescent="0.3">
      <c r="A207" s="5"/>
      <c r="C207" s="1"/>
      <c r="D207" s="1"/>
      <c r="G207" s="1"/>
      <c r="H207"/>
      <c r="K207" s="1"/>
      <c r="M207" s="1"/>
      <c r="N207" s="1"/>
      <c r="P207" s="1"/>
      <c r="Q207" s="1"/>
      <c r="V207"/>
      <c r="W207"/>
      <c r="Y207"/>
      <c r="Z207"/>
      <c r="AB207"/>
      <c r="AC207"/>
      <c r="AD207" s="93"/>
      <c r="AE207"/>
      <c r="AF207"/>
      <c r="AG207"/>
      <c r="AH207"/>
      <c r="AI207"/>
      <c r="AJ207"/>
      <c r="AK207"/>
      <c r="AL207"/>
      <c r="AM207"/>
      <c r="AN207"/>
      <c r="AO207"/>
      <c r="AQ207"/>
      <c r="AR207"/>
      <c r="AS207"/>
      <c r="AU207"/>
      <c r="AV207"/>
      <c r="AW207"/>
      <c r="AY207"/>
      <c r="AZ207"/>
      <c r="BA207"/>
      <c r="BC207"/>
      <c r="BD207"/>
      <c r="BG207" s="3"/>
      <c r="BH207" s="3"/>
    </row>
    <row r="208" spans="1:61" s="15" customFormat="1" x14ac:dyDescent="0.3">
      <c r="A208" s="5"/>
      <c r="C208" s="1"/>
      <c r="D208" s="1"/>
      <c r="G208" s="1"/>
      <c r="H208"/>
      <c r="K208" s="1"/>
      <c r="M208" s="1"/>
      <c r="N208" s="1"/>
      <c r="P208" s="1"/>
      <c r="Q208" s="1"/>
      <c r="V208"/>
      <c r="W208"/>
      <c r="Y208"/>
      <c r="Z208"/>
      <c r="AB208"/>
      <c r="AC208"/>
      <c r="AD208" s="93"/>
      <c r="AE208"/>
      <c r="AF208"/>
      <c r="AG208"/>
      <c r="AH208"/>
      <c r="AI208"/>
      <c r="AJ208"/>
      <c r="AK208"/>
      <c r="AL208"/>
      <c r="AM208"/>
      <c r="AN208"/>
      <c r="AO208"/>
      <c r="AQ208"/>
      <c r="AR208"/>
      <c r="AS208"/>
      <c r="AU208"/>
      <c r="AV208"/>
      <c r="AW208"/>
      <c r="AY208"/>
      <c r="AZ208"/>
      <c r="BA208"/>
      <c r="BC208"/>
      <c r="BD208"/>
      <c r="BG208" s="3"/>
      <c r="BH208" s="3"/>
    </row>
    <row r="209" spans="1:60" s="15" customFormat="1" x14ac:dyDescent="0.3">
      <c r="A209" s="5"/>
      <c r="C209" s="1"/>
      <c r="D209" s="1"/>
      <c r="G209" s="1"/>
      <c r="H209"/>
      <c r="K209" s="1"/>
      <c r="M209" s="1"/>
      <c r="N209" s="1"/>
      <c r="P209" s="1"/>
      <c r="Q209" s="1"/>
      <c r="V209"/>
      <c r="W209"/>
      <c r="Y209"/>
      <c r="Z209"/>
      <c r="AB209"/>
      <c r="AC209"/>
      <c r="AD209" s="93"/>
      <c r="AE209"/>
      <c r="AF209"/>
      <c r="AG209"/>
      <c r="AH209"/>
      <c r="AI209"/>
      <c r="AJ209"/>
      <c r="AK209"/>
      <c r="AL209"/>
      <c r="AM209"/>
      <c r="AN209"/>
      <c r="AO209"/>
      <c r="AQ209"/>
      <c r="AR209"/>
      <c r="AS209"/>
      <c r="AU209"/>
      <c r="AV209"/>
      <c r="AW209"/>
      <c r="AY209"/>
      <c r="AZ209"/>
      <c r="BA209"/>
      <c r="BC209"/>
      <c r="BD209"/>
      <c r="BG209" s="3"/>
      <c r="BH209" s="3"/>
    </row>
    <row r="210" spans="1:60" s="15" customFormat="1" x14ac:dyDescent="0.3">
      <c r="A210" s="5"/>
      <c r="C210" s="1"/>
      <c r="D210" s="1"/>
      <c r="G210" s="1"/>
      <c r="H210"/>
      <c r="K210" s="1"/>
      <c r="M210" s="1"/>
      <c r="N210" s="1"/>
      <c r="P210" s="1"/>
      <c r="Q210" s="1"/>
      <c r="V210"/>
      <c r="W210"/>
      <c r="Y210"/>
      <c r="Z210"/>
      <c r="AB210"/>
      <c r="AC210"/>
      <c r="AD210" s="93"/>
      <c r="AE210"/>
      <c r="AF210"/>
      <c r="AG210"/>
      <c r="AH210"/>
      <c r="AI210"/>
      <c r="AJ210"/>
      <c r="AK210"/>
      <c r="AL210"/>
      <c r="AM210"/>
      <c r="AN210"/>
      <c r="AO210"/>
      <c r="AQ210"/>
      <c r="AR210"/>
      <c r="AS210"/>
      <c r="AU210"/>
      <c r="AV210"/>
      <c r="AW210"/>
      <c r="AY210"/>
      <c r="AZ210"/>
      <c r="BA210"/>
      <c r="BC210"/>
      <c r="BD210"/>
      <c r="BG210" s="3"/>
      <c r="BH210" s="3"/>
    </row>
    <row r="211" spans="1:60" s="15" customFormat="1" x14ac:dyDescent="0.3">
      <c r="A211" s="5"/>
      <c r="C211" s="1"/>
      <c r="D211" s="1"/>
      <c r="G211" s="1"/>
      <c r="H211"/>
      <c r="K211" s="1"/>
      <c r="M211" s="1"/>
      <c r="N211" s="1"/>
      <c r="P211" s="1"/>
      <c r="Q211" s="1"/>
      <c r="V211"/>
      <c r="W211"/>
      <c r="Y211"/>
      <c r="Z211"/>
      <c r="AB211"/>
      <c r="AC211"/>
      <c r="AD211" s="93"/>
      <c r="AE211"/>
      <c r="AF211"/>
      <c r="AG211"/>
      <c r="AH211"/>
      <c r="AI211"/>
      <c r="AJ211"/>
      <c r="AK211"/>
      <c r="AL211"/>
      <c r="AM211"/>
      <c r="AN211"/>
      <c r="AO211"/>
      <c r="AQ211"/>
      <c r="AR211"/>
      <c r="AS211"/>
      <c r="AU211"/>
      <c r="AV211"/>
      <c r="AW211"/>
      <c r="AY211"/>
      <c r="AZ211"/>
      <c r="BA211"/>
      <c r="BC211"/>
      <c r="BD211"/>
      <c r="BG211" s="3"/>
      <c r="BH211" s="3"/>
    </row>
    <row r="212" spans="1:60" s="15" customFormat="1" x14ac:dyDescent="0.3">
      <c r="A212" s="5"/>
      <c r="C212" s="1"/>
      <c r="D212" s="1"/>
      <c r="G212" s="1"/>
      <c r="H212"/>
      <c r="K212" s="1"/>
      <c r="M212" s="1"/>
      <c r="N212" s="1"/>
      <c r="P212" s="1"/>
      <c r="Q212" s="1"/>
      <c r="V212"/>
      <c r="W212"/>
      <c r="Y212"/>
      <c r="Z212"/>
      <c r="AB212"/>
      <c r="AC212"/>
      <c r="AD212" s="93"/>
      <c r="AE212"/>
      <c r="AF212"/>
      <c r="AG212"/>
      <c r="AH212"/>
      <c r="AI212"/>
      <c r="AJ212"/>
      <c r="AK212"/>
      <c r="AL212"/>
      <c r="AM212"/>
      <c r="AN212"/>
      <c r="AO212"/>
      <c r="AQ212"/>
      <c r="AR212"/>
      <c r="AS212"/>
      <c r="AU212"/>
      <c r="AV212"/>
      <c r="AW212"/>
      <c r="AY212"/>
      <c r="AZ212"/>
      <c r="BA212"/>
      <c r="BC212"/>
      <c r="BD212"/>
      <c r="BG212" s="3"/>
      <c r="BH212" s="3"/>
    </row>
    <row r="213" spans="1:60" s="15" customFormat="1" x14ac:dyDescent="0.3">
      <c r="A213" s="5"/>
      <c r="C213" s="1"/>
      <c r="D213" s="1"/>
      <c r="G213" s="1"/>
      <c r="H213"/>
      <c r="K213" s="1"/>
      <c r="M213" s="1"/>
      <c r="N213" s="1"/>
      <c r="P213" s="1"/>
      <c r="Q213" s="1"/>
      <c r="V213"/>
      <c r="W213"/>
      <c r="Y213"/>
      <c r="Z213"/>
      <c r="AB213"/>
      <c r="AC213"/>
      <c r="AD213" s="93"/>
      <c r="AE213"/>
      <c r="AF213"/>
      <c r="AG213"/>
      <c r="AH213"/>
      <c r="AI213"/>
      <c r="AJ213"/>
      <c r="AK213"/>
      <c r="AL213"/>
      <c r="AM213"/>
      <c r="AN213"/>
      <c r="AO213"/>
      <c r="AQ213"/>
      <c r="AR213"/>
      <c r="AS213"/>
      <c r="AU213"/>
      <c r="AV213"/>
      <c r="AW213"/>
      <c r="AY213"/>
      <c r="AZ213"/>
      <c r="BA213"/>
      <c r="BC213"/>
      <c r="BD213"/>
      <c r="BG213" s="3"/>
      <c r="BH213" s="3"/>
    </row>
    <row r="214" spans="1:60" s="15" customFormat="1" x14ac:dyDescent="0.3">
      <c r="A214" s="5"/>
      <c r="C214" s="1"/>
      <c r="D214" s="1"/>
      <c r="G214" s="1"/>
      <c r="H214"/>
      <c r="K214" s="1"/>
      <c r="M214" s="1"/>
      <c r="N214" s="1"/>
      <c r="P214" s="1"/>
      <c r="Q214" s="1"/>
      <c r="V214"/>
      <c r="W214"/>
      <c r="Y214"/>
      <c r="Z214"/>
      <c r="AB214"/>
      <c r="AC214"/>
      <c r="AD214" s="93"/>
      <c r="AE214"/>
      <c r="AF214"/>
      <c r="AG214"/>
      <c r="AH214"/>
      <c r="AI214"/>
      <c r="AJ214"/>
      <c r="AK214"/>
      <c r="AL214"/>
      <c r="AM214"/>
      <c r="AN214"/>
      <c r="AO214"/>
      <c r="AQ214"/>
      <c r="AR214"/>
      <c r="AS214"/>
      <c r="AU214"/>
      <c r="AV214"/>
      <c r="AW214"/>
      <c r="AY214"/>
      <c r="AZ214"/>
      <c r="BA214"/>
      <c r="BC214"/>
      <c r="BD214"/>
      <c r="BG214" s="3"/>
      <c r="BH214" s="3"/>
    </row>
    <row r="215" spans="1:60" s="15" customFormat="1" x14ac:dyDescent="0.3">
      <c r="A215" s="5"/>
      <c r="C215" s="1"/>
      <c r="D215" s="1"/>
      <c r="G215" s="1"/>
      <c r="H215"/>
      <c r="K215" s="1"/>
      <c r="M215" s="1"/>
      <c r="N215" s="1"/>
      <c r="P215" s="1"/>
      <c r="Q215" s="1"/>
      <c r="V215"/>
      <c r="W215"/>
      <c r="Y215"/>
      <c r="Z215"/>
      <c r="AB215"/>
      <c r="AC215"/>
      <c r="AD215" s="93"/>
      <c r="AE215"/>
      <c r="AF215"/>
      <c r="AG215"/>
      <c r="AH215"/>
      <c r="AI215"/>
      <c r="AJ215"/>
      <c r="AK215"/>
      <c r="AL215"/>
      <c r="AM215"/>
      <c r="AN215"/>
      <c r="AO215"/>
      <c r="AQ215"/>
      <c r="AR215"/>
      <c r="AS215"/>
      <c r="AU215"/>
      <c r="AV215"/>
      <c r="AW215"/>
      <c r="AY215"/>
      <c r="AZ215"/>
      <c r="BA215"/>
      <c r="BC215"/>
      <c r="BD215"/>
      <c r="BG215" s="3"/>
      <c r="BH215" s="3"/>
    </row>
    <row r="216" spans="1:60" s="15" customFormat="1" x14ac:dyDescent="0.3">
      <c r="A216" s="5"/>
      <c r="C216" s="1"/>
      <c r="D216" s="1"/>
      <c r="G216" s="1"/>
      <c r="H216"/>
      <c r="K216" s="1"/>
      <c r="M216" s="1"/>
      <c r="N216" s="1"/>
      <c r="P216" s="1"/>
      <c r="Q216" s="1"/>
      <c r="V216"/>
      <c r="W216"/>
      <c r="Y216"/>
      <c r="Z216"/>
      <c r="AB216"/>
      <c r="AC216"/>
      <c r="AD216" s="93"/>
      <c r="AE216"/>
      <c r="AF216"/>
      <c r="AG216"/>
      <c r="AH216"/>
      <c r="AI216"/>
      <c r="AJ216"/>
      <c r="AK216"/>
      <c r="AL216"/>
      <c r="AM216"/>
      <c r="AN216"/>
      <c r="AO216"/>
      <c r="AQ216"/>
      <c r="AR216"/>
      <c r="AS216"/>
      <c r="AU216"/>
      <c r="AV216"/>
      <c r="AW216"/>
      <c r="AY216"/>
      <c r="AZ216"/>
      <c r="BA216"/>
      <c r="BC216"/>
      <c r="BD216"/>
      <c r="BG216" s="3"/>
      <c r="BH216" s="3"/>
    </row>
    <row r="217" spans="1:60" s="15" customFormat="1" x14ac:dyDescent="0.3">
      <c r="A217" s="5"/>
      <c r="C217" s="1"/>
      <c r="D217" s="1"/>
      <c r="G217" s="1"/>
      <c r="H217"/>
      <c r="K217" s="1"/>
      <c r="M217" s="1"/>
      <c r="N217" s="1"/>
      <c r="P217" s="1"/>
      <c r="Q217" s="1"/>
      <c r="V217"/>
      <c r="W217"/>
      <c r="Y217"/>
      <c r="Z217"/>
      <c r="AB217"/>
      <c r="AC217"/>
      <c r="AD217" s="93"/>
      <c r="AE217"/>
      <c r="AF217"/>
      <c r="AG217"/>
      <c r="AH217"/>
      <c r="AI217"/>
      <c r="AJ217"/>
      <c r="AK217"/>
      <c r="AL217"/>
      <c r="AM217"/>
      <c r="AN217"/>
      <c r="AO217"/>
      <c r="AQ217"/>
      <c r="AR217"/>
      <c r="AS217"/>
      <c r="AU217"/>
      <c r="AV217"/>
      <c r="AW217"/>
      <c r="AY217"/>
      <c r="AZ217"/>
      <c r="BA217"/>
      <c r="BC217"/>
      <c r="BD217"/>
      <c r="BG217" s="3"/>
      <c r="BH217" s="3"/>
    </row>
    <row r="218" spans="1:60" s="15" customFormat="1" x14ac:dyDescent="0.3">
      <c r="A218" s="5"/>
      <c r="C218" s="1"/>
      <c r="D218" s="1"/>
      <c r="G218" s="1"/>
      <c r="H218"/>
      <c r="K218" s="1"/>
      <c r="M218" s="1"/>
      <c r="N218" s="1"/>
      <c r="P218" s="1"/>
      <c r="Q218" s="1"/>
      <c r="V218"/>
      <c r="W218"/>
      <c r="Y218"/>
      <c r="Z218"/>
      <c r="AB218"/>
      <c r="AC218"/>
      <c r="AD218" s="93"/>
      <c r="AE218"/>
      <c r="AF218"/>
      <c r="AG218"/>
      <c r="AH218"/>
      <c r="AI218"/>
      <c r="AJ218"/>
      <c r="AK218"/>
      <c r="AL218"/>
      <c r="AM218"/>
      <c r="AN218"/>
      <c r="AO218"/>
      <c r="AQ218"/>
      <c r="AR218"/>
      <c r="AS218"/>
      <c r="AU218"/>
      <c r="AV218"/>
      <c r="AW218"/>
      <c r="AY218"/>
      <c r="AZ218"/>
      <c r="BA218"/>
      <c r="BC218"/>
      <c r="BD218"/>
      <c r="BG218" s="3"/>
      <c r="BH218" s="3"/>
    </row>
    <row r="219" spans="1:60" s="15" customFormat="1" x14ac:dyDescent="0.3">
      <c r="A219" s="5"/>
      <c r="C219" s="1"/>
      <c r="D219" s="1"/>
      <c r="G219" s="1"/>
      <c r="H219"/>
      <c r="K219" s="1"/>
      <c r="M219" s="1"/>
      <c r="N219" s="1"/>
      <c r="P219" s="1"/>
      <c r="Q219" s="1"/>
      <c r="V219"/>
      <c r="W219"/>
      <c r="Y219"/>
      <c r="Z219"/>
      <c r="AB219"/>
      <c r="AC219"/>
      <c r="AD219" s="93"/>
      <c r="AE219"/>
      <c r="AF219"/>
      <c r="AG219"/>
      <c r="AH219"/>
      <c r="AI219"/>
      <c r="AJ219"/>
      <c r="AK219"/>
      <c r="AL219"/>
      <c r="AM219"/>
      <c r="AN219"/>
      <c r="AO219"/>
      <c r="AQ219"/>
      <c r="AR219"/>
      <c r="AS219"/>
      <c r="AU219"/>
      <c r="AV219"/>
      <c r="AW219"/>
      <c r="AY219"/>
      <c r="AZ219"/>
      <c r="BA219"/>
      <c r="BC219"/>
      <c r="BD219"/>
      <c r="BG219" s="3"/>
      <c r="BH219" s="3"/>
    </row>
    <row r="220" spans="1:60" s="15" customFormat="1" x14ac:dyDescent="0.3">
      <c r="A220" s="5"/>
      <c r="C220" s="1"/>
      <c r="D220" s="1"/>
      <c r="G220" s="1"/>
      <c r="H220"/>
      <c r="K220" s="1"/>
      <c r="M220" s="1"/>
      <c r="N220" s="1"/>
      <c r="P220" s="1"/>
      <c r="Q220" s="1"/>
      <c r="V220"/>
      <c r="W220"/>
      <c r="Y220"/>
      <c r="Z220"/>
      <c r="AB220"/>
      <c r="AC220"/>
      <c r="AD220" s="93"/>
      <c r="AE220"/>
      <c r="AF220"/>
      <c r="AG220"/>
      <c r="AH220"/>
      <c r="AI220"/>
      <c r="AJ220"/>
      <c r="AK220"/>
      <c r="AL220"/>
      <c r="AM220"/>
      <c r="AN220"/>
      <c r="AO220"/>
      <c r="AQ220"/>
      <c r="AR220"/>
      <c r="AS220"/>
      <c r="AU220"/>
      <c r="AV220"/>
      <c r="AW220"/>
      <c r="AY220"/>
      <c r="AZ220"/>
      <c r="BA220"/>
      <c r="BC220"/>
      <c r="BD220"/>
      <c r="BG220" s="3"/>
      <c r="BH220" s="3"/>
    </row>
    <row r="221" spans="1:60" s="15" customFormat="1" x14ac:dyDescent="0.3">
      <c r="A221" s="5"/>
      <c r="C221" s="1"/>
      <c r="D221" s="1"/>
      <c r="G221" s="1"/>
      <c r="H221"/>
      <c r="K221" s="1"/>
      <c r="M221" s="1"/>
      <c r="N221" s="1"/>
      <c r="P221" s="1"/>
      <c r="Q221" s="1"/>
      <c r="V221"/>
      <c r="W221"/>
      <c r="Y221"/>
      <c r="Z221"/>
      <c r="AB221"/>
      <c r="AC221"/>
      <c r="AD221" s="93"/>
      <c r="AE221"/>
      <c r="AF221"/>
      <c r="AG221"/>
      <c r="AH221"/>
      <c r="AI221"/>
      <c r="AJ221"/>
      <c r="AK221"/>
      <c r="AL221"/>
      <c r="AM221"/>
      <c r="AN221"/>
      <c r="AO221"/>
      <c r="AQ221"/>
      <c r="AR221"/>
      <c r="AS221"/>
      <c r="AU221"/>
      <c r="AV221"/>
      <c r="AW221"/>
      <c r="AY221"/>
      <c r="AZ221"/>
      <c r="BA221"/>
      <c r="BC221"/>
      <c r="BD221"/>
      <c r="BG221" s="3"/>
      <c r="BH221" s="3"/>
    </row>
    <row r="222" spans="1:60" s="15" customFormat="1" x14ac:dyDescent="0.3">
      <c r="A222" s="5"/>
      <c r="C222" s="1"/>
      <c r="D222" s="1"/>
      <c r="G222" s="1"/>
      <c r="H222"/>
      <c r="K222" s="1"/>
      <c r="M222" s="1"/>
      <c r="N222" s="1"/>
      <c r="P222" s="1"/>
      <c r="Q222" s="1"/>
      <c r="V222"/>
      <c r="W222"/>
      <c r="Y222"/>
      <c r="Z222"/>
      <c r="AB222"/>
      <c r="AC222"/>
      <c r="AD222" s="93"/>
      <c r="AE222"/>
      <c r="AF222"/>
      <c r="AG222"/>
      <c r="AH222"/>
      <c r="AI222"/>
      <c r="AJ222"/>
      <c r="AK222"/>
      <c r="AL222"/>
      <c r="AM222"/>
      <c r="AN222"/>
      <c r="AO222"/>
      <c r="AQ222"/>
      <c r="AR222"/>
      <c r="AS222"/>
      <c r="AU222"/>
      <c r="AV222"/>
      <c r="AW222"/>
      <c r="AY222"/>
      <c r="AZ222"/>
      <c r="BA222"/>
      <c r="BC222"/>
      <c r="BD222"/>
      <c r="BG222" s="3"/>
      <c r="BH222" s="3"/>
    </row>
    <row r="223" spans="1:60" s="15" customFormat="1" x14ac:dyDescent="0.3">
      <c r="A223" s="5"/>
      <c r="C223" s="1"/>
      <c r="D223" s="1"/>
      <c r="G223" s="1"/>
      <c r="H223"/>
      <c r="K223" s="1"/>
      <c r="M223" s="1"/>
      <c r="N223" s="1"/>
      <c r="P223" s="1"/>
      <c r="Q223" s="1"/>
      <c r="V223"/>
      <c r="W223"/>
      <c r="Y223"/>
      <c r="Z223"/>
      <c r="AB223"/>
      <c r="AC223"/>
      <c r="AD223" s="93"/>
      <c r="AE223"/>
      <c r="AF223"/>
      <c r="AG223"/>
      <c r="AH223"/>
      <c r="AI223"/>
      <c r="AJ223"/>
      <c r="AK223"/>
      <c r="AL223"/>
      <c r="AM223"/>
      <c r="AN223"/>
      <c r="AO223"/>
      <c r="AQ223"/>
      <c r="AR223"/>
      <c r="AS223"/>
      <c r="AU223"/>
      <c r="AV223"/>
      <c r="AW223"/>
      <c r="AY223"/>
      <c r="AZ223"/>
      <c r="BA223"/>
      <c r="BC223"/>
      <c r="BD223"/>
      <c r="BG223" s="3"/>
      <c r="BH223" s="3"/>
    </row>
    <row r="224" spans="1:60" s="15" customFormat="1" x14ac:dyDescent="0.3">
      <c r="A224" s="5"/>
      <c r="C224" s="1"/>
      <c r="D224" s="1"/>
      <c r="G224" s="1"/>
      <c r="H224"/>
      <c r="K224" s="1"/>
      <c r="M224" s="1"/>
      <c r="N224" s="1"/>
      <c r="P224" s="1"/>
      <c r="Q224" s="1"/>
      <c r="V224"/>
      <c r="W224"/>
      <c r="Y224"/>
      <c r="Z224"/>
      <c r="AB224"/>
      <c r="AC224"/>
      <c r="AD224" s="93"/>
      <c r="AE224"/>
      <c r="AF224"/>
      <c r="AG224"/>
      <c r="AH224"/>
      <c r="AI224"/>
      <c r="AJ224"/>
      <c r="AK224"/>
      <c r="AL224"/>
      <c r="AM224"/>
      <c r="AN224"/>
      <c r="AO224"/>
      <c r="AQ224"/>
      <c r="AR224"/>
      <c r="AS224"/>
      <c r="AU224"/>
      <c r="AV224"/>
      <c r="AW224"/>
      <c r="AY224"/>
      <c r="AZ224"/>
      <c r="BA224"/>
      <c r="BC224"/>
      <c r="BD224"/>
      <c r="BG224" s="3"/>
      <c r="BH224" s="3"/>
    </row>
    <row r="225" spans="1:60" s="15" customFormat="1" x14ac:dyDescent="0.3">
      <c r="A225" s="5"/>
      <c r="C225" s="1"/>
      <c r="D225" s="1"/>
      <c r="G225" s="1"/>
      <c r="H225"/>
      <c r="K225" s="1"/>
      <c r="M225" s="1"/>
      <c r="N225" s="1"/>
      <c r="P225" s="1"/>
      <c r="Q225" s="1"/>
      <c r="V225"/>
      <c r="W225"/>
      <c r="Y225"/>
      <c r="Z225"/>
      <c r="AB225"/>
      <c r="AC225"/>
      <c r="AD225" s="93"/>
      <c r="AE225"/>
      <c r="AF225"/>
      <c r="AG225"/>
      <c r="AH225"/>
      <c r="AI225"/>
      <c r="AJ225"/>
      <c r="AK225"/>
      <c r="AL225"/>
      <c r="AM225"/>
      <c r="AN225"/>
      <c r="AO225"/>
      <c r="AQ225"/>
      <c r="AR225"/>
      <c r="AS225"/>
      <c r="AU225"/>
      <c r="AV225"/>
      <c r="AW225"/>
      <c r="AY225"/>
      <c r="AZ225"/>
      <c r="BA225"/>
      <c r="BC225"/>
      <c r="BD225"/>
      <c r="BG225" s="3"/>
      <c r="BH225" s="3"/>
    </row>
    <row r="226" spans="1:60" s="15" customFormat="1" x14ac:dyDescent="0.3">
      <c r="A226" s="5"/>
      <c r="C226" s="1"/>
      <c r="D226" s="1"/>
      <c r="G226" s="1"/>
      <c r="H226"/>
      <c r="K226" s="1"/>
      <c r="M226" s="1"/>
      <c r="N226" s="1"/>
      <c r="P226" s="1"/>
      <c r="Q226" s="1"/>
      <c r="V226"/>
      <c r="W226"/>
      <c r="Y226"/>
      <c r="Z226"/>
      <c r="AB226"/>
      <c r="AC226"/>
      <c r="AD226" s="93"/>
      <c r="AE226"/>
      <c r="AF226"/>
      <c r="AG226"/>
      <c r="AH226"/>
      <c r="AI226"/>
      <c r="AJ226"/>
      <c r="AK226"/>
      <c r="AL226"/>
      <c r="AM226"/>
      <c r="AN226"/>
      <c r="AO226"/>
      <c r="AQ226"/>
      <c r="AR226"/>
      <c r="AS226"/>
      <c r="AU226"/>
      <c r="AV226"/>
      <c r="AW226"/>
      <c r="AY226"/>
      <c r="AZ226"/>
      <c r="BA226"/>
      <c r="BC226"/>
      <c r="BD226"/>
      <c r="BG226" s="3"/>
      <c r="BH226" s="3"/>
    </row>
    <row r="227" spans="1:60" s="15" customFormat="1" x14ac:dyDescent="0.3">
      <c r="A227" s="5"/>
      <c r="C227" s="1"/>
      <c r="D227" s="1"/>
      <c r="G227" s="1"/>
      <c r="H227"/>
      <c r="K227" s="1"/>
      <c r="M227" s="1"/>
      <c r="N227" s="1"/>
      <c r="P227" s="1"/>
      <c r="Q227" s="1"/>
      <c r="V227"/>
      <c r="W227"/>
      <c r="Y227"/>
      <c r="Z227"/>
      <c r="AB227"/>
      <c r="AC227"/>
      <c r="AD227" s="93"/>
      <c r="AE227"/>
      <c r="AF227"/>
      <c r="AG227"/>
      <c r="AH227"/>
      <c r="AI227"/>
      <c r="AJ227"/>
      <c r="AK227"/>
      <c r="AL227"/>
      <c r="AM227"/>
      <c r="AN227"/>
      <c r="AO227"/>
      <c r="AQ227"/>
      <c r="AR227"/>
      <c r="AS227"/>
      <c r="AU227"/>
      <c r="AV227"/>
      <c r="AW227"/>
      <c r="AY227"/>
      <c r="AZ227"/>
      <c r="BA227"/>
      <c r="BC227"/>
      <c r="BD227"/>
      <c r="BG227" s="3"/>
      <c r="BH227" s="3"/>
    </row>
    <row r="228" spans="1:60" s="15" customFormat="1" x14ac:dyDescent="0.3">
      <c r="A228" s="5"/>
      <c r="C228" s="1"/>
      <c r="D228" s="1"/>
      <c r="G228" s="1"/>
      <c r="H228"/>
      <c r="K228" s="1"/>
      <c r="M228" s="1"/>
      <c r="N228" s="1"/>
      <c r="P228" s="1"/>
      <c r="Q228" s="1"/>
      <c r="V228"/>
      <c r="W228"/>
      <c r="Y228"/>
      <c r="Z228"/>
      <c r="AB228"/>
      <c r="AC228"/>
      <c r="AD228" s="93"/>
      <c r="AE228"/>
      <c r="AF228"/>
      <c r="AG228"/>
      <c r="AH228"/>
      <c r="AI228"/>
      <c r="AJ228"/>
      <c r="AK228"/>
      <c r="AL228"/>
      <c r="AM228"/>
      <c r="AN228"/>
      <c r="AO228"/>
      <c r="AQ228"/>
      <c r="AR228"/>
      <c r="AS228"/>
      <c r="AU228"/>
      <c r="AV228"/>
      <c r="AW228"/>
      <c r="AY228"/>
      <c r="AZ228"/>
      <c r="BA228"/>
      <c r="BC228"/>
      <c r="BD228"/>
      <c r="BG228" s="3"/>
      <c r="BH228" s="3"/>
    </row>
    <row r="229" spans="1:60" s="15" customFormat="1" x14ac:dyDescent="0.3">
      <c r="A229" s="5"/>
      <c r="C229" s="1"/>
      <c r="D229" s="1"/>
      <c r="G229" s="1"/>
      <c r="H229"/>
      <c r="K229" s="1"/>
      <c r="M229" s="1"/>
      <c r="N229" s="1"/>
      <c r="P229" s="1"/>
      <c r="Q229" s="1"/>
      <c r="V229"/>
      <c r="W229"/>
      <c r="Y229"/>
      <c r="Z229"/>
      <c r="AB229"/>
      <c r="AC229"/>
      <c r="AD229" s="93"/>
      <c r="AE229"/>
      <c r="AF229"/>
      <c r="AG229"/>
      <c r="AH229"/>
      <c r="AI229"/>
      <c r="AJ229"/>
      <c r="AK229"/>
      <c r="AL229"/>
      <c r="AM229"/>
      <c r="AN229"/>
      <c r="AO229"/>
      <c r="AQ229"/>
      <c r="AR229"/>
      <c r="AS229"/>
      <c r="AU229"/>
      <c r="AV229"/>
      <c r="AW229"/>
      <c r="AY229"/>
      <c r="AZ229"/>
      <c r="BA229"/>
      <c r="BC229"/>
      <c r="BD229"/>
      <c r="BG229" s="3"/>
      <c r="BH229" s="3"/>
    </row>
    <row r="230" spans="1:60" s="15" customFormat="1" x14ac:dyDescent="0.3">
      <c r="A230" s="5"/>
      <c r="C230" s="1"/>
      <c r="D230" s="1"/>
      <c r="G230" s="1"/>
      <c r="H230"/>
      <c r="K230" s="1"/>
      <c r="M230" s="1"/>
      <c r="N230" s="1"/>
      <c r="P230" s="1"/>
      <c r="Q230" s="1"/>
      <c r="V230"/>
      <c r="W230"/>
      <c r="Y230"/>
      <c r="Z230"/>
      <c r="AB230"/>
      <c r="AC230"/>
      <c r="AD230" s="93"/>
      <c r="AE230"/>
      <c r="AF230"/>
      <c r="AG230"/>
      <c r="AH230"/>
      <c r="AI230"/>
      <c r="AJ230"/>
      <c r="AK230"/>
      <c r="AL230"/>
      <c r="AM230"/>
      <c r="AN230"/>
      <c r="AO230"/>
      <c r="AQ230"/>
      <c r="AR230"/>
      <c r="AS230"/>
      <c r="AU230"/>
      <c r="AV230"/>
      <c r="AW230"/>
      <c r="AY230"/>
      <c r="AZ230"/>
      <c r="BA230"/>
      <c r="BC230"/>
      <c r="BD230"/>
      <c r="BG230" s="3"/>
      <c r="BH230" s="3"/>
    </row>
    <row r="231" spans="1:60" s="15" customFormat="1" x14ac:dyDescent="0.3">
      <c r="A231" s="5"/>
      <c r="C231" s="1"/>
      <c r="D231" s="1"/>
      <c r="G231" s="1"/>
      <c r="H231"/>
      <c r="K231" s="1"/>
      <c r="M231" s="1"/>
      <c r="N231" s="1"/>
      <c r="P231" s="1"/>
      <c r="Q231" s="1"/>
      <c r="V231"/>
      <c r="W231"/>
      <c r="Y231"/>
      <c r="Z231"/>
      <c r="AB231"/>
      <c r="AC231"/>
      <c r="AD231" s="93"/>
      <c r="AE231"/>
      <c r="AF231"/>
      <c r="AG231"/>
      <c r="AH231"/>
      <c r="AI231"/>
      <c r="AJ231"/>
      <c r="AK231"/>
      <c r="AL231"/>
      <c r="AM231"/>
      <c r="AN231"/>
      <c r="AO231"/>
      <c r="AQ231"/>
      <c r="AR231"/>
      <c r="AS231"/>
      <c r="AU231"/>
      <c r="AV231"/>
      <c r="AW231"/>
      <c r="AY231"/>
      <c r="AZ231"/>
      <c r="BA231"/>
      <c r="BC231"/>
      <c r="BD231"/>
      <c r="BG231" s="3"/>
      <c r="BH231" s="3"/>
    </row>
    <row r="232" spans="1:60" s="15" customFormat="1" x14ac:dyDescent="0.3">
      <c r="A232" s="5"/>
      <c r="C232" s="1"/>
      <c r="D232" s="1"/>
      <c r="G232" s="1"/>
      <c r="H232"/>
      <c r="K232" s="1"/>
      <c r="M232" s="1"/>
      <c r="N232" s="1"/>
      <c r="P232" s="1"/>
      <c r="Q232" s="1"/>
      <c r="V232"/>
      <c r="W232"/>
      <c r="Y232"/>
      <c r="Z232"/>
      <c r="AB232"/>
      <c r="AC232"/>
      <c r="AD232" s="93"/>
      <c r="AE232"/>
      <c r="AF232"/>
      <c r="AG232"/>
      <c r="AH232"/>
      <c r="AI232"/>
      <c r="AJ232"/>
      <c r="AK232"/>
      <c r="AL232"/>
      <c r="AM232"/>
      <c r="AN232"/>
      <c r="AO232"/>
      <c r="AQ232"/>
      <c r="AR232"/>
      <c r="AS232"/>
      <c r="AU232"/>
      <c r="AV232"/>
      <c r="AW232"/>
      <c r="AY232"/>
      <c r="AZ232"/>
      <c r="BA232"/>
      <c r="BC232"/>
      <c r="BD232"/>
      <c r="BG232" s="3"/>
      <c r="BH232" s="3"/>
    </row>
    <row r="233" spans="1:60" s="15" customFormat="1" x14ac:dyDescent="0.3">
      <c r="A233" s="5"/>
      <c r="C233" s="1"/>
      <c r="D233" s="1"/>
      <c r="G233" s="1"/>
      <c r="H233"/>
      <c r="K233" s="1"/>
      <c r="M233" s="1"/>
      <c r="N233" s="1"/>
      <c r="P233" s="1"/>
      <c r="Q233" s="1"/>
      <c r="V233"/>
      <c r="W233"/>
      <c r="Y233"/>
      <c r="Z233"/>
      <c r="AB233"/>
      <c r="AC233"/>
      <c r="AD233" s="93"/>
      <c r="AE233"/>
      <c r="AF233"/>
      <c r="AG233"/>
      <c r="AH233"/>
      <c r="AI233"/>
      <c r="AJ233"/>
      <c r="AK233"/>
      <c r="AL233"/>
      <c r="AM233"/>
      <c r="AN233"/>
      <c r="AO233"/>
      <c r="AQ233"/>
      <c r="AR233"/>
      <c r="AS233"/>
      <c r="AU233"/>
      <c r="AV233"/>
      <c r="AW233"/>
      <c r="AY233"/>
      <c r="AZ233"/>
      <c r="BA233"/>
      <c r="BC233"/>
      <c r="BD233"/>
      <c r="BG233" s="3"/>
      <c r="BH233" s="3"/>
    </row>
    <row r="234" spans="1:60" s="15" customFormat="1" x14ac:dyDescent="0.3">
      <c r="A234" s="5"/>
      <c r="C234" s="1"/>
      <c r="D234" s="1"/>
      <c r="G234" s="1"/>
      <c r="H234"/>
      <c r="K234" s="1"/>
      <c r="M234" s="1"/>
      <c r="N234" s="1"/>
      <c r="P234" s="1"/>
      <c r="Q234" s="1"/>
      <c r="V234"/>
      <c r="W234"/>
      <c r="Y234"/>
      <c r="Z234"/>
      <c r="AB234"/>
      <c r="AC234"/>
      <c r="AD234" s="93"/>
      <c r="AE234"/>
      <c r="AF234"/>
      <c r="AG234"/>
      <c r="AH234"/>
      <c r="AI234"/>
      <c r="AJ234"/>
      <c r="AK234"/>
      <c r="AL234"/>
      <c r="AM234"/>
      <c r="AN234"/>
      <c r="AO234"/>
      <c r="AQ234"/>
      <c r="AR234"/>
      <c r="AS234"/>
      <c r="AU234"/>
      <c r="AV234"/>
      <c r="AW234"/>
      <c r="AY234"/>
      <c r="AZ234"/>
      <c r="BA234"/>
      <c r="BC234"/>
      <c r="BD234"/>
      <c r="BG234" s="3"/>
      <c r="BH234" s="3"/>
    </row>
    <row r="235" spans="1:60" s="15" customFormat="1" x14ac:dyDescent="0.3">
      <c r="A235" s="5"/>
      <c r="C235" s="1"/>
      <c r="D235" s="1"/>
      <c r="G235" s="1"/>
      <c r="H235"/>
      <c r="K235" s="1"/>
      <c r="M235" s="1"/>
      <c r="N235" s="1"/>
      <c r="P235" s="1"/>
      <c r="Q235" s="1"/>
      <c r="V235"/>
      <c r="W235"/>
      <c r="Y235"/>
      <c r="Z235"/>
      <c r="AB235"/>
      <c r="AC235"/>
      <c r="AD235" s="93"/>
      <c r="AE235"/>
      <c r="AF235"/>
      <c r="AG235"/>
      <c r="AH235"/>
      <c r="AI235"/>
      <c r="AJ235"/>
      <c r="AK235"/>
      <c r="AL235"/>
      <c r="AM235"/>
      <c r="AN235"/>
      <c r="AO235"/>
      <c r="AQ235"/>
      <c r="AR235"/>
      <c r="AS235"/>
      <c r="AU235"/>
      <c r="AV235"/>
      <c r="AW235"/>
      <c r="AY235"/>
      <c r="AZ235"/>
      <c r="BA235"/>
      <c r="BC235"/>
      <c r="BD235"/>
      <c r="BG235" s="3"/>
      <c r="BH235" s="3"/>
    </row>
    <row r="236" spans="1:60" s="15" customFormat="1" x14ac:dyDescent="0.3">
      <c r="A236" s="5"/>
      <c r="C236" s="1"/>
      <c r="D236" s="1"/>
      <c r="G236" s="1"/>
      <c r="H236"/>
      <c r="K236" s="1"/>
      <c r="M236" s="1"/>
      <c r="N236" s="1"/>
      <c r="P236" s="1"/>
      <c r="Q236" s="1"/>
      <c r="V236"/>
      <c r="W236"/>
      <c r="Y236"/>
      <c r="Z236"/>
      <c r="AB236"/>
      <c r="AC236"/>
      <c r="AD236" s="93"/>
      <c r="AE236"/>
      <c r="AF236"/>
      <c r="AG236"/>
      <c r="AH236"/>
      <c r="AI236"/>
      <c r="AJ236"/>
      <c r="AK236"/>
      <c r="AL236"/>
      <c r="AM236"/>
      <c r="AN236"/>
      <c r="AO236"/>
      <c r="AQ236"/>
      <c r="AR236"/>
      <c r="AS236"/>
      <c r="AU236"/>
      <c r="AV236"/>
      <c r="AW236"/>
      <c r="AY236"/>
      <c r="AZ236"/>
      <c r="BA236"/>
      <c r="BC236"/>
      <c r="BD236"/>
      <c r="BG236" s="3"/>
      <c r="BH236" s="3"/>
    </row>
    <row r="237" spans="1:60" s="15" customFormat="1" x14ac:dyDescent="0.3">
      <c r="A237" s="5"/>
      <c r="C237" s="1"/>
      <c r="D237" s="1"/>
      <c r="G237" s="1"/>
      <c r="H237"/>
      <c r="K237" s="1"/>
      <c r="M237" s="1"/>
      <c r="N237" s="1"/>
      <c r="P237" s="1"/>
      <c r="Q237" s="1"/>
      <c r="V237"/>
      <c r="W237"/>
      <c r="Y237"/>
      <c r="Z237"/>
      <c r="AB237"/>
      <c r="AC237"/>
      <c r="AD237" s="93"/>
      <c r="AE237"/>
      <c r="AF237"/>
      <c r="AG237"/>
      <c r="AH237"/>
      <c r="AI237"/>
      <c r="AJ237"/>
      <c r="AK237"/>
      <c r="AL237"/>
      <c r="AM237"/>
      <c r="AN237"/>
      <c r="AO237"/>
      <c r="AQ237"/>
      <c r="AR237"/>
      <c r="AS237"/>
      <c r="AU237"/>
      <c r="AV237"/>
      <c r="AW237"/>
      <c r="AY237"/>
      <c r="AZ237"/>
      <c r="BA237"/>
      <c r="BC237"/>
      <c r="BD237"/>
      <c r="BG237" s="3"/>
      <c r="BH237" s="3"/>
    </row>
    <row r="238" spans="1:60" s="15" customFormat="1" x14ac:dyDescent="0.3">
      <c r="A238" s="5"/>
      <c r="C238" s="1"/>
      <c r="D238" s="1"/>
      <c r="G238" s="1"/>
      <c r="H238"/>
      <c r="K238" s="1"/>
      <c r="M238" s="1"/>
      <c r="N238" s="1"/>
      <c r="P238" s="1"/>
      <c r="Q238" s="1"/>
      <c r="V238"/>
      <c r="W238"/>
      <c r="Y238"/>
      <c r="Z238"/>
      <c r="AB238"/>
      <c r="AC238"/>
      <c r="AD238" s="93"/>
      <c r="AE238"/>
      <c r="AF238"/>
      <c r="AG238"/>
      <c r="AH238"/>
      <c r="AI238"/>
      <c r="AJ238"/>
      <c r="AK238"/>
      <c r="AL238"/>
      <c r="AM238"/>
      <c r="AN238"/>
      <c r="AO238"/>
      <c r="AQ238"/>
      <c r="AR238"/>
      <c r="AS238"/>
      <c r="AU238"/>
      <c r="AV238"/>
      <c r="AW238"/>
      <c r="AY238"/>
      <c r="AZ238"/>
      <c r="BA238"/>
      <c r="BC238"/>
      <c r="BD238"/>
      <c r="BG238" s="3"/>
      <c r="BH238" s="3"/>
    </row>
    <row r="239" spans="1:60" s="15" customFormat="1" x14ac:dyDescent="0.3">
      <c r="A239" s="5"/>
      <c r="C239" s="1"/>
      <c r="D239" s="1"/>
      <c r="G239" s="1"/>
      <c r="H239"/>
      <c r="K239" s="1"/>
      <c r="M239" s="1"/>
      <c r="N239" s="1"/>
      <c r="P239" s="1"/>
      <c r="Q239" s="1"/>
      <c r="V239"/>
      <c r="W239"/>
      <c r="Y239"/>
      <c r="Z239"/>
      <c r="AB239"/>
      <c r="AC239"/>
      <c r="AD239" s="93"/>
      <c r="AE239"/>
      <c r="AF239"/>
      <c r="AG239"/>
      <c r="AH239"/>
      <c r="AI239"/>
      <c r="AJ239"/>
      <c r="AK239"/>
      <c r="AL239"/>
      <c r="AM239"/>
      <c r="AN239"/>
      <c r="AO239"/>
      <c r="AQ239"/>
      <c r="AR239"/>
      <c r="AS239"/>
      <c r="AU239"/>
      <c r="AV239"/>
      <c r="AW239"/>
      <c r="AY239"/>
      <c r="AZ239"/>
      <c r="BA239"/>
      <c r="BC239"/>
      <c r="BD239"/>
      <c r="BG239"/>
      <c r="BH239"/>
    </row>
    <row r="240" spans="1:60" s="15" customFormat="1" x14ac:dyDescent="0.3">
      <c r="A240" s="5"/>
      <c r="C240" s="1"/>
      <c r="D240" s="1"/>
      <c r="G240" s="1"/>
      <c r="H240"/>
      <c r="K240" s="1"/>
      <c r="M240" s="1"/>
      <c r="N240" s="1"/>
      <c r="P240" s="1"/>
      <c r="Q240" s="1"/>
      <c r="V240"/>
      <c r="W240"/>
      <c r="Y240"/>
      <c r="Z240"/>
      <c r="AB240"/>
      <c r="AC240"/>
      <c r="AD240" s="93"/>
      <c r="AE240"/>
      <c r="AF240"/>
      <c r="AG240"/>
      <c r="AH240"/>
      <c r="AI240"/>
      <c r="AJ240"/>
      <c r="AK240"/>
      <c r="AL240"/>
      <c r="AM240"/>
      <c r="AN240"/>
      <c r="AO240"/>
      <c r="AQ240"/>
      <c r="AR240"/>
      <c r="AS240"/>
      <c r="AU240"/>
      <c r="AV240"/>
      <c r="AW240"/>
      <c r="AY240"/>
      <c r="AZ240"/>
      <c r="BA240"/>
      <c r="BC240"/>
      <c r="BD240"/>
      <c r="BG240"/>
      <c r="BH240"/>
    </row>
    <row r="241" spans="1:60" s="15" customFormat="1" x14ac:dyDescent="0.3">
      <c r="A241" s="5"/>
      <c r="C241" s="1"/>
      <c r="D241" s="1"/>
      <c r="G241" s="1"/>
      <c r="H241"/>
      <c r="K241" s="1"/>
      <c r="M241" s="1"/>
      <c r="N241" s="1"/>
      <c r="P241" s="1"/>
      <c r="Q241" s="1"/>
      <c r="V241"/>
      <c r="W241"/>
      <c r="Y241"/>
      <c r="Z241"/>
      <c r="AB241"/>
      <c r="AC241"/>
      <c r="AD241" s="93"/>
      <c r="AE241"/>
      <c r="AF241"/>
      <c r="AG241"/>
      <c r="AH241"/>
      <c r="AI241"/>
      <c r="AJ241"/>
      <c r="AK241"/>
      <c r="AL241"/>
      <c r="AM241"/>
      <c r="AN241"/>
      <c r="AO241"/>
      <c r="AQ241"/>
      <c r="AR241"/>
      <c r="AS241"/>
      <c r="AU241"/>
      <c r="AV241"/>
      <c r="AW241"/>
      <c r="AY241"/>
      <c r="AZ241"/>
      <c r="BA241"/>
      <c r="BC241"/>
      <c r="BD241"/>
      <c r="BG241"/>
      <c r="BH241"/>
    </row>
    <row r="242" spans="1:60" s="15" customFormat="1" x14ac:dyDescent="0.3">
      <c r="A242" s="5"/>
      <c r="C242" s="1"/>
      <c r="D242" s="1"/>
      <c r="G242" s="1"/>
      <c r="H242"/>
      <c r="K242" s="1"/>
      <c r="M242" s="1"/>
      <c r="N242" s="1"/>
      <c r="P242" s="1"/>
      <c r="Q242" s="1"/>
      <c r="V242"/>
      <c r="W242"/>
      <c r="Y242"/>
      <c r="Z242"/>
      <c r="AB242"/>
      <c r="AC242"/>
      <c r="AD242" s="93"/>
      <c r="AE242"/>
      <c r="AF242"/>
      <c r="AG242"/>
      <c r="AH242"/>
      <c r="AI242"/>
      <c r="AJ242"/>
      <c r="AK242"/>
      <c r="AL242"/>
      <c r="AM242"/>
      <c r="AN242"/>
      <c r="AO242"/>
      <c r="AQ242"/>
      <c r="AR242"/>
      <c r="AS242"/>
      <c r="AU242"/>
      <c r="AV242"/>
      <c r="AW242"/>
      <c r="AY242"/>
      <c r="AZ242"/>
      <c r="BA242"/>
      <c r="BC242"/>
      <c r="BD242"/>
      <c r="BG242"/>
      <c r="BH242"/>
    </row>
  </sheetData>
  <mergeCells count="32">
    <mergeCell ref="BG2:BI2"/>
    <mergeCell ref="AD2:AD3"/>
    <mergeCell ref="AE2:AG2"/>
    <mergeCell ref="AH2:AH3"/>
    <mergeCell ref="AI2:AK2"/>
    <mergeCell ref="AM2:AO2"/>
    <mergeCell ref="AL2:AL3"/>
    <mergeCell ref="A68:A69"/>
    <mergeCell ref="A70:A72"/>
    <mergeCell ref="A73:A74"/>
    <mergeCell ref="A75:A76"/>
    <mergeCell ref="P2:R2"/>
    <mergeCell ref="S2:S3"/>
    <mergeCell ref="T2:V2"/>
    <mergeCell ref="W2:W3"/>
    <mergeCell ref="X2:Z2"/>
    <mergeCell ref="B43:B44"/>
    <mergeCell ref="C43:C44"/>
    <mergeCell ref="D43:D44"/>
    <mergeCell ref="E43:E44"/>
    <mergeCell ref="O2:O3"/>
    <mergeCell ref="C2:C3"/>
    <mergeCell ref="D2:F2"/>
    <mergeCell ref="G2:G3"/>
    <mergeCell ref="H2:J2"/>
    <mergeCell ref="K2:K3"/>
    <mergeCell ref="L2:N2"/>
    <mergeCell ref="AA2:AC2"/>
    <mergeCell ref="AQ2:AS2"/>
    <mergeCell ref="AU2:AW2"/>
    <mergeCell ref="AY2:BA2"/>
    <mergeCell ref="BC2:BE2"/>
  </mergeCells>
  <pageMargins left="0.7" right="0.7" top="0.75" bottom="0.75" header="0.3" footer="0.3"/>
  <pageSetup paperSize="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G110"/>
  <sheetViews>
    <sheetView zoomScale="60" zoomScaleNormal="60" workbookViewId="0">
      <pane xSplit="1" ySplit="3" topLeftCell="P4" activePane="bottomRight" state="frozen"/>
      <selection pane="topRight" activeCell="B1" sqref="B1"/>
      <selection pane="bottomLeft" activeCell="A4" sqref="A4"/>
      <selection pane="bottomRight" activeCell="T13" sqref="T13"/>
    </sheetView>
  </sheetViews>
  <sheetFormatPr defaultRowHeight="14.4" x14ac:dyDescent="0.3"/>
  <cols>
    <col min="1" max="1" width="35.44140625" style="5" customWidth="1"/>
    <col min="2" max="2" width="10.88671875" customWidth="1"/>
    <col min="3" max="3" width="11.5546875" customWidth="1"/>
    <col min="4" max="4" width="13.33203125" customWidth="1"/>
    <col min="5" max="5" width="14" customWidth="1"/>
    <col min="7" max="7" width="14.21875" customWidth="1"/>
    <col min="8" max="8" width="17.33203125" customWidth="1"/>
    <col min="9" max="9" width="15.33203125" customWidth="1"/>
    <col min="10" max="11" width="11.21875" style="51" customWidth="1"/>
    <col min="12" max="12" width="13" customWidth="1"/>
    <col min="13" max="13" width="21.5546875" customWidth="1"/>
    <col min="14" max="14" width="17.88671875" customWidth="1"/>
    <col min="15" max="15" width="13.77734375" customWidth="1"/>
    <col min="16" max="16" width="17.44140625" customWidth="1"/>
    <col min="17" max="17" width="15.6640625" customWidth="1"/>
    <col min="18" max="18" width="11.21875" style="51" customWidth="1"/>
    <col min="19" max="19" width="11.21875" style="15" customWidth="1"/>
    <col min="20" max="20" width="16.109375" style="15" customWidth="1"/>
    <col min="21" max="21" width="14.77734375" style="15" customWidth="1"/>
    <col min="22" max="22" width="10.33203125" customWidth="1"/>
    <col min="23" max="23" width="17.33203125" customWidth="1"/>
    <col min="24" max="24" width="16.6640625" customWidth="1"/>
    <col min="25" max="25" width="20" customWidth="1"/>
    <col min="26" max="26" width="16" customWidth="1"/>
    <col min="27" max="27" width="18" customWidth="1"/>
    <col min="28" max="28" width="17.88671875" customWidth="1"/>
    <col min="29" max="29" width="12.5546875" style="88" customWidth="1"/>
    <col min="30" max="35" width="12.5546875" customWidth="1"/>
    <col min="36" max="36" width="12.5546875" style="88" customWidth="1"/>
    <col min="37" max="39" width="12.5546875" customWidth="1"/>
    <col min="40" max="40" width="12.5546875" style="3" customWidth="1"/>
    <col min="41" max="41" width="14" customWidth="1"/>
    <col min="42" max="42" width="16.88671875" customWidth="1"/>
    <col min="43" max="43" width="15.77734375" customWidth="1"/>
    <col min="44" max="44" width="12.5546875" style="3" customWidth="1"/>
    <col min="45" max="45" width="12.109375" customWidth="1"/>
    <col min="46" max="46" width="16.6640625" customWidth="1"/>
    <col min="47" max="47" width="15.5546875" customWidth="1"/>
    <col min="48" max="48" width="12.5546875" style="3" customWidth="1"/>
    <col min="49" max="49" width="14" customWidth="1"/>
    <col min="50" max="50" width="17.77734375" customWidth="1"/>
    <col min="51" max="51" width="15" customWidth="1"/>
    <col min="52" max="52" width="12.5546875" style="3" customWidth="1"/>
    <col min="53" max="53" width="12.33203125" customWidth="1"/>
    <col min="54" max="54" width="16.6640625" customWidth="1"/>
    <col min="55" max="55" width="20.21875" customWidth="1"/>
    <col min="56" max="56" width="11.109375" customWidth="1"/>
    <col min="57" max="59" width="16.33203125" customWidth="1"/>
  </cols>
  <sheetData>
    <row r="1" spans="1:59" x14ac:dyDescent="0.3">
      <c r="AC1" s="15"/>
    </row>
    <row r="2" spans="1:59" s="7" customFormat="1" ht="15.6" customHeight="1" x14ac:dyDescent="0.3">
      <c r="A2" s="12"/>
      <c r="B2" s="11"/>
      <c r="C2" s="122" t="s">
        <v>133</v>
      </c>
      <c r="D2" s="122"/>
      <c r="E2" s="122"/>
      <c r="F2" s="11"/>
      <c r="G2" s="122" t="s">
        <v>132</v>
      </c>
      <c r="H2" s="122"/>
      <c r="I2" s="122"/>
      <c r="J2" s="11"/>
      <c r="K2" s="122" t="s">
        <v>145</v>
      </c>
      <c r="L2" s="122"/>
      <c r="M2" s="122"/>
      <c r="N2" s="11"/>
      <c r="O2" s="122" t="s">
        <v>147</v>
      </c>
      <c r="P2" s="122"/>
      <c r="Q2" s="122"/>
      <c r="R2" s="11"/>
      <c r="S2" s="122" t="s">
        <v>150</v>
      </c>
      <c r="T2" s="122"/>
      <c r="U2" s="122"/>
      <c r="V2" s="11"/>
      <c r="W2" s="122" t="s">
        <v>41</v>
      </c>
      <c r="X2" s="122"/>
      <c r="Y2" s="122"/>
      <c r="Z2" s="122" t="s">
        <v>122</v>
      </c>
      <c r="AA2" s="122"/>
      <c r="AB2" s="122"/>
      <c r="AC2" s="129" t="s">
        <v>1</v>
      </c>
      <c r="AD2" s="122" t="s">
        <v>238</v>
      </c>
      <c r="AE2" s="122"/>
      <c r="AF2" s="122"/>
      <c r="AG2" s="85"/>
      <c r="AH2" s="122" t="s">
        <v>239</v>
      </c>
      <c r="AI2" s="122"/>
      <c r="AJ2" s="122"/>
      <c r="AK2" s="122" t="s">
        <v>240</v>
      </c>
      <c r="AL2" s="122"/>
      <c r="AM2" s="122"/>
      <c r="AN2" s="11"/>
      <c r="AO2" s="122" t="s">
        <v>152</v>
      </c>
      <c r="AP2" s="122"/>
      <c r="AQ2" s="122"/>
      <c r="AR2" s="11"/>
      <c r="AS2" s="122" t="s">
        <v>153</v>
      </c>
      <c r="AT2" s="122"/>
      <c r="AU2" s="122"/>
      <c r="AV2" s="11"/>
      <c r="AW2" s="122" t="s">
        <v>154</v>
      </c>
      <c r="AX2" s="122"/>
      <c r="AY2" s="122"/>
      <c r="AZ2" s="11"/>
      <c r="BA2" s="122" t="s">
        <v>155</v>
      </c>
      <c r="BB2" s="122"/>
      <c r="BC2" s="122"/>
      <c r="BD2" s="85"/>
      <c r="BE2" s="122" t="s">
        <v>236</v>
      </c>
      <c r="BF2" s="122"/>
      <c r="BG2" s="122"/>
    </row>
    <row r="3" spans="1:59" s="7" customFormat="1" ht="15.6" x14ac:dyDescent="0.3">
      <c r="A3" s="53" t="s">
        <v>0</v>
      </c>
      <c r="B3" s="52" t="s">
        <v>1</v>
      </c>
      <c r="C3" s="8" t="s">
        <v>2</v>
      </c>
      <c r="D3" s="9" t="s">
        <v>169</v>
      </c>
      <c r="E3" s="9" t="s">
        <v>9</v>
      </c>
      <c r="F3" s="52" t="s">
        <v>1</v>
      </c>
      <c r="G3" s="8" t="s">
        <v>2</v>
      </c>
      <c r="H3" s="9" t="s">
        <v>169</v>
      </c>
      <c r="I3" s="9" t="s">
        <v>9</v>
      </c>
      <c r="J3" s="52" t="s">
        <v>1</v>
      </c>
      <c r="K3" s="8" t="s">
        <v>2</v>
      </c>
      <c r="L3" s="9" t="s">
        <v>169</v>
      </c>
      <c r="M3" s="9" t="s">
        <v>9</v>
      </c>
      <c r="N3" s="52" t="s">
        <v>1</v>
      </c>
      <c r="O3" s="8" t="s">
        <v>2</v>
      </c>
      <c r="P3" s="9" t="s">
        <v>169</v>
      </c>
      <c r="Q3" s="9" t="s">
        <v>9</v>
      </c>
      <c r="R3" s="52" t="s">
        <v>1</v>
      </c>
      <c r="S3" s="8" t="s">
        <v>2</v>
      </c>
      <c r="T3" s="9" t="s">
        <v>169</v>
      </c>
      <c r="U3" s="9" t="s">
        <v>9</v>
      </c>
      <c r="V3" s="52" t="s">
        <v>1</v>
      </c>
      <c r="W3" s="8" t="s">
        <v>2</v>
      </c>
      <c r="X3" s="61" t="s">
        <v>8</v>
      </c>
      <c r="Y3" s="9" t="s">
        <v>9</v>
      </c>
      <c r="Z3" s="8" t="s">
        <v>2</v>
      </c>
      <c r="AA3" s="61" t="s">
        <v>8</v>
      </c>
      <c r="AB3" s="9" t="s">
        <v>9</v>
      </c>
      <c r="AC3" s="129" t="s">
        <v>1</v>
      </c>
      <c r="AD3" s="8" t="s">
        <v>2</v>
      </c>
      <c r="AE3" s="9" t="s">
        <v>8</v>
      </c>
      <c r="AF3" s="9" t="s">
        <v>9</v>
      </c>
      <c r="AG3" s="9"/>
      <c r="AH3" s="8" t="s">
        <v>2</v>
      </c>
      <c r="AI3" s="9" t="s">
        <v>8</v>
      </c>
      <c r="AJ3" s="101" t="s">
        <v>9</v>
      </c>
      <c r="AK3" s="8" t="s">
        <v>2</v>
      </c>
      <c r="AL3" s="9" t="s">
        <v>8</v>
      </c>
      <c r="AM3" s="9" t="s">
        <v>9</v>
      </c>
      <c r="AN3" s="52" t="s">
        <v>1</v>
      </c>
      <c r="AO3" s="8" t="s">
        <v>2</v>
      </c>
      <c r="AP3" s="9" t="s">
        <v>169</v>
      </c>
      <c r="AQ3" s="9" t="s">
        <v>9</v>
      </c>
      <c r="AR3" s="52" t="s">
        <v>1</v>
      </c>
      <c r="AS3" s="8" t="s">
        <v>2</v>
      </c>
      <c r="AT3" s="9" t="s">
        <v>169</v>
      </c>
      <c r="AU3" s="9" t="s">
        <v>9</v>
      </c>
      <c r="AV3" s="52" t="s">
        <v>1</v>
      </c>
      <c r="AW3" s="8" t="s">
        <v>2</v>
      </c>
      <c r="AX3" s="9" t="s">
        <v>169</v>
      </c>
      <c r="AY3" s="9" t="s">
        <v>9</v>
      </c>
      <c r="AZ3" s="52" t="s">
        <v>1</v>
      </c>
      <c r="BA3" s="8" t="s">
        <v>2</v>
      </c>
      <c r="BB3" s="9" t="s">
        <v>169</v>
      </c>
      <c r="BC3" s="9" t="s">
        <v>9</v>
      </c>
      <c r="BD3" s="52" t="s">
        <v>1</v>
      </c>
      <c r="BE3" s="8" t="s">
        <v>2</v>
      </c>
      <c r="BF3" s="9" t="s">
        <v>8</v>
      </c>
      <c r="BG3" s="9" t="s">
        <v>9</v>
      </c>
    </row>
    <row r="4" spans="1:59" s="3" customFormat="1" ht="15" customHeight="1" x14ac:dyDescent="0.3">
      <c r="A4" s="45" t="s">
        <v>100</v>
      </c>
      <c r="B4" s="45" t="s">
        <v>13</v>
      </c>
      <c r="C4" s="47"/>
      <c r="D4" s="47"/>
      <c r="E4" s="47"/>
      <c r="F4" s="45" t="s">
        <v>13</v>
      </c>
      <c r="H4" s="47"/>
      <c r="I4" s="47"/>
      <c r="J4" s="55" t="s">
        <v>13</v>
      </c>
      <c r="K4" s="55"/>
      <c r="L4" s="55"/>
      <c r="M4" s="55"/>
      <c r="N4" s="55" t="s">
        <v>13</v>
      </c>
      <c r="P4" s="55"/>
      <c r="Q4" s="55"/>
      <c r="R4" s="55" t="s">
        <v>13</v>
      </c>
      <c r="V4" s="45" t="s">
        <v>13</v>
      </c>
      <c r="W4" s="47">
        <v>50</v>
      </c>
      <c r="X4" s="47">
        <v>1099</v>
      </c>
      <c r="Y4" s="18"/>
      <c r="Z4" s="47">
        <v>120</v>
      </c>
      <c r="AA4" s="47">
        <v>1977</v>
      </c>
      <c r="AB4" s="18"/>
      <c r="AC4" s="86" t="s">
        <v>13</v>
      </c>
      <c r="AD4" s="18">
        <v>250</v>
      </c>
      <c r="AE4" s="18">
        <v>6144</v>
      </c>
      <c r="AF4" s="18"/>
      <c r="AG4" s="18"/>
      <c r="AH4" s="18">
        <v>150</v>
      </c>
      <c r="AI4" s="18">
        <v>4167</v>
      </c>
      <c r="AJ4" s="86"/>
      <c r="AK4" s="18">
        <v>50</v>
      </c>
      <c r="AL4" s="18">
        <v>1471</v>
      </c>
      <c r="AM4" s="18"/>
      <c r="AN4" s="55" t="s">
        <v>13</v>
      </c>
      <c r="AO4" s="3">
        <v>530</v>
      </c>
      <c r="AP4" s="2">
        <v>238857</v>
      </c>
      <c r="AR4" s="55" t="s">
        <v>13</v>
      </c>
      <c r="AS4" s="3">
        <v>900</v>
      </c>
      <c r="AT4" s="3">
        <v>460000</v>
      </c>
      <c r="AV4" s="55" t="s">
        <v>13</v>
      </c>
      <c r="AX4" s="3">
        <v>14010</v>
      </c>
      <c r="AZ4" s="55" t="s">
        <v>13</v>
      </c>
    </row>
    <row r="5" spans="1:59" s="3" customFormat="1" ht="15" customHeight="1" x14ac:dyDescent="0.3">
      <c r="A5" s="45" t="s">
        <v>99</v>
      </c>
      <c r="B5" s="45" t="s">
        <v>98</v>
      </c>
      <c r="C5" s="47"/>
      <c r="D5" s="47"/>
      <c r="E5" s="47"/>
      <c r="F5" s="45" t="s">
        <v>98</v>
      </c>
      <c r="H5" s="47"/>
      <c r="I5" s="47"/>
      <c r="J5" s="55" t="s">
        <v>98</v>
      </c>
      <c r="N5" s="55" t="s">
        <v>98</v>
      </c>
      <c r="P5" s="55"/>
      <c r="R5" s="55" t="s">
        <v>98</v>
      </c>
      <c r="V5" s="45" t="s">
        <v>98</v>
      </c>
      <c r="W5" s="47">
        <v>50</v>
      </c>
      <c r="X5" s="47">
        <v>55</v>
      </c>
      <c r="Y5" s="18"/>
      <c r="Z5" s="47">
        <v>50</v>
      </c>
      <c r="AA5" s="47">
        <v>153</v>
      </c>
      <c r="AB5" s="18"/>
      <c r="AC5" s="86"/>
      <c r="AD5" s="18"/>
      <c r="AE5" s="18"/>
      <c r="AF5" s="18"/>
      <c r="AG5" s="18"/>
      <c r="AH5" s="18"/>
      <c r="AI5" s="18"/>
      <c r="AJ5" s="86"/>
      <c r="AK5" s="18"/>
      <c r="AL5" s="18"/>
      <c r="AM5" s="18"/>
      <c r="AN5" s="55" t="s">
        <v>98</v>
      </c>
      <c r="AR5" s="55" t="s">
        <v>98</v>
      </c>
      <c r="AV5" s="55" t="s">
        <v>98</v>
      </c>
      <c r="AZ5" s="55" t="s">
        <v>98</v>
      </c>
    </row>
    <row r="6" spans="1:59" s="3" customFormat="1" ht="15" customHeight="1" x14ac:dyDescent="0.3">
      <c r="A6" s="45" t="s">
        <v>123</v>
      </c>
      <c r="B6" s="45" t="s">
        <v>103</v>
      </c>
      <c r="C6" s="47"/>
      <c r="D6" s="47"/>
      <c r="E6" s="47"/>
      <c r="F6" s="45" t="s">
        <v>103</v>
      </c>
      <c r="H6" s="47"/>
      <c r="I6" s="47"/>
      <c r="J6" s="55" t="s">
        <v>103</v>
      </c>
      <c r="K6" s="47"/>
      <c r="L6" s="47"/>
      <c r="M6" s="47"/>
      <c r="N6" s="55" t="s">
        <v>103</v>
      </c>
      <c r="P6" s="55"/>
      <c r="R6" s="55" t="s">
        <v>103</v>
      </c>
      <c r="V6" s="50" t="s">
        <v>103</v>
      </c>
      <c r="W6" s="47">
        <v>300</v>
      </c>
      <c r="X6" s="47">
        <v>1121</v>
      </c>
      <c r="Y6" s="18"/>
      <c r="Z6" s="47">
        <v>200</v>
      </c>
      <c r="AA6" s="47">
        <v>659</v>
      </c>
      <c r="AB6" s="18"/>
      <c r="AC6" s="100" t="s">
        <v>91</v>
      </c>
      <c r="AD6" s="18">
        <v>250</v>
      </c>
      <c r="AE6" s="18">
        <v>778</v>
      </c>
      <c r="AG6" s="86" t="s">
        <v>136</v>
      </c>
      <c r="AH6" s="18">
        <v>250</v>
      </c>
      <c r="AI6" s="18">
        <v>463</v>
      </c>
      <c r="AJ6" s="86"/>
      <c r="AK6" s="18">
        <v>200</v>
      </c>
      <c r="AL6" s="18">
        <v>588</v>
      </c>
      <c r="AM6" s="18"/>
      <c r="AN6" s="55" t="s">
        <v>136</v>
      </c>
      <c r="AO6" s="3">
        <v>440</v>
      </c>
      <c r="AP6" s="3">
        <v>25972</v>
      </c>
      <c r="AR6" s="55" t="s">
        <v>136</v>
      </c>
      <c r="AS6" s="19">
        <v>300</v>
      </c>
      <c r="AT6" s="19">
        <v>15000</v>
      </c>
      <c r="AV6" s="55" t="s">
        <v>136</v>
      </c>
      <c r="AW6" s="19">
        <v>250</v>
      </c>
      <c r="AX6" s="19">
        <v>17865</v>
      </c>
      <c r="AZ6" s="55" t="s">
        <v>136</v>
      </c>
      <c r="BA6" s="3">
        <v>280</v>
      </c>
      <c r="BB6" s="3">
        <v>22000</v>
      </c>
      <c r="BD6" s="3" t="s">
        <v>136</v>
      </c>
      <c r="BE6" s="3">
        <v>1250</v>
      </c>
      <c r="BF6" s="3">
        <v>5917</v>
      </c>
    </row>
    <row r="7" spans="1:59" s="3" customFormat="1" ht="15" customHeight="1" x14ac:dyDescent="0.3">
      <c r="A7" s="45" t="s">
        <v>102</v>
      </c>
      <c r="B7" s="45" t="s">
        <v>101</v>
      </c>
      <c r="C7" s="47"/>
      <c r="D7" s="47"/>
      <c r="E7" s="47"/>
      <c r="F7" s="45" t="s">
        <v>101</v>
      </c>
      <c r="H7" s="47"/>
      <c r="I7" s="47"/>
      <c r="J7" s="55" t="s">
        <v>101</v>
      </c>
      <c r="K7" s="47"/>
      <c r="L7" s="47"/>
      <c r="M7" s="47"/>
      <c r="N7" s="55" t="s">
        <v>101</v>
      </c>
      <c r="O7" s="47"/>
      <c r="P7" s="47"/>
      <c r="R7" s="55" t="s">
        <v>101</v>
      </c>
      <c r="V7" s="45" t="s">
        <v>101</v>
      </c>
      <c r="W7" s="47">
        <v>500</v>
      </c>
      <c r="X7" s="47">
        <v>16</v>
      </c>
      <c r="Y7" s="18"/>
      <c r="Z7" s="47"/>
      <c r="AA7" s="47"/>
      <c r="AB7" s="18"/>
      <c r="AC7" s="86"/>
      <c r="AD7" s="18"/>
      <c r="AE7" s="18"/>
      <c r="AG7" s="86"/>
      <c r="AH7" s="18"/>
      <c r="AI7" s="18"/>
      <c r="AJ7" s="86"/>
      <c r="AK7" s="18"/>
      <c r="AL7" s="18"/>
      <c r="AM7" s="18"/>
      <c r="AN7" s="55" t="s">
        <v>101</v>
      </c>
      <c r="AR7" s="55" t="s">
        <v>101</v>
      </c>
      <c r="AV7" s="55" t="s">
        <v>101</v>
      </c>
      <c r="AZ7" s="55" t="s">
        <v>101</v>
      </c>
    </row>
    <row r="8" spans="1:59" s="3" customFormat="1" ht="15" customHeight="1" x14ac:dyDescent="0.3">
      <c r="A8" s="45" t="s">
        <v>17</v>
      </c>
      <c r="B8" s="50" t="s">
        <v>13</v>
      </c>
      <c r="C8" s="47">
        <v>5000</v>
      </c>
      <c r="D8" s="47">
        <v>39000</v>
      </c>
      <c r="F8" s="50" t="s">
        <v>13</v>
      </c>
      <c r="G8" s="47">
        <v>7000</v>
      </c>
      <c r="H8" s="47">
        <v>49000</v>
      </c>
      <c r="J8" s="55" t="s">
        <v>13</v>
      </c>
      <c r="K8" s="47">
        <v>3000</v>
      </c>
      <c r="L8" s="47">
        <v>24000</v>
      </c>
      <c r="M8" s="47"/>
      <c r="N8" s="55" t="s">
        <v>13</v>
      </c>
      <c r="O8" s="47">
        <v>5000</v>
      </c>
      <c r="P8" s="47">
        <v>37000</v>
      </c>
      <c r="R8" s="55" t="s">
        <v>13</v>
      </c>
      <c r="S8" s="47">
        <v>4000</v>
      </c>
      <c r="T8" s="47">
        <v>32000</v>
      </c>
      <c r="V8" s="50" t="s">
        <v>70</v>
      </c>
      <c r="W8" s="47">
        <v>5000</v>
      </c>
      <c r="X8" s="47">
        <v>2527</v>
      </c>
      <c r="Y8" s="18"/>
      <c r="Z8" s="47">
        <v>5000</v>
      </c>
      <c r="AA8" s="47">
        <v>2527</v>
      </c>
      <c r="AB8" s="18"/>
      <c r="AC8" s="86" t="s">
        <v>13</v>
      </c>
      <c r="AD8" s="18">
        <v>4200</v>
      </c>
      <c r="AE8" s="18">
        <v>2800</v>
      </c>
      <c r="AG8" s="86"/>
      <c r="AH8" s="18">
        <v>3700</v>
      </c>
      <c r="AI8" s="18">
        <v>2193</v>
      </c>
      <c r="AJ8" s="86"/>
      <c r="AK8" s="18">
        <v>3000</v>
      </c>
      <c r="AL8" s="18">
        <v>1618</v>
      </c>
      <c r="AM8" s="18"/>
      <c r="AN8" s="55" t="s">
        <v>13</v>
      </c>
      <c r="AO8" s="2">
        <v>3500</v>
      </c>
      <c r="AP8" s="3">
        <v>25000</v>
      </c>
      <c r="AR8" s="55" t="s">
        <v>13</v>
      </c>
      <c r="AS8" s="3">
        <v>4900</v>
      </c>
      <c r="AT8" s="3">
        <v>35000</v>
      </c>
      <c r="AV8" s="55" t="s">
        <v>13</v>
      </c>
      <c r="AW8" s="3">
        <v>4750</v>
      </c>
      <c r="AX8" s="3">
        <v>34425</v>
      </c>
      <c r="AZ8" s="55" t="s">
        <v>13</v>
      </c>
      <c r="BA8" s="3">
        <v>6500</v>
      </c>
      <c r="BB8" s="3">
        <v>61285</v>
      </c>
      <c r="BD8" s="3" t="s">
        <v>13</v>
      </c>
      <c r="BE8" s="3">
        <v>8450</v>
      </c>
      <c r="BF8" s="3">
        <v>5633</v>
      </c>
    </row>
    <row r="9" spans="1:59" s="3" customFormat="1" ht="15" customHeight="1" x14ac:dyDescent="0.3">
      <c r="A9" s="45" t="s">
        <v>108</v>
      </c>
      <c r="B9" s="45" t="s">
        <v>104</v>
      </c>
      <c r="C9" s="47"/>
      <c r="D9" s="47"/>
      <c r="F9" s="45" t="s">
        <v>104</v>
      </c>
      <c r="G9" s="47"/>
      <c r="H9" s="47"/>
      <c r="J9" s="55" t="s">
        <v>104</v>
      </c>
      <c r="K9" s="47"/>
      <c r="L9" s="47"/>
      <c r="M9" s="47"/>
      <c r="N9" s="55" t="s">
        <v>104</v>
      </c>
      <c r="O9" s="47"/>
      <c r="P9" s="47"/>
      <c r="R9" s="55" t="s">
        <v>104</v>
      </c>
      <c r="S9" s="47"/>
      <c r="T9" s="47"/>
      <c r="V9" s="45" t="s">
        <v>104</v>
      </c>
      <c r="W9" s="47">
        <v>4</v>
      </c>
      <c r="X9" s="47">
        <v>264</v>
      </c>
      <c r="Y9" s="41"/>
      <c r="Z9" s="47"/>
      <c r="AA9" s="47"/>
      <c r="AB9" s="41"/>
      <c r="AC9" s="87"/>
      <c r="AD9" s="18"/>
      <c r="AE9" s="18"/>
      <c r="AG9" s="86"/>
      <c r="AH9" s="18"/>
      <c r="AI9" s="18"/>
      <c r="AJ9" s="86"/>
      <c r="AK9" s="18"/>
      <c r="AL9" s="18"/>
      <c r="AM9" s="18"/>
      <c r="AN9" s="55" t="s">
        <v>104</v>
      </c>
      <c r="AR9" s="55" t="s">
        <v>104</v>
      </c>
      <c r="AV9" s="55" t="s">
        <v>104</v>
      </c>
      <c r="AZ9" s="55" t="s">
        <v>104</v>
      </c>
    </row>
    <row r="10" spans="1:59" s="3" customFormat="1" ht="15" customHeight="1" x14ac:dyDescent="0.3">
      <c r="A10" s="45" t="s">
        <v>255</v>
      </c>
      <c r="B10" s="45" t="s">
        <v>72</v>
      </c>
      <c r="C10" s="47"/>
      <c r="D10" s="47"/>
      <c r="F10" s="45" t="s">
        <v>72</v>
      </c>
      <c r="G10" s="47"/>
      <c r="H10" s="47"/>
      <c r="J10" s="55" t="s">
        <v>72</v>
      </c>
      <c r="K10" s="47"/>
      <c r="L10" s="47"/>
      <c r="M10" s="47"/>
      <c r="N10" s="55" t="s">
        <v>72</v>
      </c>
      <c r="O10" s="47"/>
      <c r="P10" s="47"/>
      <c r="R10" s="55" t="s">
        <v>72</v>
      </c>
      <c r="S10" s="47"/>
      <c r="T10" s="47"/>
      <c r="V10" s="45" t="s">
        <v>72</v>
      </c>
      <c r="W10" s="47">
        <v>38</v>
      </c>
      <c r="X10" s="47">
        <v>7516</v>
      </c>
      <c r="Y10" s="18"/>
      <c r="Z10" s="47"/>
      <c r="AA10" s="47"/>
      <c r="AB10" s="18"/>
      <c r="AC10" s="86"/>
      <c r="AD10" s="18"/>
      <c r="AE10" s="18"/>
      <c r="AG10" s="86"/>
      <c r="AH10" s="18"/>
      <c r="AI10" s="18"/>
      <c r="AJ10" s="86"/>
      <c r="AK10" s="18"/>
      <c r="AL10" s="18"/>
      <c r="AM10" s="18"/>
      <c r="AN10" s="55" t="s">
        <v>72</v>
      </c>
      <c r="AR10" s="55" t="s">
        <v>72</v>
      </c>
      <c r="AV10" s="55" t="s">
        <v>72</v>
      </c>
      <c r="AZ10" s="55" t="s">
        <v>72</v>
      </c>
    </row>
    <row r="11" spans="1:59" s="3" customFormat="1" ht="14.4" customHeight="1" x14ac:dyDescent="0.3">
      <c r="A11" s="45" t="s">
        <v>105</v>
      </c>
      <c r="B11" s="45" t="s">
        <v>72</v>
      </c>
      <c r="C11" s="47"/>
      <c r="D11" s="47"/>
      <c r="F11" s="45" t="s">
        <v>72</v>
      </c>
      <c r="G11" s="47"/>
      <c r="H11" s="47"/>
      <c r="J11" s="55" t="s">
        <v>72</v>
      </c>
      <c r="K11" s="47"/>
      <c r="L11" s="47"/>
      <c r="M11" s="47"/>
      <c r="N11" s="55" t="s">
        <v>72</v>
      </c>
      <c r="O11" s="47"/>
      <c r="P11" s="47"/>
      <c r="R11" s="55" t="s">
        <v>72</v>
      </c>
      <c r="S11" s="47"/>
      <c r="T11" s="47"/>
      <c r="V11" s="45" t="s">
        <v>72</v>
      </c>
      <c r="W11" s="47">
        <v>133</v>
      </c>
      <c r="X11" s="47">
        <v>501</v>
      </c>
      <c r="Y11" s="18"/>
      <c r="Z11" s="47"/>
      <c r="AA11" s="47"/>
      <c r="AB11" s="18"/>
      <c r="AC11" s="86"/>
      <c r="AD11" s="18"/>
      <c r="AE11" s="18"/>
      <c r="AG11" s="86"/>
      <c r="AH11" s="18"/>
      <c r="AI11" s="18"/>
      <c r="AJ11" s="86"/>
      <c r="AK11" s="18"/>
      <c r="AL11" s="18"/>
      <c r="AM11" s="18"/>
      <c r="AN11" s="55" t="s">
        <v>72</v>
      </c>
      <c r="AR11" s="55" t="s">
        <v>72</v>
      </c>
      <c r="AV11" s="55" t="s">
        <v>72</v>
      </c>
      <c r="AZ11" s="55" t="s">
        <v>72</v>
      </c>
    </row>
    <row r="12" spans="1:59" s="3" customFormat="1" ht="14.4" customHeight="1" x14ac:dyDescent="0.3">
      <c r="A12" s="45" t="s">
        <v>53</v>
      </c>
      <c r="B12" s="45" t="s">
        <v>104</v>
      </c>
      <c r="C12" s="47"/>
      <c r="D12" s="47"/>
      <c r="F12" s="45" t="s">
        <v>104</v>
      </c>
      <c r="G12" s="47"/>
      <c r="H12" s="47"/>
      <c r="J12" s="55" t="s">
        <v>104</v>
      </c>
      <c r="K12" s="47"/>
      <c r="L12" s="47"/>
      <c r="M12" s="47"/>
      <c r="N12" s="55" t="s">
        <v>104</v>
      </c>
      <c r="O12" s="47"/>
      <c r="P12" s="47"/>
      <c r="R12" s="55" t="s">
        <v>104</v>
      </c>
      <c r="S12" s="47"/>
      <c r="T12" s="47"/>
      <c r="V12" s="45" t="s">
        <v>104</v>
      </c>
      <c r="W12" s="47">
        <v>200</v>
      </c>
      <c r="X12" s="47">
        <v>1758</v>
      </c>
      <c r="Y12" s="18"/>
      <c r="Z12" s="47">
        <v>60</v>
      </c>
      <c r="AA12" s="47">
        <v>1494</v>
      </c>
      <c r="AB12" s="18"/>
      <c r="AC12" s="86"/>
      <c r="AD12" s="18"/>
      <c r="AE12" s="18"/>
      <c r="AG12" s="86"/>
      <c r="AH12" s="18"/>
      <c r="AI12" s="18"/>
      <c r="AJ12" s="86"/>
      <c r="AK12" s="18"/>
      <c r="AL12" s="18"/>
      <c r="AM12" s="18"/>
      <c r="AN12" s="55" t="s">
        <v>104</v>
      </c>
      <c r="AR12" s="55" t="s">
        <v>104</v>
      </c>
      <c r="AV12" s="55" t="s">
        <v>104</v>
      </c>
      <c r="AZ12" s="55" t="s">
        <v>104</v>
      </c>
    </row>
    <row r="13" spans="1:59" s="3" customFormat="1" ht="14.4" customHeight="1" x14ac:dyDescent="0.3">
      <c r="A13" s="45" t="s">
        <v>5</v>
      </c>
      <c r="B13" s="45" t="s">
        <v>135</v>
      </c>
      <c r="C13" s="47">
        <v>257</v>
      </c>
      <c r="D13" s="47">
        <v>20160</v>
      </c>
      <c r="F13" s="45" t="s">
        <v>135</v>
      </c>
      <c r="G13" s="47">
        <v>642</v>
      </c>
      <c r="H13" s="47">
        <v>28800</v>
      </c>
      <c r="J13" s="55" t="s">
        <v>135</v>
      </c>
      <c r="K13" s="47">
        <v>571</v>
      </c>
      <c r="L13" s="47">
        <v>30400</v>
      </c>
      <c r="M13" s="47"/>
      <c r="N13" s="55" t="s">
        <v>135</v>
      </c>
      <c r="O13" s="47">
        <v>85</v>
      </c>
      <c r="P13" s="47">
        <v>4000</v>
      </c>
      <c r="R13" s="50" t="s">
        <v>91</v>
      </c>
      <c r="S13" s="47">
        <v>300</v>
      </c>
      <c r="T13" s="47">
        <v>8000</v>
      </c>
      <c r="V13" s="55" t="s">
        <v>91</v>
      </c>
      <c r="W13" s="47">
        <v>250</v>
      </c>
      <c r="X13" s="47">
        <v>988</v>
      </c>
      <c r="Y13" s="41"/>
      <c r="Z13" s="47">
        <v>50</v>
      </c>
      <c r="AA13" s="47">
        <v>274</v>
      </c>
      <c r="AB13" s="41"/>
      <c r="AC13" s="87" t="s">
        <v>91</v>
      </c>
      <c r="AD13" s="18">
        <v>300</v>
      </c>
      <c r="AE13" s="18">
        <v>1000</v>
      </c>
      <c r="AG13" s="50" t="s">
        <v>136</v>
      </c>
      <c r="AH13" s="18">
        <v>300</v>
      </c>
      <c r="AI13" s="18">
        <v>555</v>
      </c>
      <c r="AJ13" s="86"/>
      <c r="AK13" s="18">
        <v>250</v>
      </c>
      <c r="AL13" s="18">
        <v>490</v>
      </c>
      <c r="AM13" s="18"/>
      <c r="AN13" s="55" t="s">
        <v>136</v>
      </c>
      <c r="AO13" s="3">
        <v>500</v>
      </c>
      <c r="AP13" s="2">
        <v>15714</v>
      </c>
      <c r="AR13" s="55" t="s">
        <v>136</v>
      </c>
      <c r="AS13" s="3">
        <v>700</v>
      </c>
      <c r="AT13" s="3">
        <v>40000</v>
      </c>
      <c r="AV13" s="55" t="s">
        <v>136</v>
      </c>
      <c r="AW13" s="3">
        <v>650</v>
      </c>
      <c r="AX13" s="3">
        <v>41145</v>
      </c>
      <c r="AZ13" s="55" t="s">
        <v>136</v>
      </c>
      <c r="BA13" s="3">
        <v>600</v>
      </c>
      <c r="BB13" s="3">
        <v>45714</v>
      </c>
      <c r="BD13" s="3" t="s">
        <v>136</v>
      </c>
      <c r="BE13" s="3">
        <v>455</v>
      </c>
      <c r="BF13" s="3">
        <v>2578</v>
      </c>
    </row>
    <row r="14" spans="1:59" s="3" customFormat="1" ht="15" customHeight="1" x14ac:dyDescent="0.3">
      <c r="A14" s="45" t="s">
        <v>254</v>
      </c>
      <c r="B14" s="45" t="s">
        <v>103</v>
      </c>
      <c r="C14" s="47"/>
      <c r="F14" s="45" t="s">
        <v>103</v>
      </c>
      <c r="J14" s="55" t="s">
        <v>103</v>
      </c>
      <c r="K14" s="47"/>
      <c r="L14" s="47"/>
      <c r="M14" s="47"/>
      <c r="N14" s="55" t="s">
        <v>103</v>
      </c>
      <c r="O14" s="47"/>
      <c r="P14" s="47"/>
      <c r="R14" s="55" t="s">
        <v>103</v>
      </c>
      <c r="S14" s="47"/>
      <c r="T14" s="47"/>
      <c r="V14" s="50" t="s">
        <v>103</v>
      </c>
      <c r="W14" s="47">
        <v>20600</v>
      </c>
      <c r="X14" s="47">
        <v>52749</v>
      </c>
      <c r="Y14" s="18"/>
      <c r="Z14" s="47">
        <v>8000</v>
      </c>
      <c r="AA14" s="47">
        <v>21120</v>
      </c>
      <c r="AB14" s="18"/>
      <c r="AC14" s="86" t="s">
        <v>136</v>
      </c>
      <c r="AD14" s="18">
        <v>10000</v>
      </c>
      <c r="AE14" s="18">
        <v>31111</v>
      </c>
      <c r="AG14" s="86"/>
      <c r="AH14" s="18">
        <v>8500</v>
      </c>
      <c r="AI14" s="18">
        <v>19676</v>
      </c>
      <c r="AJ14" s="86"/>
      <c r="AK14" s="18">
        <v>5000</v>
      </c>
      <c r="AL14" s="18">
        <v>14706</v>
      </c>
      <c r="AM14" s="18"/>
      <c r="AN14" s="55" t="s">
        <v>136</v>
      </c>
      <c r="AO14" s="3">
        <v>6000</v>
      </c>
      <c r="AP14" s="3">
        <v>300000</v>
      </c>
      <c r="AR14" s="55" t="s">
        <v>136</v>
      </c>
      <c r="AS14" s="19">
        <v>3400</v>
      </c>
      <c r="AT14" s="19">
        <v>170000</v>
      </c>
      <c r="AV14" s="55" t="s">
        <v>136</v>
      </c>
      <c r="AW14" s="19">
        <v>1400</v>
      </c>
      <c r="AX14" s="19">
        <v>90000</v>
      </c>
      <c r="AZ14" s="55" t="s">
        <v>136</v>
      </c>
      <c r="BA14" s="3">
        <v>2500</v>
      </c>
      <c r="BB14" s="3">
        <v>175571</v>
      </c>
      <c r="BD14" s="3" t="s">
        <v>136</v>
      </c>
      <c r="BE14" s="3">
        <v>1800</v>
      </c>
      <c r="BF14" s="3">
        <v>8520</v>
      </c>
    </row>
    <row r="15" spans="1:59" s="3" customFormat="1" ht="15" customHeight="1" x14ac:dyDescent="0.3">
      <c r="A15" s="45" t="s">
        <v>124</v>
      </c>
      <c r="B15" s="45" t="s">
        <v>91</v>
      </c>
      <c r="C15" s="47"/>
      <c r="D15" s="47">
        <v>1124000</v>
      </c>
      <c r="F15" s="45" t="s">
        <v>91</v>
      </c>
      <c r="G15" s="47"/>
      <c r="H15" s="47">
        <v>1124000</v>
      </c>
      <c r="J15" s="55" t="s">
        <v>91</v>
      </c>
      <c r="K15" s="47"/>
      <c r="L15" s="47">
        <v>2062100</v>
      </c>
      <c r="M15" s="47"/>
      <c r="N15" s="55" t="s">
        <v>91</v>
      </c>
      <c r="O15" s="47"/>
      <c r="P15" s="47">
        <v>1003600</v>
      </c>
      <c r="R15" s="55" t="s">
        <v>91</v>
      </c>
      <c r="S15" s="47">
        <v>48000</v>
      </c>
      <c r="T15" s="47">
        <v>9600000</v>
      </c>
      <c r="V15" s="50" t="s">
        <v>91</v>
      </c>
      <c r="W15" s="47">
        <v>46000</v>
      </c>
      <c r="X15" s="47">
        <v>505494</v>
      </c>
      <c r="Y15" s="18"/>
      <c r="Z15" s="47">
        <v>46000</v>
      </c>
      <c r="AA15" s="47">
        <v>403516</v>
      </c>
      <c r="AB15" s="18"/>
      <c r="AC15" s="86" t="s">
        <v>71</v>
      </c>
      <c r="AD15" s="18">
        <v>59000</v>
      </c>
      <c r="AE15" s="18">
        <v>855556</v>
      </c>
      <c r="AG15" s="86"/>
      <c r="AH15" s="18">
        <v>67000</v>
      </c>
      <c r="AI15" s="18">
        <v>682408</v>
      </c>
      <c r="AJ15" s="86"/>
      <c r="AK15" s="18">
        <v>35000</v>
      </c>
      <c r="AL15" s="18">
        <v>343138</v>
      </c>
      <c r="AM15" s="18"/>
      <c r="AN15" s="55" t="s">
        <v>71</v>
      </c>
      <c r="AO15" s="2">
        <v>42000</v>
      </c>
      <c r="AP15" s="3">
        <v>5970265</v>
      </c>
      <c r="AR15" s="55" t="s">
        <v>71</v>
      </c>
      <c r="AS15" s="19">
        <v>38500</v>
      </c>
      <c r="AT15" s="19">
        <v>5000500</v>
      </c>
      <c r="AV15" s="55" t="s">
        <v>71</v>
      </c>
      <c r="AW15" s="19">
        <v>32250</v>
      </c>
      <c r="AX15" s="19">
        <v>5528565</v>
      </c>
      <c r="AZ15" s="55" t="s">
        <v>71</v>
      </c>
      <c r="BA15" s="3">
        <v>45500</v>
      </c>
      <c r="BB15" s="3">
        <v>7150000</v>
      </c>
      <c r="BD15" s="3" t="s">
        <v>71</v>
      </c>
      <c r="BE15" s="3">
        <v>38750</v>
      </c>
      <c r="BF15" s="3">
        <v>44030</v>
      </c>
    </row>
    <row r="16" spans="1:59" s="3" customFormat="1" ht="15" customHeight="1" x14ac:dyDescent="0.3">
      <c r="A16" s="45" t="s">
        <v>106</v>
      </c>
      <c r="B16" s="45" t="s">
        <v>70</v>
      </c>
      <c r="C16" s="47"/>
      <c r="D16" s="47">
        <v>33030</v>
      </c>
      <c r="F16" s="45" t="s">
        <v>70</v>
      </c>
      <c r="G16" s="47"/>
      <c r="H16" s="47">
        <v>21600</v>
      </c>
      <c r="J16" s="55" t="s">
        <v>70</v>
      </c>
      <c r="K16" s="47"/>
      <c r="L16" s="47">
        <v>208330</v>
      </c>
      <c r="M16" s="47"/>
      <c r="N16" s="55" t="s">
        <v>70</v>
      </c>
      <c r="O16" s="47"/>
      <c r="P16" s="47">
        <v>25860</v>
      </c>
      <c r="R16" s="55" t="s">
        <v>70</v>
      </c>
      <c r="S16" s="47">
        <v>300</v>
      </c>
      <c r="T16" s="47">
        <v>6000</v>
      </c>
      <c r="V16" s="50" t="s">
        <v>70</v>
      </c>
      <c r="W16" s="47">
        <v>310</v>
      </c>
      <c r="X16" s="47">
        <v>483</v>
      </c>
      <c r="Y16" s="18"/>
      <c r="Z16" s="47"/>
      <c r="AA16" s="47"/>
      <c r="AB16" s="18"/>
      <c r="AC16" s="100" t="s">
        <v>91</v>
      </c>
      <c r="AD16" s="18">
        <v>725</v>
      </c>
      <c r="AE16" s="18">
        <v>1804</v>
      </c>
      <c r="AG16" s="86" t="s">
        <v>13</v>
      </c>
      <c r="AH16" s="18">
        <v>650</v>
      </c>
      <c r="AI16" s="18">
        <v>6019</v>
      </c>
      <c r="AJ16" s="86"/>
      <c r="AK16" s="18">
        <v>60</v>
      </c>
      <c r="AL16" s="18">
        <v>588</v>
      </c>
      <c r="AM16" s="18"/>
      <c r="AN16" s="55" t="s">
        <v>13</v>
      </c>
      <c r="AO16" s="3">
        <v>550</v>
      </c>
      <c r="AP16" s="3">
        <v>47143</v>
      </c>
      <c r="AR16" s="55" t="s">
        <v>13</v>
      </c>
      <c r="AS16" s="19">
        <v>2100</v>
      </c>
      <c r="AT16" s="19">
        <v>150000</v>
      </c>
      <c r="AV16" s="55" t="s">
        <v>13</v>
      </c>
      <c r="AW16" s="19">
        <v>2300</v>
      </c>
      <c r="AX16" s="19">
        <v>111420</v>
      </c>
      <c r="AZ16" s="55" t="s">
        <v>13</v>
      </c>
      <c r="BA16" s="3">
        <v>2500</v>
      </c>
      <c r="BB16" s="3">
        <v>250000</v>
      </c>
      <c r="BD16" s="3" t="s">
        <v>13</v>
      </c>
      <c r="BE16" s="3">
        <v>3500</v>
      </c>
      <c r="BF16" s="3">
        <v>18666</v>
      </c>
    </row>
    <row r="17" spans="1:58" s="3" customFormat="1" ht="15" customHeight="1" x14ac:dyDescent="0.3">
      <c r="A17" s="45" t="s">
        <v>256</v>
      </c>
      <c r="B17" s="45" t="s">
        <v>70</v>
      </c>
      <c r="C17" s="47"/>
      <c r="D17" s="47"/>
      <c r="F17" s="45" t="s">
        <v>70</v>
      </c>
      <c r="G17" s="47"/>
      <c r="H17" s="47"/>
      <c r="J17" s="55" t="s">
        <v>70</v>
      </c>
      <c r="K17" s="47"/>
      <c r="L17" s="47"/>
      <c r="M17" s="47"/>
      <c r="N17" s="55" t="s">
        <v>70</v>
      </c>
      <c r="O17" s="47"/>
      <c r="P17" s="47"/>
      <c r="R17" s="55" t="s">
        <v>70</v>
      </c>
      <c r="S17" s="47"/>
      <c r="T17" s="47"/>
      <c r="V17" s="45" t="s">
        <v>70</v>
      </c>
      <c r="W17" s="47">
        <v>40</v>
      </c>
      <c r="X17" s="47">
        <v>132</v>
      </c>
      <c r="Y17" s="41"/>
      <c r="Z17" s="47"/>
      <c r="AA17" s="47"/>
      <c r="AB17" s="41"/>
      <c r="AC17" s="87"/>
      <c r="AD17" s="18"/>
      <c r="AE17" s="18"/>
      <c r="AG17" s="86"/>
      <c r="AH17" s="18"/>
      <c r="AI17" s="18"/>
      <c r="AJ17" s="86"/>
      <c r="AK17" s="18"/>
      <c r="AL17" s="18"/>
      <c r="AM17" s="18"/>
      <c r="AN17" s="55" t="s">
        <v>70</v>
      </c>
      <c r="AR17" s="55" t="s">
        <v>70</v>
      </c>
      <c r="AV17" s="55" t="s">
        <v>70</v>
      </c>
      <c r="AZ17" s="55" t="s">
        <v>70</v>
      </c>
    </row>
    <row r="18" spans="1:58" s="3" customFormat="1" ht="15" customHeight="1" x14ac:dyDescent="0.3">
      <c r="A18" s="45" t="s">
        <v>109</v>
      </c>
      <c r="B18" s="45" t="s">
        <v>70</v>
      </c>
      <c r="C18" s="47"/>
      <c r="D18" s="47"/>
      <c r="F18" s="45" t="s">
        <v>70</v>
      </c>
      <c r="G18" s="47"/>
      <c r="H18" s="47"/>
      <c r="J18" s="55" t="s">
        <v>70</v>
      </c>
      <c r="K18" s="47"/>
      <c r="L18" s="47"/>
      <c r="M18" s="47"/>
      <c r="N18" s="55" t="s">
        <v>70</v>
      </c>
      <c r="O18" s="47"/>
      <c r="P18" s="47"/>
      <c r="R18" s="55" t="s">
        <v>70</v>
      </c>
      <c r="S18" s="47"/>
      <c r="T18" s="47"/>
      <c r="V18" s="45" t="s">
        <v>70</v>
      </c>
      <c r="W18" s="47">
        <v>10</v>
      </c>
      <c r="X18" s="47">
        <v>87</v>
      </c>
      <c r="Y18" s="18"/>
      <c r="Z18" s="47">
        <v>2000</v>
      </c>
      <c r="AA18" s="47">
        <v>528</v>
      </c>
      <c r="AB18" s="18"/>
      <c r="AC18" s="86"/>
      <c r="AD18" s="18"/>
      <c r="AE18" s="18"/>
      <c r="AG18" s="86"/>
      <c r="AH18" s="18"/>
      <c r="AI18" s="18"/>
      <c r="AJ18" s="86"/>
      <c r="AK18" s="18"/>
      <c r="AL18" s="18"/>
      <c r="AM18" s="18"/>
      <c r="AN18" s="55" t="s">
        <v>70</v>
      </c>
      <c r="AR18" s="55" t="s">
        <v>70</v>
      </c>
      <c r="AV18" s="55" t="s">
        <v>70</v>
      </c>
      <c r="AZ18" s="55" t="s">
        <v>70</v>
      </c>
    </row>
    <row r="19" spans="1:58" s="3" customFormat="1" ht="15" customHeight="1" x14ac:dyDescent="0.3">
      <c r="A19" s="45" t="s">
        <v>110</v>
      </c>
      <c r="B19" s="45" t="s">
        <v>13</v>
      </c>
      <c r="C19" s="47">
        <v>2150</v>
      </c>
      <c r="D19" s="47">
        <v>31400</v>
      </c>
      <c r="F19" s="45" t="s">
        <v>13</v>
      </c>
      <c r="G19" s="47">
        <v>2150</v>
      </c>
      <c r="H19" s="47">
        <v>31400</v>
      </c>
      <c r="J19" s="55" t="s">
        <v>13</v>
      </c>
      <c r="K19" s="47">
        <v>1300</v>
      </c>
      <c r="L19" s="47">
        <v>23440</v>
      </c>
      <c r="M19" s="47"/>
      <c r="N19" s="55" t="s">
        <v>13</v>
      </c>
      <c r="O19" s="47">
        <v>2430</v>
      </c>
      <c r="P19" s="47">
        <v>73000</v>
      </c>
      <c r="R19" s="55" t="s">
        <v>13</v>
      </c>
      <c r="S19" s="47">
        <v>1400</v>
      </c>
      <c r="T19" s="47">
        <v>58000</v>
      </c>
      <c r="V19" s="45" t="s">
        <v>13</v>
      </c>
      <c r="W19" s="47">
        <v>150</v>
      </c>
      <c r="X19" s="47">
        <v>1318</v>
      </c>
      <c r="Y19" s="18"/>
      <c r="Z19" s="47">
        <v>400</v>
      </c>
      <c r="AA19" s="47">
        <v>348</v>
      </c>
      <c r="AB19" s="18"/>
      <c r="AC19" s="86" t="s">
        <v>13</v>
      </c>
      <c r="AD19" s="18">
        <v>400</v>
      </c>
      <c r="AE19" s="18">
        <v>2133</v>
      </c>
      <c r="AG19" s="86"/>
      <c r="AH19" s="18">
        <v>150</v>
      </c>
      <c r="AI19" s="18">
        <v>838</v>
      </c>
      <c r="AJ19" s="86"/>
      <c r="AK19" s="18">
        <v>100</v>
      </c>
      <c r="AL19" s="18">
        <v>588</v>
      </c>
      <c r="AM19" s="18"/>
      <c r="AN19" s="55" t="s">
        <v>13</v>
      </c>
      <c r="AO19" s="3">
        <v>350</v>
      </c>
      <c r="AP19" s="3">
        <v>35000</v>
      </c>
      <c r="AR19" s="55" t="s">
        <v>13</v>
      </c>
      <c r="AS19" s="19">
        <v>150</v>
      </c>
      <c r="AT19" s="19">
        <v>30000</v>
      </c>
      <c r="AV19" s="55" t="s">
        <v>13</v>
      </c>
      <c r="AW19" s="19">
        <v>115</v>
      </c>
      <c r="AX19" s="19">
        <v>49290</v>
      </c>
      <c r="AZ19" s="55" t="s">
        <v>13</v>
      </c>
      <c r="BA19" s="3">
        <v>150</v>
      </c>
      <c r="BB19" s="3">
        <v>53571</v>
      </c>
      <c r="BD19" s="55" t="s">
        <v>13</v>
      </c>
      <c r="BE19" s="3">
        <v>1250</v>
      </c>
      <c r="BF19" s="3">
        <v>5333</v>
      </c>
    </row>
    <row r="20" spans="1:58" s="3" customFormat="1" x14ac:dyDescent="0.3">
      <c r="A20" s="45" t="s">
        <v>258</v>
      </c>
      <c r="B20" s="45" t="s">
        <v>104</v>
      </c>
      <c r="C20" s="47">
        <v>250</v>
      </c>
      <c r="D20" s="47">
        <v>4950</v>
      </c>
      <c r="F20" s="45" t="s">
        <v>104</v>
      </c>
      <c r="G20" s="47">
        <v>250</v>
      </c>
      <c r="H20" s="47">
        <v>4950</v>
      </c>
      <c r="J20" s="55" t="s">
        <v>104</v>
      </c>
      <c r="K20" s="47">
        <v>500</v>
      </c>
      <c r="L20" s="47">
        <v>29580</v>
      </c>
      <c r="M20" s="47"/>
      <c r="N20" s="55" t="s">
        <v>104</v>
      </c>
      <c r="O20" s="47">
        <v>400</v>
      </c>
      <c r="P20" s="47">
        <v>20000</v>
      </c>
      <c r="R20" s="55" t="s">
        <v>104</v>
      </c>
      <c r="S20" s="47">
        <v>600</v>
      </c>
      <c r="T20" s="47">
        <v>48000</v>
      </c>
      <c r="V20" s="50" t="s">
        <v>104</v>
      </c>
      <c r="W20" s="47">
        <v>2500</v>
      </c>
      <c r="X20" s="47">
        <v>1923</v>
      </c>
      <c r="Y20" s="18"/>
      <c r="Z20" s="47">
        <v>30</v>
      </c>
      <c r="AA20" s="47">
        <v>988</v>
      </c>
      <c r="AB20" s="18"/>
      <c r="AC20" s="100" t="s">
        <v>71</v>
      </c>
      <c r="AD20" s="18">
        <v>40</v>
      </c>
      <c r="AE20" s="18">
        <v>1222</v>
      </c>
      <c r="AG20" s="86"/>
      <c r="AH20" s="18">
        <v>10</v>
      </c>
      <c r="AI20" s="18">
        <v>483</v>
      </c>
      <c r="AJ20" s="100" t="s">
        <v>91</v>
      </c>
      <c r="AK20" s="18">
        <v>15</v>
      </c>
      <c r="AL20" s="18">
        <v>588</v>
      </c>
      <c r="AM20" s="18"/>
      <c r="AN20" s="55" t="s">
        <v>13</v>
      </c>
      <c r="AO20" s="3">
        <v>45</v>
      </c>
      <c r="AP20" s="2">
        <v>25714</v>
      </c>
      <c r="AR20" s="55" t="s">
        <v>13</v>
      </c>
      <c r="AS20" s="19">
        <v>50</v>
      </c>
      <c r="AT20" s="19">
        <v>20000</v>
      </c>
      <c r="AV20" s="55" t="s">
        <v>13</v>
      </c>
      <c r="AW20" s="19">
        <v>60</v>
      </c>
      <c r="AX20" s="19">
        <v>25710</v>
      </c>
      <c r="AZ20" s="55" t="s">
        <v>13</v>
      </c>
      <c r="BA20" s="3">
        <v>75</v>
      </c>
      <c r="BB20" s="3">
        <v>42737</v>
      </c>
      <c r="BD20" s="55" t="s">
        <v>13</v>
      </c>
      <c r="BE20" s="3">
        <v>115</v>
      </c>
      <c r="BF20" s="3">
        <v>3266</v>
      </c>
    </row>
    <row r="21" spans="1:58" s="3" customFormat="1" ht="15" customHeight="1" x14ac:dyDescent="0.3">
      <c r="A21" s="45" t="s">
        <v>257</v>
      </c>
      <c r="B21" s="45" t="s">
        <v>72</v>
      </c>
      <c r="C21" s="47">
        <v>2000</v>
      </c>
      <c r="D21" s="47">
        <v>22000</v>
      </c>
      <c r="F21" s="45" t="s">
        <v>72</v>
      </c>
      <c r="G21" s="47">
        <v>2000</v>
      </c>
      <c r="H21" s="47">
        <v>22000</v>
      </c>
      <c r="J21" s="55" t="s">
        <v>72</v>
      </c>
      <c r="K21" s="47">
        <v>1000</v>
      </c>
      <c r="L21" s="47">
        <v>8000</v>
      </c>
      <c r="M21" s="47"/>
      <c r="N21" s="50" t="s">
        <v>72</v>
      </c>
      <c r="O21" s="47">
        <v>1500</v>
      </c>
      <c r="P21" s="47">
        <v>9000</v>
      </c>
      <c r="R21" s="45" t="s">
        <v>70</v>
      </c>
      <c r="S21" s="47"/>
      <c r="T21" s="47">
        <v>34000</v>
      </c>
      <c r="V21" s="50" t="s">
        <v>70</v>
      </c>
      <c r="W21" s="47">
        <v>30</v>
      </c>
      <c r="X21" s="47">
        <v>1208</v>
      </c>
      <c r="Y21" s="41"/>
      <c r="Z21" s="47"/>
      <c r="AA21" s="47"/>
      <c r="AB21" s="41"/>
      <c r="AC21" s="87" t="s">
        <v>13</v>
      </c>
      <c r="AD21" s="18"/>
      <c r="AE21" s="18">
        <v>800</v>
      </c>
      <c r="AG21" s="86"/>
      <c r="AH21" s="18">
        <v>25</v>
      </c>
      <c r="AI21" s="18">
        <v>463</v>
      </c>
      <c r="AJ21" s="15"/>
      <c r="AK21" s="18">
        <v>40</v>
      </c>
      <c r="AL21" s="18">
        <v>784</v>
      </c>
      <c r="AN21" s="55" t="s">
        <v>13</v>
      </c>
      <c r="AO21" s="3">
        <v>20</v>
      </c>
      <c r="AP21" s="3">
        <v>10080</v>
      </c>
      <c r="AR21" s="55" t="s">
        <v>13</v>
      </c>
      <c r="AS21" s="19">
        <v>42</v>
      </c>
      <c r="AT21" s="19">
        <v>9000</v>
      </c>
      <c r="AV21" s="55" t="s">
        <v>13</v>
      </c>
      <c r="AW21" s="19">
        <v>35</v>
      </c>
      <c r="AX21" s="19">
        <v>8010</v>
      </c>
      <c r="AZ21" s="55" t="s">
        <v>13</v>
      </c>
      <c r="BA21" s="3">
        <v>25</v>
      </c>
      <c r="BB21" s="3">
        <v>10714</v>
      </c>
      <c r="BD21" s="55" t="s">
        <v>13</v>
      </c>
      <c r="BE21" s="3">
        <v>28</v>
      </c>
      <c r="BF21" s="3">
        <v>803</v>
      </c>
    </row>
    <row r="22" spans="1:58" s="3" customFormat="1" x14ac:dyDescent="0.3">
      <c r="A22" s="45" t="s">
        <v>94</v>
      </c>
      <c r="B22" s="45" t="s">
        <v>13</v>
      </c>
      <c r="C22" s="47">
        <v>50</v>
      </c>
      <c r="D22" s="47">
        <v>10000</v>
      </c>
      <c r="F22" s="45" t="s">
        <v>13</v>
      </c>
      <c r="G22" s="47">
        <v>50</v>
      </c>
      <c r="H22" s="47">
        <v>10000</v>
      </c>
      <c r="J22" s="55" t="s">
        <v>13</v>
      </c>
      <c r="K22" s="47">
        <v>50</v>
      </c>
      <c r="L22" s="47">
        <v>10000</v>
      </c>
      <c r="M22" s="47"/>
      <c r="N22" s="55" t="s">
        <v>13</v>
      </c>
      <c r="O22" s="47">
        <v>15</v>
      </c>
      <c r="P22" s="47">
        <v>1800</v>
      </c>
      <c r="R22" s="55" t="s">
        <v>13</v>
      </c>
      <c r="S22" s="47">
        <v>90</v>
      </c>
      <c r="T22" s="47">
        <v>7200</v>
      </c>
      <c r="V22" s="45" t="s">
        <v>13</v>
      </c>
      <c r="W22" s="47">
        <v>70</v>
      </c>
      <c r="X22" s="47">
        <v>3814</v>
      </c>
      <c r="Y22" s="41"/>
      <c r="Z22" s="47">
        <v>400</v>
      </c>
      <c r="AA22" s="47">
        <v>2636</v>
      </c>
      <c r="AB22" s="41"/>
      <c r="AC22" s="87" t="s">
        <v>13</v>
      </c>
      <c r="AD22" s="18">
        <v>290</v>
      </c>
      <c r="AE22" s="18">
        <v>1111</v>
      </c>
      <c r="AG22" s="86"/>
      <c r="AH22" s="18">
        <v>46</v>
      </c>
      <c r="AI22" s="18">
        <v>426</v>
      </c>
      <c r="AJ22" s="86"/>
      <c r="AK22" s="18">
        <v>200</v>
      </c>
      <c r="AL22" s="18">
        <v>1177</v>
      </c>
      <c r="AM22" s="18"/>
      <c r="AN22" s="55" t="s">
        <v>13</v>
      </c>
      <c r="AO22" s="3">
        <v>750</v>
      </c>
      <c r="AP22" s="3">
        <v>63571</v>
      </c>
      <c r="AR22" s="55" t="s">
        <v>13</v>
      </c>
      <c r="AS22" s="19">
        <v>400</v>
      </c>
      <c r="AT22" s="19">
        <v>40000</v>
      </c>
      <c r="AV22" s="55" t="s">
        <v>13</v>
      </c>
      <c r="AW22" s="19">
        <v>500</v>
      </c>
      <c r="AX22" s="19">
        <v>57135</v>
      </c>
      <c r="AZ22" s="55" t="s">
        <v>13</v>
      </c>
      <c r="BA22" s="3">
        <v>950</v>
      </c>
      <c r="BB22" s="3">
        <v>122142</v>
      </c>
      <c r="BD22" s="55" t="s">
        <v>13</v>
      </c>
      <c r="BE22" s="3">
        <v>1975</v>
      </c>
      <c r="BF22" s="3">
        <v>24358</v>
      </c>
    </row>
    <row r="23" spans="1:58" s="3" customFormat="1" x14ac:dyDescent="0.3">
      <c r="A23" s="45" t="s">
        <v>20</v>
      </c>
      <c r="B23" s="45" t="s">
        <v>136</v>
      </c>
      <c r="C23" s="47">
        <v>4500</v>
      </c>
      <c r="D23" s="47">
        <v>604800</v>
      </c>
      <c r="F23" s="45" t="s">
        <v>136</v>
      </c>
      <c r="G23" s="47">
        <v>4500</v>
      </c>
      <c r="H23" s="47">
        <v>604800</v>
      </c>
      <c r="J23" s="55" t="s">
        <v>136</v>
      </c>
      <c r="K23" s="47">
        <v>1857</v>
      </c>
      <c r="L23" s="47">
        <v>319200</v>
      </c>
      <c r="M23" s="47"/>
      <c r="N23" s="50" t="s">
        <v>136</v>
      </c>
      <c r="O23" s="47">
        <v>165</v>
      </c>
      <c r="P23" s="47">
        <v>25000</v>
      </c>
      <c r="R23" s="50" t="s">
        <v>72</v>
      </c>
      <c r="S23" s="47">
        <v>250</v>
      </c>
      <c r="T23" s="47">
        <v>70000</v>
      </c>
      <c r="V23" s="50" t="s">
        <v>13</v>
      </c>
      <c r="W23" s="47">
        <v>850</v>
      </c>
      <c r="X23" s="47">
        <v>20549</v>
      </c>
      <c r="Y23" s="41"/>
      <c r="Z23" s="47">
        <v>500</v>
      </c>
      <c r="AA23" s="47">
        <v>5495</v>
      </c>
      <c r="AB23" s="41"/>
      <c r="AC23" s="103" t="s">
        <v>72</v>
      </c>
      <c r="AD23" s="18">
        <v>500</v>
      </c>
      <c r="AE23" s="18">
        <v>6000</v>
      </c>
      <c r="AG23" s="86" t="s">
        <v>13</v>
      </c>
      <c r="AH23" s="18">
        <v>650</v>
      </c>
      <c r="AI23" s="18">
        <v>12037</v>
      </c>
      <c r="AJ23" s="86"/>
      <c r="AK23" s="18">
        <v>450</v>
      </c>
      <c r="AL23" s="18">
        <v>8823</v>
      </c>
      <c r="AM23" s="18"/>
      <c r="AN23" s="55" t="s">
        <v>13</v>
      </c>
      <c r="AO23" s="3">
        <v>340</v>
      </c>
      <c r="AP23" s="3">
        <v>84800</v>
      </c>
      <c r="AR23" s="55" t="s">
        <v>13</v>
      </c>
      <c r="AS23" s="19">
        <v>770</v>
      </c>
      <c r="AT23" s="19">
        <v>165000</v>
      </c>
      <c r="AV23" s="55" t="s">
        <v>13</v>
      </c>
      <c r="AW23" s="19">
        <v>850</v>
      </c>
      <c r="AX23" s="19">
        <v>194280</v>
      </c>
      <c r="AZ23" s="55" t="s">
        <v>13</v>
      </c>
      <c r="BA23" s="3">
        <v>1500</v>
      </c>
      <c r="BB23" s="3">
        <v>385714</v>
      </c>
      <c r="BD23" s="55" t="s">
        <v>13</v>
      </c>
      <c r="BE23" s="3">
        <v>1175</v>
      </c>
      <c r="BF23" s="3">
        <v>391667</v>
      </c>
    </row>
    <row r="24" spans="1:58" s="3" customFormat="1" x14ac:dyDescent="0.3">
      <c r="A24" s="45" t="s">
        <v>138</v>
      </c>
      <c r="B24" s="45" t="s">
        <v>104</v>
      </c>
      <c r="C24" s="47"/>
      <c r="D24" s="47">
        <v>279900</v>
      </c>
      <c r="F24" s="45" t="s">
        <v>104</v>
      </c>
      <c r="G24" s="47"/>
      <c r="H24" s="47">
        <v>321500</v>
      </c>
      <c r="J24" s="55" t="s">
        <v>104</v>
      </c>
      <c r="K24" s="47"/>
      <c r="L24" s="47">
        <v>252480</v>
      </c>
      <c r="M24" s="47"/>
      <c r="N24" s="55" t="s">
        <v>104</v>
      </c>
      <c r="O24" s="47"/>
      <c r="P24" s="47">
        <v>119560</v>
      </c>
      <c r="R24" s="55" t="s">
        <v>104</v>
      </c>
      <c r="S24" s="47"/>
      <c r="T24" s="47">
        <v>580000</v>
      </c>
      <c r="V24" s="50" t="s">
        <v>104</v>
      </c>
      <c r="W24" s="47">
        <v>30000</v>
      </c>
      <c r="X24" s="47">
        <v>1648</v>
      </c>
      <c r="Y24" s="18"/>
      <c r="Z24" s="47">
        <v>2500</v>
      </c>
      <c r="AA24" s="47">
        <v>1659</v>
      </c>
      <c r="AB24" s="18"/>
      <c r="AC24" s="86" t="s">
        <v>136</v>
      </c>
      <c r="AD24" s="18">
        <v>2000</v>
      </c>
      <c r="AE24" s="18">
        <v>1333</v>
      </c>
      <c r="AG24" s="86"/>
      <c r="AH24" s="18">
        <v>750</v>
      </c>
      <c r="AI24" s="18">
        <v>486</v>
      </c>
      <c r="AJ24" s="86"/>
      <c r="AK24" s="18">
        <v>1000</v>
      </c>
      <c r="AL24" s="18">
        <v>706</v>
      </c>
      <c r="AM24" s="18"/>
      <c r="AN24" s="55" t="s">
        <v>136</v>
      </c>
      <c r="AO24" s="3">
        <v>4000</v>
      </c>
      <c r="AP24" s="3">
        <v>48714</v>
      </c>
      <c r="AR24" s="55" t="s">
        <v>136</v>
      </c>
      <c r="AS24" s="19">
        <v>3000</v>
      </c>
      <c r="AT24" s="19">
        <v>60000</v>
      </c>
      <c r="AV24" s="55" t="s">
        <v>136</v>
      </c>
      <c r="AW24" s="19">
        <v>3200</v>
      </c>
      <c r="AX24" s="19">
        <v>68565</v>
      </c>
      <c r="AZ24" s="55" t="s">
        <v>136</v>
      </c>
      <c r="BA24" s="3">
        <v>4500</v>
      </c>
      <c r="BB24" s="3">
        <v>77142</v>
      </c>
      <c r="BD24" s="55" t="s">
        <v>136</v>
      </c>
      <c r="BE24" s="3">
        <v>3960</v>
      </c>
      <c r="BF24" s="3">
        <v>5280</v>
      </c>
    </row>
    <row r="25" spans="1:58" s="3" customFormat="1" ht="15" customHeight="1" x14ac:dyDescent="0.3">
      <c r="A25" s="45" t="s">
        <v>19</v>
      </c>
      <c r="B25" s="45" t="s">
        <v>13</v>
      </c>
      <c r="C25" s="47">
        <v>3000</v>
      </c>
      <c r="D25" s="47">
        <v>22800</v>
      </c>
      <c r="F25" s="45" t="s">
        <v>13</v>
      </c>
      <c r="G25" s="47">
        <v>3500</v>
      </c>
      <c r="H25" s="47">
        <v>25200</v>
      </c>
      <c r="J25" s="55" t="s">
        <v>13</v>
      </c>
      <c r="K25" s="47">
        <v>4000</v>
      </c>
      <c r="L25" s="47">
        <v>24000</v>
      </c>
      <c r="M25" s="47"/>
      <c r="N25" s="55" t="s">
        <v>13</v>
      </c>
      <c r="O25" s="47">
        <v>2000</v>
      </c>
      <c r="P25" s="47">
        <v>19200</v>
      </c>
      <c r="R25" s="55" t="s">
        <v>13</v>
      </c>
      <c r="S25" s="47">
        <v>1500</v>
      </c>
      <c r="T25" s="47">
        <v>9000</v>
      </c>
      <c r="V25" s="45" t="s">
        <v>13</v>
      </c>
      <c r="W25" s="47">
        <v>4000</v>
      </c>
      <c r="X25" s="47">
        <v>792</v>
      </c>
      <c r="Y25" s="18"/>
      <c r="Z25" s="47">
        <v>4000</v>
      </c>
      <c r="AA25" s="47">
        <v>2198</v>
      </c>
      <c r="AB25" s="18"/>
      <c r="AC25" s="86" t="s">
        <v>13</v>
      </c>
      <c r="AD25" s="18">
        <v>6000</v>
      </c>
      <c r="AE25" s="18">
        <v>3333</v>
      </c>
      <c r="AG25" s="86"/>
      <c r="AH25" s="18">
        <v>3000</v>
      </c>
      <c r="AI25" s="18">
        <v>1667</v>
      </c>
      <c r="AJ25" s="86"/>
      <c r="AK25" s="18">
        <v>5000</v>
      </c>
      <c r="AL25" s="18">
        <v>2745</v>
      </c>
      <c r="AM25" s="18"/>
      <c r="AN25" s="55" t="s">
        <v>13</v>
      </c>
      <c r="AO25" s="3">
        <v>4500</v>
      </c>
      <c r="AP25" s="3">
        <v>38571</v>
      </c>
      <c r="AR25" s="55" t="s">
        <v>13</v>
      </c>
      <c r="AS25" s="19">
        <v>8000</v>
      </c>
      <c r="AT25" s="19">
        <v>60570</v>
      </c>
      <c r="AV25" s="55" t="s">
        <v>13</v>
      </c>
      <c r="AW25" s="19">
        <v>8500</v>
      </c>
      <c r="AX25" s="19">
        <v>67995</v>
      </c>
      <c r="AZ25" s="55" t="s">
        <v>13</v>
      </c>
      <c r="BA25" s="3">
        <v>9500</v>
      </c>
      <c r="BB25" s="3">
        <v>81428</v>
      </c>
      <c r="BD25" s="55" t="s">
        <v>13</v>
      </c>
      <c r="BE25" s="3">
        <v>2350</v>
      </c>
      <c r="BF25" s="3">
        <v>1238</v>
      </c>
    </row>
    <row r="26" spans="1:58" s="3" customFormat="1" ht="15" customHeight="1" x14ac:dyDescent="0.3">
      <c r="A26" s="45" t="s">
        <v>111</v>
      </c>
      <c r="B26" s="45" t="s">
        <v>72</v>
      </c>
      <c r="C26" s="47"/>
      <c r="D26" s="47"/>
      <c r="F26" s="45" t="s">
        <v>72</v>
      </c>
      <c r="G26" s="47"/>
      <c r="H26" s="47"/>
      <c r="J26" s="55" t="s">
        <v>72</v>
      </c>
      <c r="K26" s="47"/>
      <c r="L26" s="47"/>
      <c r="M26" s="47"/>
      <c r="N26" s="55" t="s">
        <v>72</v>
      </c>
      <c r="O26" s="47"/>
      <c r="P26" s="47"/>
      <c r="R26" s="55" t="s">
        <v>72</v>
      </c>
      <c r="S26" s="47"/>
      <c r="T26" s="47"/>
      <c r="V26" s="45" t="s">
        <v>72</v>
      </c>
      <c r="W26" s="47">
        <v>10</v>
      </c>
      <c r="X26" s="47">
        <v>110</v>
      </c>
      <c r="Y26" s="18"/>
      <c r="Z26" s="47"/>
      <c r="AA26" s="47"/>
      <c r="AB26" s="18"/>
      <c r="AC26" s="86"/>
      <c r="AD26" s="18"/>
      <c r="AE26" s="18"/>
      <c r="AG26" s="86"/>
      <c r="AH26" s="18"/>
      <c r="AI26" s="18"/>
      <c r="AJ26" s="86"/>
      <c r="AK26" s="18"/>
      <c r="AL26" s="18"/>
      <c r="AM26" s="18"/>
      <c r="AN26" s="55" t="s">
        <v>72</v>
      </c>
      <c r="AR26" s="55" t="s">
        <v>72</v>
      </c>
      <c r="AV26" s="55" t="s">
        <v>72</v>
      </c>
      <c r="AZ26" s="55" t="s">
        <v>72</v>
      </c>
    </row>
    <row r="27" spans="1:58" s="3" customFormat="1" ht="15" customHeight="1" x14ac:dyDescent="0.3">
      <c r="A27" s="45" t="s">
        <v>10</v>
      </c>
      <c r="B27" s="45" t="s">
        <v>70</v>
      </c>
      <c r="C27" s="47"/>
      <c r="D27" s="47"/>
      <c r="F27" s="45" t="s">
        <v>70</v>
      </c>
      <c r="G27" s="47"/>
      <c r="H27" s="47"/>
      <c r="J27" s="55" t="s">
        <v>70</v>
      </c>
      <c r="K27" s="47"/>
      <c r="L27" s="47"/>
      <c r="M27" s="47"/>
      <c r="N27" s="55" t="s">
        <v>70</v>
      </c>
      <c r="O27" s="47"/>
      <c r="P27" s="47"/>
      <c r="R27" s="55" t="s">
        <v>70</v>
      </c>
      <c r="S27" s="47"/>
      <c r="T27" s="47"/>
      <c r="V27" s="45" t="s">
        <v>70</v>
      </c>
      <c r="W27" s="47">
        <v>120</v>
      </c>
      <c r="X27" s="47">
        <v>132</v>
      </c>
      <c r="Y27" s="18"/>
      <c r="Z27" s="47"/>
      <c r="AA27" s="47"/>
      <c r="AB27" s="18"/>
      <c r="AC27" s="86"/>
      <c r="AD27" s="18"/>
      <c r="AE27" s="18"/>
      <c r="AG27" s="86"/>
      <c r="AH27" s="18"/>
      <c r="AI27" s="18"/>
      <c r="AJ27" s="86"/>
      <c r="AK27" s="18"/>
      <c r="AL27" s="18"/>
      <c r="AM27" s="18"/>
      <c r="AN27" s="55" t="s">
        <v>70</v>
      </c>
      <c r="AR27" s="55" t="s">
        <v>70</v>
      </c>
      <c r="AV27" s="55" t="s">
        <v>70</v>
      </c>
      <c r="AZ27" s="55" t="s">
        <v>70</v>
      </c>
    </row>
    <row r="28" spans="1:58" s="3" customFormat="1" ht="15" customHeight="1" x14ac:dyDescent="0.3">
      <c r="A28" s="45" t="s">
        <v>125</v>
      </c>
      <c r="B28" s="45" t="s">
        <v>13</v>
      </c>
      <c r="C28" s="47"/>
      <c r="D28" s="47"/>
      <c r="F28" s="45" t="s">
        <v>13</v>
      </c>
      <c r="G28" s="47"/>
      <c r="H28" s="47"/>
      <c r="J28" s="55" t="s">
        <v>13</v>
      </c>
      <c r="K28" s="47"/>
      <c r="L28" s="47"/>
      <c r="M28" s="47"/>
      <c r="N28" s="55" t="s">
        <v>13</v>
      </c>
      <c r="O28" s="47"/>
      <c r="P28" s="47"/>
      <c r="R28" s="55" t="s">
        <v>13</v>
      </c>
      <c r="S28" s="47"/>
      <c r="T28" s="47"/>
      <c r="V28" s="45" t="s">
        <v>13</v>
      </c>
      <c r="W28" s="47"/>
      <c r="X28" s="47"/>
      <c r="Y28" s="18"/>
      <c r="Z28" s="47">
        <v>2000</v>
      </c>
      <c r="AA28" s="47">
        <v>3954</v>
      </c>
      <c r="AB28" s="18"/>
      <c r="AC28" s="86"/>
      <c r="AD28" s="18"/>
      <c r="AE28" s="18"/>
      <c r="AG28" s="86"/>
      <c r="AH28" s="18"/>
      <c r="AI28" s="18"/>
      <c r="AJ28" s="86"/>
      <c r="AK28" s="18"/>
      <c r="AL28" s="18"/>
      <c r="AM28" s="18"/>
      <c r="AN28" s="55" t="s">
        <v>13</v>
      </c>
      <c r="AR28" s="55" t="s">
        <v>13</v>
      </c>
      <c r="AV28" s="55" t="s">
        <v>13</v>
      </c>
      <c r="AZ28" s="55" t="s">
        <v>13</v>
      </c>
    </row>
    <row r="29" spans="1:58" s="3" customFormat="1" ht="15" customHeight="1" x14ac:dyDescent="0.3">
      <c r="A29" s="45" t="s">
        <v>259</v>
      </c>
      <c r="B29" s="45" t="s">
        <v>13</v>
      </c>
      <c r="C29" s="47">
        <v>1000</v>
      </c>
      <c r="D29" s="47">
        <v>100000</v>
      </c>
      <c r="F29" s="45" t="s">
        <v>13</v>
      </c>
      <c r="G29" s="47">
        <v>1000</v>
      </c>
      <c r="H29" s="47">
        <v>100000</v>
      </c>
      <c r="J29" s="55" t="s">
        <v>13</v>
      </c>
      <c r="K29" s="47">
        <v>950</v>
      </c>
      <c r="L29" s="47">
        <v>95000</v>
      </c>
      <c r="M29" s="47"/>
      <c r="N29" s="55" t="s">
        <v>13</v>
      </c>
      <c r="O29" s="47">
        <v>1200</v>
      </c>
      <c r="P29" s="47">
        <v>62400</v>
      </c>
      <c r="R29" s="55" t="s">
        <v>13</v>
      </c>
      <c r="S29" s="47">
        <v>1500</v>
      </c>
      <c r="T29" s="47">
        <v>84000</v>
      </c>
      <c r="V29" s="45" t="s">
        <v>13</v>
      </c>
      <c r="W29" s="47">
        <v>1500</v>
      </c>
      <c r="X29" s="47">
        <v>5272</v>
      </c>
      <c r="Y29" s="18"/>
      <c r="Z29" s="47">
        <v>1500</v>
      </c>
      <c r="AA29" s="47">
        <v>5272</v>
      </c>
      <c r="AB29" s="18"/>
      <c r="AC29" s="86" t="s">
        <v>13</v>
      </c>
      <c r="AD29" s="18">
        <v>1000</v>
      </c>
      <c r="AE29" s="18">
        <v>3778</v>
      </c>
      <c r="AG29" s="86"/>
      <c r="AH29" s="18">
        <v>900</v>
      </c>
      <c r="AI29" s="18">
        <v>2500</v>
      </c>
      <c r="AJ29" s="86"/>
      <c r="AK29" s="18">
        <v>600</v>
      </c>
      <c r="AL29" s="18">
        <v>2118</v>
      </c>
      <c r="AM29" s="18"/>
      <c r="AN29" s="55" t="s">
        <v>13</v>
      </c>
      <c r="AO29" s="3">
        <v>420</v>
      </c>
      <c r="AP29" s="3">
        <v>24000</v>
      </c>
      <c r="AR29" s="55" t="s">
        <v>13</v>
      </c>
      <c r="AS29" s="19">
        <v>350</v>
      </c>
      <c r="AT29" s="19">
        <v>20000</v>
      </c>
      <c r="AV29" s="55" t="s">
        <v>13</v>
      </c>
      <c r="AW29" s="19">
        <v>400</v>
      </c>
      <c r="AX29" s="19">
        <v>25155</v>
      </c>
      <c r="AZ29" s="55" t="s">
        <v>13</v>
      </c>
      <c r="BA29" s="3">
        <v>350</v>
      </c>
      <c r="BB29" s="3">
        <v>25000</v>
      </c>
      <c r="BD29" s="3" t="s">
        <v>13</v>
      </c>
      <c r="BE29" s="3">
        <v>675</v>
      </c>
      <c r="BF29" s="3">
        <v>2836</v>
      </c>
    </row>
    <row r="30" spans="1:58" s="3" customFormat="1" ht="15" customHeight="1" x14ac:dyDescent="0.3">
      <c r="A30" s="45" t="s">
        <v>113</v>
      </c>
      <c r="B30" s="45" t="s">
        <v>13</v>
      </c>
      <c r="C30" s="47"/>
      <c r="D30" s="47"/>
      <c r="F30" s="45" t="s">
        <v>13</v>
      </c>
      <c r="G30" s="47"/>
      <c r="H30" s="47"/>
      <c r="J30" s="55" t="s">
        <v>13</v>
      </c>
      <c r="K30" s="47"/>
      <c r="L30" s="47"/>
      <c r="M30" s="47"/>
      <c r="N30" s="55" t="s">
        <v>13</v>
      </c>
      <c r="O30" s="47"/>
      <c r="P30" s="47"/>
      <c r="Q30" s="55"/>
      <c r="R30" s="55" t="s">
        <v>13</v>
      </c>
      <c r="S30" s="47"/>
      <c r="T30" s="47"/>
      <c r="V30" s="45" t="s">
        <v>13</v>
      </c>
      <c r="W30" s="47">
        <v>10</v>
      </c>
      <c r="X30" s="47">
        <v>110</v>
      </c>
      <c r="Y30" s="41"/>
      <c r="Z30" s="47">
        <v>2000</v>
      </c>
      <c r="AA30" s="47">
        <v>132</v>
      </c>
      <c r="AB30" s="41"/>
      <c r="AC30" s="87"/>
      <c r="AD30" s="18"/>
      <c r="AE30" s="18"/>
      <c r="AG30" s="86"/>
      <c r="AH30" s="18"/>
      <c r="AI30" s="18"/>
      <c r="AJ30" s="86"/>
      <c r="AK30" s="18"/>
      <c r="AL30" s="18"/>
      <c r="AM30" s="18"/>
      <c r="AN30" s="55" t="s">
        <v>13</v>
      </c>
      <c r="AR30" s="55" t="s">
        <v>13</v>
      </c>
      <c r="AV30" s="55" t="s">
        <v>13</v>
      </c>
      <c r="AZ30" s="55" t="s">
        <v>13</v>
      </c>
    </row>
    <row r="31" spans="1:58" s="3" customFormat="1" ht="15" customHeight="1" x14ac:dyDescent="0.3">
      <c r="A31" s="45" t="s">
        <v>107</v>
      </c>
      <c r="B31" s="45" t="s">
        <v>13</v>
      </c>
      <c r="C31" s="47"/>
      <c r="D31" s="47"/>
      <c r="F31" s="45" t="s">
        <v>13</v>
      </c>
      <c r="G31" s="47"/>
      <c r="H31" s="47"/>
      <c r="J31" s="55" t="s">
        <v>13</v>
      </c>
      <c r="K31" s="47"/>
      <c r="L31" s="47"/>
      <c r="M31" s="47"/>
      <c r="N31" s="55" t="s">
        <v>13</v>
      </c>
      <c r="O31" s="47"/>
      <c r="P31" s="47"/>
      <c r="Q31" s="55"/>
      <c r="R31" s="55" t="s">
        <v>13</v>
      </c>
      <c r="S31" s="47"/>
      <c r="T31" s="47"/>
      <c r="V31" s="45" t="s">
        <v>13</v>
      </c>
      <c r="W31" s="47">
        <v>200</v>
      </c>
      <c r="X31" s="47">
        <v>153</v>
      </c>
      <c r="Y31" s="18"/>
      <c r="Z31" s="47">
        <v>150</v>
      </c>
      <c r="AA31" s="47">
        <v>230</v>
      </c>
      <c r="AB31" s="18"/>
      <c r="AC31" s="86"/>
      <c r="AD31" s="18"/>
      <c r="AE31" s="18"/>
      <c r="AG31" s="86"/>
      <c r="AH31" s="18"/>
      <c r="AI31" s="18"/>
      <c r="AJ31" s="86"/>
      <c r="AK31" s="18"/>
      <c r="AL31" s="18"/>
      <c r="AM31" s="18"/>
      <c r="AN31" s="55" t="s">
        <v>13</v>
      </c>
      <c r="AR31" s="55" t="s">
        <v>13</v>
      </c>
      <c r="AV31" s="55" t="s">
        <v>13</v>
      </c>
      <c r="AZ31" s="55" t="s">
        <v>13</v>
      </c>
    </row>
    <row r="32" spans="1:58" s="3" customFormat="1" ht="15" customHeight="1" x14ac:dyDescent="0.3">
      <c r="A32" s="45" t="s">
        <v>126</v>
      </c>
      <c r="B32" s="45" t="s">
        <v>104</v>
      </c>
      <c r="C32" s="47">
        <v>550</v>
      </c>
      <c r="D32" s="47">
        <v>35300</v>
      </c>
      <c r="F32" s="45" t="s">
        <v>104</v>
      </c>
      <c r="G32" s="47">
        <v>550</v>
      </c>
      <c r="H32" s="47">
        <v>35300</v>
      </c>
      <c r="J32" s="55" t="s">
        <v>104</v>
      </c>
      <c r="K32" s="47">
        <v>250</v>
      </c>
      <c r="L32" s="47">
        <v>36080</v>
      </c>
      <c r="M32" s="47"/>
      <c r="N32" s="55" t="s">
        <v>104</v>
      </c>
      <c r="O32" s="47">
        <v>3650</v>
      </c>
      <c r="P32" s="47">
        <v>135000</v>
      </c>
      <c r="Q32" s="55"/>
      <c r="R32" s="50" t="s">
        <v>104</v>
      </c>
      <c r="S32" s="47">
        <v>1500</v>
      </c>
      <c r="T32" s="47">
        <v>75000</v>
      </c>
      <c r="V32" s="50" t="s">
        <v>91</v>
      </c>
      <c r="W32" s="47"/>
      <c r="X32" s="47"/>
      <c r="Y32" s="41"/>
      <c r="Z32" s="47">
        <v>200</v>
      </c>
      <c r="AA32" s="47">
        <v>28571</v>
      </c>
      <c r="AB32" s="41"/>
      <c r="AC32" s="87"/>
      <c r="AD32" s="18"/>
      <c r="AE32" s="18"/>
      <c r="AG32" s="100" t="s">
        <v>71</v>
      </c>
      <c r="AH32" s="18">
        <v>130</v>
      </c>
      <c r="AI32" s="18">
        <v>2408</v>
      </c>
      <c r="AJ32" s="100" t="s">
        <v>91</v>
      </c>
      <c r="AK32" s="18">
        <v>30</v>
      </c>
      <c r="AL32" s="18">
        <v>882</v>
      </c>
      <c r="AM32" s="18"/>
      <c r="AN32" s="55" t="s">
        <v>136</v>
      </c>
      <c r="AO32" s="3">
        <v>35</v>
      </c>
      <c r="AP32" s="3">
        <v>10000</v>
      </c>
      <c r="AR32" s="55" t="s">
        <v>136</v>
      </c>
      <c r="AS32" s="19">
        <v>100</v>
      </c>
      <c r="AT32" s="19">
        <v>30000</v>
      </c>
      <c r="AV32" s="55" t="s">
        <v>136</v>
      </c>
      <c r="AZ32" s="55" t="s">
        <v>136</v>
      </c>
    </row>
    <row r="33" spans="1:58" s="3" customFormat="1" x14ac:dyDescent="0.3">
      <c r="A33" s="45" t="s">
        <v>129</v>
      </c>
      <c r="B33" s="45" t="s">
        <v>91</v>
      </c>
      <c r="C33" s="47"/>
      <c r="D33" s="47"/>
      <c r="F33" s="45" t="s">
        <v>91</v>
      </c>
      <c r="G33" s="47"/>
      <c r="H33" s="47"/>
      <c r="J33" s="55" t="s">
        <v>91</v>
      </c>
      <c r="K33" s="47"/>
      <c r="L33" s="47"/>
      <c r="M33" s="47"/>
      <c r="N33" s="55" t="s">
        <v>91</v>
      </c>
      <c r="O33" s="47"/>
      <c r="P33" s="47"/>
      <c r="Q33" s="55"/>
      <c r="R33" s="55" t="s">
        <v>91</v>
      </c>
      <c r="S33" s="47"/>
      <c r="T33" s="47"/>
      <c r="V33" s="45" t="s">
        <v>91</v>
      </c>
      <c r="W33" s="47"/>
      <c r="X33" s="47"/>
      <c r="Y33" s="18"/>
      <c r="Z33" s="47">
        <v>80</v>
      </c>
      <c r="AA33" s="47">
        <v>10990</v>
      </c>
      <c r="AB33" s="18"/>
      <c r="AC33" s="86"/>
      <c r="AD33" s="18"/>
      <c r="AE33" s="18"/>
      <c r="AG33" s="86"/>
      <c r="AH33" s="18"/>
      <c r="AI33" s="18"/>
      <c r="AJ33" s="86"/>
      <c r="AK33" s="18"/>
      <c r="AL33" s="18"/>
      <c r="AM33" s="18"/>
      <c r="AN33" s="55" t="s">
        <v>91</v>
      </c>
      <c r="AR33" s="55" t="s">
        <v>91</v>
      </c>
      <c r="AV33" s="55" t="s">
        <v>91</v>
      </c>
      <c r="AZ33" s="55" t="s">
        <v>91</v>
      </c>
    </row>
    <row r="34" spans="1:58" s="3" customFormat="1" x14ac:dyDescent="0.3">
      <c r="A34" s="45" t="s">
        <v>115</v>
      </c>
      <c r="B34" s="45" t="s">
        <v>136</v>
      </c>
      <c r="C34" s="47">
        <v>6420</v>
      </c>
      <c r="D34" s="47">
        <v>132670</v>
      </c>
      <c r="F34" s="45" t="s">
        <v>136</v>
      </c>
      <c r="G34" s="47">
        <v>7700</v>
      </c>
      <c r="H34" s="47">
        <v>158770</v>
      </c>
      <c r="J34" s="55" t="s">
        <v>136</v>
      </c>
      <c r="K34" s="47">
        <v>4100</v>
      </c>
      <c r="L34" s="47">
        <v>132320</v>
      </c>
      <c r="M34" s="47"/>
      <c r="N34" s="50" t="s">
        <v>136</v>
      </c>
      <c r="O34" s="47">
        <v>11670</v>
      </c>
      <c r="P34" s="47">
        <v>470160</v>
      </c>
      <c r="Q34" s="55"/>
      <c r="R34" s="55" t="s">
        <v>91</v>
      </c>
      <c r="S34" s="47">
        <v>2700</v>
      </c>
      <c r="T34" s="47">
        <v>75600</v>
      </c>
      <c r="V34" s="50" t="s">
        <v>91</v>
      </c>
      <c r="W34" s="47">
        <v>3800</v>
      </c>
      <c r="X34" s="47">
        <v>8571</v>
      </c>
      <c r="Y34" s="18"/>
      <c r="Z34" s="47">
        <v>2400</v>
      </c>
      <c r="AA34" s="47">
        <v>2892</v>
      </c>
      <c r="AB34" s="18"/>
      <c r="AC34" s="86"/>
      <c r="AD34" s="18"/>
      <c r="AE34" s="18"/>
      <c r="AG34" s="86" t="s">
        <v>136</v>
      </c>
      <c r="AH34" s="18">
        <v>6000</v>
      </c>
      <c r="AI34" s="18">
        <v>7778</v>
      </c>
      <c r="AJ34" s="86"/>
      <c r="AK34" s="18">
        <v>5100</v>
      </c>
      <c r="AL34" s="18">
        <v>10000</v>
      </c>
      <c r="AM34" s="18"/>
      <c r="AN34" s="55" t="s">
        <v>136</v>
      </c>
      <c r="AO34" s="3">
        <v>6500</v>
      </c>
      <c r="AP34" s="3">
        <v>222857</v>
      </c>
      <c r="AR34" s="50" t="s">
        <v>136</v>
      </c>
      <c r="AS34" s="19">
        <v>7600</v>
      </c>
      <c r="AT34" s="19">
        <v>185710</v>
      </c>
      <c r="AV34" s="55" t="s">
        <v>91</v>
      </c>
      <c r="AW34" s="19">
        <v>6400</v>
      </c>
      <c r="AX34" s="19">
        <v>274275</v>
      </c>
      <c r="AZ34" s="55" t="s">
        <v>91</v>
      </c>
      <c r="BA34" s="3">
        <v>5500</v>
      </c>
      <c r="BB34" s="3">
        <v>251428</v>
      </c>
      <c r="BD34" s="3" t="s">
        <v>91</v>
      </c>
      <c r="BE34" s="3">
        <v>2250</v>
      </c>
      <c r="BF34" s="3">
        <v>15000</v>
      </c>
    </row>
    <row r="35" spans="1:58" s="3" customFormat="1" x14ac:dyDescent="0.3">
      <c r="A35" s="45" t="s">
        <v>127</v>
      </c>
      <c r="B35" s="45" t="s">
        <v>70</v>
      </c>
      <c r="C35" s="47"/>
      <c r="D35" s="47"/>
      <c r="F35" s="45" t="s">
        <v>70</v>
      </c>
      <c r="G35" s="47"/>
      <c r="H35" s="47"/>
      <c r="J35" s="55" t="s">
        <v>70</v>
      </c>
      <c r="K35" s="47"/>
      <c r="L35" s="47"/>
      <c r="M35" s="47"/>
      <c r="N35" s="55" t="s">
        <v>70</v>
      </c>
      <c r="O35" s="47"/>
      <c r="P35" s="47"/>
      <c r="Q35" s="55"/>
      <c r="R35" s="55" t="s">
        <v>70</v>
      </c>
      <c r="S35" s="47"/>
      <c r="T35" s="47"/>
      <c r="V35" s="45" t="s">
        <v>70</v>
      </c>
      <c r="W35" s="47"/>
      <c r="X35" s="47"/>
      <c r="Y35" s="18"/>
      <c r="Z35" s="47">
        <v>50</v>
      </c>
      <c r="AA35" s="47">
        <v>110</v>
      </c>
      <c r="AB35" s="18"/>
      <c r="AC35" s="86"/>
      <c r="AD35" s="18"/>
      <c r="AE35" s="18"/>
      <c r="AG35" s="86"/>
      <c r="AH35" s="18"/>
      <c r="AI35" s="18"/>
      <c r="AJ35" s="86"/>
      <c r="AK35" s="18"/>
      <c r="AL35" s="18"/>
      <c r="AM35" s="18"/>
      <c r="AN35" s="55" t="s">
        <v>70</v>
      </c>
      <c r="AR35" s="55" t="s">
        <v>70</v>
      </c>
      <c r="AV35" s="55" t="s">
        <v>70</v>
      </c>
      <c r="AZ35" s="55" t="s">
        <v>70</v>
      </c>
    </row>
    <row r="36" spans="1:58" s="3" customFormat="1" x14ac:dyDescent="0.3">
      <c r="A36" s="45" t="s">
        <v>116</v>
      </c>
      <c r="B36" s="45" t="s">
        <v>91</v>
      </c>
      <c r="C36" s="47"/>
      <c r="D36" s="47"/>
      <c r="F36" s="45" t="s">
        <v>91</v>
      </c>
      <c r="G36" s="47"/>
      <c r="H36" s="47"/>
      <c r="J36" s="55" t="s">
        <v>91</v>
      </c>
      <c r="K36" s="47"/>
      <c r="L36" s="47"/>
      <c r="M36" s="47"/>
      <c r="N36" s="55" t="s">
        <v>91</v>
      </c>
      <c r="O36" s="47"/>
      <c r="P36" s="47"/>
      <c r="Q36" s="55"/>
      <c r="R36" s="55" t="s">
        <v>91</v>
      </c>
      <c r="S36" s="47"/>
      <c r="T36" s="47"/>
      <c r="V36" s="45" t="s">
        <v>91</v>
      </c>
      <c r="W36" s="47"/>
      <c r="X36" s="47"/>
      <c r="Y36" s="18"/>
      <c r="Z36" s="47">
        <v>50</v>
      </c>
      <c r="AA36" s="47">
        <v>55</v>
      </c>
      <c r="AB36" s="18"/>
      <c r="AC36" s="86"/>
      <c r="AD36" s="18"/>
      <c r="AE36" s="18"/>
      <c r="AG36" s="86"/>
      <c r="AH36" s="18"/>
      <c r="AI36" s="18"/>
      <c r="AJ36" s="86"/>
      <c r="AK36" s="18"/>
      <c r="AL36" s="18"/>
      <c r="AM36" s="18"/>
      <c r="AN36" s="55" t="s">
        <v>91</v>
      </c>
      <c r="AR36" s="55" t="s">
        <v>91</v>
      </c>
      <c r="AV36" s="55" t="s">
        <v>91</v>
      </c>
      <c r="AZ36" s="55" t="s">
        <v>91</v>
      </c>
    </row>
    <row r="37" spans="1:58" s="3" customFormat="1" x14ac:dyDescent="0.3">
      <c r="A37" s="45" t="s">
        <v>116</v>
      </c>
      <c r="B37" s="45" t="s">
        <v>137</v>
      </c>
      <c r="C37" s="47"/>
      <c r="D37" s="47"/>
      <c r="F37" s="45" t="s">
        <v>137</v>
      </c>
      <c r="G37" s="47"/>
      <c r="H37" s="47"/>
      <c r="J37" s="55" t="s">
        <v>137</v>
      </c>
      <c r="K37" s="47"/>
      <c r="L37" s="47"/>
      <c r="M37" s="47"/>
      <c r="N37" s="55" t="s">
        <v>137</v>
      </c>
      <c r="O37" s="47"/>
      <c r="P37" s="47"/>
      <c r="Q37" s="55"/>
      <c r="R37" s="55" t="s">
        <v>137</v>
      </c>
      <c r="S37" s="47"/>
      <c r="T37" s="47"/>
      <c r="V37" s="45" t="s">
        <v>137</v>
      </c>
      <c r="W37" s="47">
        <v>50</v>
      </c>
      <c r="X37" s="47">
        <v>44</v>
      </c>
      <c r="Y37" s="18"/>
      <c r="Z37" s="47"/>
      <c r="AA37" s="47"/>
      <c r="AB37" s="18"/>
      <c r="AC37" s="86"/>
      <c r="AD37" s="18"/>
      <c r="AE37" s="18"/>
      <c r="AG37" s="86"/>
      <c r="AH37" s="18"/>
      <c r="AI37" s="18"/>
      <c r="AJ37" s="86"/>
      <c r="AK37" s="18"/>
      <c r="AL37" s="18"/>
      <c r="AM37" s="18"/>
      <c r="AN37" s="55" t="s">
        <v>137</v>
      </c>
      <c r="AR37" s="55" t="s">
        <v>137</v>
      </c>
      <c r="AV37" s="55" t="s">
        <v>137</v>
      </c>
      <c r="AZ37" s="55" t="s">
        <v>137</v>
      </c>
    </row>
    <row r="38" spans="1:58" s="3" customFormat="1" ht="15" customHeight="1" x14ac:dyDescent="0.3">
      <c r="A38" s="45" t="s">
        <v>128</v>
      </c>
      <c r="B38" s="45" t="s">
        <v>71</v>
      </c>
      <c r="C38" s="47"/>
      <c r="D38" s="47"/>
      <c r="F38" s="45" t="s">
        <v>71</v>
      </c>
      <c r="G38" s="47"/>
      <c r="H38" s="47"/>
      <c r="J38" s="55" t="s">
        <v>71</v>
      </c>
      <c r="K38" s="47"/>
      <c r="L38" s="47"/>
      <c r="M38" s="47"/>
      <c r="N38" s="55" t="s">
        <v>71</v>
      </c>
      <c r="O38" s="47"/>
      <c r="P38" s="47"/>
      <c r="Q38" s="55"/>
      <c r="R38" s="55" t="s">
        <v>71</v>
      </c>
      <c r="S38" s="47"/>
      <c r="T38" s="47"/>
      <c r="V38" s="45" t="s">
        <v>71</v>
      </c>
      <c r="W38" s="47"/>
      <c r="X38" s="47"/>
      <c r="Y38" s="18"/>
      <c r="Z38" s="47">
        <v>50</v>
      </c>
      <c r="AA38" s="47">
        <v>110</v>
      </c>
      <c r="AB38" s="18"/>
      <c r="AC38" s="86"/>
      <c r="AD38" s="18"/>
      <c r="AE38" s="18"/>
      <c r="AG38" s="86"/>
      <c r="AH38" s="18"/>
      <c r="AI38" s="18"/>
      <c r="AJ38" s="86"/>
      <c r="AK38" s="18"/>
      <c r="AL38" s="18"/>
      <c r="AM38" s="18"/>
      <c r="AN38" s="55" t="s">
        <v>71</v>
      </c>
      <c r="AR38" s="55" t="s">
        <v>71</v>
      </c>
      <c r="AV38" s="55" t="s">
        <v>71</v>
      </c>
      <c r="AZ38" s="55" t="s">
        <v>71</v>
      </c>
    </row>
    <row r="39" spans="1:58" s="3" customFormat="1" ht="15" customHeight="1" x14ac:dyDescent="0.3">
      <c r="A39" s="45" t="s">
        <v>114</v>
      </c>
      <c r="B39" s="45" t="s">
        <v>136</v>
      </c>
      <c r="C39" s="47">
        <v>18000</v>
      </c>
      <c r="D39" s="47">
        <v>322560</v>
      </c>
      <c r="F39" s="45" t="s">
        <v>136</v>
      </c>
      <c r="G39" s="47">
        <v>15000</v>
      </c>
      <c r="H39" s="47">
        <v>302400</v>
      </c>
      <c r="J39" s="55" t="s">
        <v>136</v>
      </c>
      <c r="K39" s="47">
        <v>35714</v>
      </c>
      <c r="L39" s="47">
        <v>550000</v>
      </c>
      <c r="M39" s="47"/>
      <c r="N39" s="50" t="s">
        <v>136</v>
      </c>
      <c r="O39" s="47">
        <v>50000</v>
      </c>
      <c r="P39" s="47">
        <v>700000</v>
      </c>
      <c r="Q39" s="55"/>
      <c r="R39" s="55" t="s">
        <v>13</v>
      </c>
      <c r="S39" s="47">
        <v>22000</v>
      </c>
      <c r="T39" s="47">
        <v>550000</v>
      </c>
      <c r="V39" s="45" t="s">
        <v>13</v>
      </c>
      <c r="W39" s="47">
        <v>42000</v>
      </c>
      <c r="X39" s="47">
        <v>78461</v>
      </c>
      <c r="Y39" s="18"/>
      <c r="Z39" s="47">
        <v>32000</v>
      </c>
      <c r="AA39" s="47">
        <v>63360</v>
      </c>
      <c r="AB39" s="18"/>
      <c r="AC39" s="100" t="s">
        <v>13</v>
      </c>
      <c r="AD39" s="18">
        <v>22000</v>
      </c>
      <c r="AE39" s="18">
        <v>44000</v>
      </c>
      <c r="AG39" s="100" t="s">
        <v>136</v>
      </c>
      <c r="AH39" s="18">
        <v>22000</v>
      </c>
      <c r="AI39" s="18">
        <v>21185</v>
      </c>
      <c r="AJ39" s="86"/>
      <c r="AK39" s="18">
        <v>18000</v>
      </c>
      <c r="AL39" s="18">
        <v>17647</v>
      </c>
      <c r="AM39" s="18"/>
      <c r="AN39" s="55" t="s">
        <v>13</v>
      </c>
      <c r="AO39" s="19">
        <v>9000</v>
      </c>
      <c r="AP39" s="3">
        <v>205714</v>
      </c>
      <c r="AR39" s="55" t="s">
        <v>13</v>
      </c>
      <c r="AS39" s="19">
        <v>12000</v>
      </c>
      <c r="AT39" s="19">
        <v>308570</v>
      </c>
      <c r="AV39" s="55" t="s">
        <v>13</v>
      </c>
      <c r="AW39" s="19">
        <v>15000</v>
      </c>
      <c r="AX39" s="19">
        <v>342855</v>
      </c>
      <c r="AZ39" s="55" t="s">
        <v>13</v>
      </c>
      <c r="BA39" s="3">
        <v>42000</v>
      </c>
      <c r="BB39" s="3">
        <v>960000</v>
      </c>
      <c r="BD39" s="3" t="s">
        <v>13</v>
      </c>
      <c r="BE39" s="3">
        <v>48000</v>
      </c>
      <c r="BF39" s="3">
        <v>49800</v>
      </c>
    </row>
    <row r="40" spans="1:58" s="3" customFormat="1" ht="15" customHeight="1" x14ac:dyDescent="0.3">
      <c r="A40" s="45" t="s">
        <v>134</v>
      </c>
      <c r="B40" s="45" t="s">
        <v>136</v>
      </c>
      <c r="C40" s="47">
        <v>46607</v>
      </c>
      <c r="D40" s="47">
        <v>745200</v>
      </c>
      <c r="F40" s="45" t="s">
        <v>136</v>
      </c>
      <c r="G40" s="47">
        <v>41428</v>
      </c>
      <c r="H40" s="47">
        <v>691200</v>
      </c>
      <c r="J40" s="55" t="s">
        <v>136</v>
      </c>
      <c r="K40" s="47">
        <v>32850</v>
      </c>
      <c r="L40" s="47">
        <v>726160</v>
      </c>
      <c r="M40" s="47"/>
      <c r="N40" s="50" t="s">
        <v>136</v>
      </c>
      <c r="O40" s="47">
        <v>52500</v>
      </c>
      <c r="P40" s="47">
        <v>840000</v>
      </c>
      <c r="Q40" s="55"/>
      <c r="R40" s="50" t="s">
        <v>91</v>
      </c>
      <c r="S40" s="47">
        <v>30000</v>
      </c>
      <c r="T40" s="47">
        <v>600000</v>
      </c>
      <c r="V40" s="50" t="s">
        <v>13</v>
      </c>
      <c r="W40" s="47">
        <v>36000</v>
      </c>
      <c r="X40" s="47">
        <v>47472</v>
      </c>
      <c r="Y40" s="18"/>
      <c r="Z40" s="47">
        <v>24000</v>
      </c>
      <c r="AA40" s="47">
        <v>31680</v>
      </c>
      <c r="AB40" s="18"/>
      <c r="AC40" s="100" t="s">
        <v>74</v>
      </c>
      <c r="AD40" s="18">
        <v>14000</v>
      </c>
      <c r="AE40" s="18">
        <v>17111</v>
      </c>
      <c r="AG40" s="100" t="s">
        <v>136</v>
      </c>
      <c r="AH40" s="18">
        <v>30000</v>
      </c>
      <c r="AI40" s="18">
        <v>25000</v>
      </c>
      <c r="AJ40" s="86" t="s">
        <v>74</v>
      </c>
      <c r="AK40" s="18">
        <v>12000</v>
      </c>
      <c r="AL40" s="18">
        <v>11765</v>
      </c>
      <c r="AM40" s="18"/>
      <c r="AN40" s="55" t="s">
        <v>74</v>
      </c>
      <c r="AO40" s="19">
        <v>13500</v>
      </c>
      <c r="AP40" s="3">
        <v>230000</v>
      </c>
      <c r="AR40" s="50" t="s">
        <v>74</v>
      </c>
      <c r="AS40" s="19">
        <v>14000</v>
      </c>
      <c r="AT40" s="19">
        <v>310000</v>
      </c>
      <c r="AV40" s="55" t="s">
        <v>91</v>
      </c>
      <c r="AW40" s="19">
        <v>13500</v>
      </c>
      <c r="AX40" s="19">
        <v>385725</v>
      </c>
      <c r="AZ40" s="50" t="s">
        <v>91</v>
      </c>
      <c r="BA40" s="3">
        <v>86000</v>
      </c>
      <c r="BB40" s="3">
        <v>720000</v>
      </c>
      <c r="BD40" s="3" t="s">
        <v>74</v>
      </c>
      <c r="BE40" s="3">
        <v>44000</v>
      </c>
      <c r="BF40" s="3">
        <v>56467</v>
      </c>
    </row>
    <row r="41" spans="1:58" s="3" customFormat="1" ht="15" customHeight="1" x14ac:dyDescent="0.3">
      <c r="A41" s="45" t="s">
        <v>18</v>
      </c>
      <c r="B41" s="45" t="s">
        <v>136</v>
      </c>
      <c r="C41" s="47">
        <v>1570</v>
      </c>
      <c r="D41" s="47">
        <v>137000</v>
      </c>
      <c r="F41" s="45" t="s">
        <v>136</v>
      </c>
      <c r="G41" s="47">
        <v>1830</v>
      </c>
      <c r="H41" s="47">
        <v>134500</v>
      </c>
      <c r="J41" s="55" t="s">
        <v>136</v>
      </c>
      <c r="K41" s="47">
        <v>1900</v>
      </c>
      <c r="L41" s="47">
        <v>141400</v>
      </c>
      <c r="M41" s="47"/>
      <c r="N41" s="50" t="s">
        <v>136</v>
      </c>
      <c r="O41" s="47">
        <v>2400</v>
      </c>
      <c r="P41" s="47">
        <v>223800</v>
      </c>
      <c r="Q41" s="55"/>
      <c r="R41" s="50" t="s">
        <v>13</v>
      </c>
      <c r="S41" s="47">
        <v>2000</v>
      </c>
      <c r="T41" s="47">
        <v>144000</v>
      </c>
      <c r="V41" s="45" t="s">
        <v>13</v>
      </c>
      <c r="W41" s="47"/>
      <c r="X41" s="47"/>
      <c r="Y41" s="18"/>
      <c r="Z41" s="47"/>
      <c r="AA41" s="47"/>
      <c r="AB41" s="18"/>
      <c r="AC41" s="100" t="s">
        <v>13</v>
      </c>
      <c r="AD41" s="18">
        <v>12000</v>
      </c>
      <c r="AE41" s="18">
        <v>53334</v>
      </c>
      <c r="AG41" s="86"/>
      <c r="AH41" s="18">
        <v>15000</v>
      </c>
      <c r="AI41" s="18">
        <v>50000</v>
      </c>
      <c r="AJ41" s="100" t="s">
        <v>143</v>
      </c>
      <c r="AK41" s="18">
        <v>9000</v>
      </c>
      <c r="AL41" s="18">
        <v>30000</v>
      </c>
      <c r="AM41" s="18"/>
      <c r="AN41" s="55" t="s">
        <v>13</v>
      </c>
      <c r="AO41" s="19">
        <v>12000</v>
      </c>
      <c r="AP41" s="3">
        <v>617143</v>
      </c>
      <c r="AR41" s="55" t="s">
        <v>13</v>
      </c>
      <c r="AS41" s="19">
        <v>13500</v>
      </c>
      <c r="AT41" s="19">
        <v>945000</v>
      </c>
      <c r="AV41" s="55" t="s">
        <v>13</v>
      </c>
      <c r="AW41" s="19">
        <v>15000</v>
      </c>
      <c r="AX41" s="19">
        <v>1071420</v>
      </c>
      <c r="AZ41" s="55" t="s">
        <v>13</v>
      </c>
      <c r="BA41" s="3">
        <v>20500</v>
      </c>
      <c r="BB41" s="3">
        <v>1285571</v>
      </c>
      <c r="BD41" s="3" t="s">
        <v>13</v>
      </c>
      <c r="BE41" s="3">
        <v>18500</v>
      </c>
      <c r="BF41" s="3">
        <v>86900</v>
      </c>
    </row>
    <row r="42" spans="1:58" s="3" customFormat="1" ht="15" customHeight="1" x14ac:dyDescent="0.3">
      <c r="A42" s="45" t="s">
        <v>117</v>
      </c>
      <c r="B42" s="45" t="s">
        <v>13</v>
      </c>
      <c r="C42" s="47"/>
      <c r="D42" s="47"/>
      <c r="F42" s="45" t="s">
        <v>13</v>
      </c>
      <c r="G42" s="47"/>
      <c r="H42" s="47"/>
      <c r="J42" s="55" t="s">
        <v>13</v>
      </c>
      <c r="K42" s="47"/>
      <c r="L42" s="47"/>
      <c r="M42" s="47"/>
      <c r="N42" s="55" t="s">
        <v>13</v>
      </c>
      <c r="O42" s="47"/>
      <c r="P42" s="47"/>
      <c r="Q42" s="55"/>
      <c r="R42" s="55" t="s">
        <v>13</v>
      </c>
      <c r="S42" s="47"/>
      <c r="T42" s="47"/>
      <c r="V42" s="45" t="s">
        <v>13</v>
      </c>
      <c r="W42" s="47">
        <v>4000</v>
      </c>
      <c r="X42" s="47">
        <v>15816</v>
      </c>
      <c r="Y42" s="18"/>
      <c r="Z42" s="47">
        <v>3000</v>
      </c>
      <c r="AA42" s="47">
        <v>9891</v>
      </c>
      <c r="AB42" s="18"/>
      <c r="AC42" s="86"/>
      <c r="AD42" s="18"/>
      <c r="AE42" s="18"/>
      <c r="AG42" s="86"/>
      <c r="AH42" s="18"/>
      <c r="AI42" s="18"/>
      <c r="AJ42" s="86"/>
      <c r="AK42" s="18"/>
      <c r="AL42" s="18"/>
      <c r="AM42" s="18"/>
      <c r="AN42" s="55" t="s">
        <v>13</v>
      </c>
      <c r="AR42" s="55" t="s">
        <v>13</v>
      </c>
      <c r="AV42" s="55" t="s">
        <v>13</v>
      </c>
      <c r="AZ42" s="55" t="s">
        <v>13</v>
      </c>
    </row>
    <row r="43" spans="1:58" s="3" customFormat="1" ht="15" customHeight="1" x14ac:dyDescent="0.3">
      <c r="A43" s="45" t="s">
        <v>131</v>
      </c>
      <c r="B43" s="45" t="s">
        <v>13</v>
      </c>
      <c r="C43" s="47"/>
      <c r="D43" s="47"/>
      <c r="F43" s="45" t="s">
        <v>13</v>
      </c>
      <c r="G43" s="47"/>
      <c r="H43" s="47"/>
      <c r="J43" s="55" t="s">
        <v>13</v>
      </c>
      <c r="K43" s="47"/>
      <c r="L43" s="47"/>
      <c r="M43" s="47"/>
      <c r="N43" s="55" t="s">
        <v>13</v>
      </c>
      <c r="O43" s="47"/>
      <c r="P43" s="47"/>
      <c r="Q43" s="55"/>
      <c r="R43" s="55" t="s">
        <v>13</v>
      </c>
      <c r="S43" s="47"/>
      <c r="T43" s="47"/>
      <c r="V43" s="45" t="s">
        <v>13</v>
      </c>
      <c r="W43" s="47"/>
      <c r="X43" s="47"/>
      <c r="Y43" s="18"/>
      <c r="Z43" s="47">
        <v>3000</v>
      </c>
      <c r="AA43" s="47">
        <v>16489</v>
      </c>
      <c r="AB43" s="18"/>
      <c r="AC43" s="86"/>
      <c r="AD43" s="18"/>
      <c r="AE43" s="18"/>
      <c r="AG43" s="86"/>
      <c r="AH43" s="18"/>
      <c r="AI43" s="18"/>
      <c r="AJ43" s="86"/>
      <c r="AK43" s="18"/>
      <c r="AL43" s="18"/>
      <c r="AM43" s="18"/>
      <c r="AN43" s="55" t="s">
        <v>13</v>
      </c>
      <c r="AO43"/>
      <c r="AP43"/>
      <c r="AR43" s="55" t="s">
        <v>13</v>
      </c>
      <c r="AS43"/>
      <c r="AT43"/>
      <c r="AV43" s="55" t="s">
        <v>13</v>
      </c>
      <c r="AW43"/>
      <c r="AX43"/>
      <c r="AZ43" s="55" t="s">
        <v>13</v>
      </c>
    </row>
    <row r="44" spans="1:58" s="3" customFormat="1" ht="15" customHeight="1" x14ac:dyDescent="0.3">
      <c r="A44" s="45" t="s">
        <v>130</v>
      </c>
      <c r="B44" s="45" t="s">
        <v>13</v>
      </c>
      <c r="C44" s="47"/>
      <c r="D44" s="47"/>
      <c r="F44" s="45" t="s">
        <v>13</v>
      </c>
      <c r="G44" s="47"/>
      <c r="H44" s="47"/>
      <c r="J44" s="55" t="s">
        <v>13</v>
      </c>
      <c r="K44" s="47"/>
      <c r="L44" s="47"/>
      <c r="M44" s="47"/>
      <c r="N44" s="55" t="s">
        <v>13</v>
      </c>
      <c r="O44" s="47"/>
      <c r="P44" s="47"/>
      <c r="Q44" s="55"/>
      <c r="R44" s="55" t="s">
        <v>13</v>
      </c>
      <c r="S44" s="47"/>
      <c r="T44" s="47"/>
      <c r="V44" s="45" t="s">
        <v>13</v>
      </c>
      <c r="W44" s="47"/>
      <c r="X44" s="47"/>
      <c r="Y44" s="18"/>
      <c r="Z44" s="47">
        <v>2000</v>
      </c>
      <c r="AA44" s="47">
        <v>6120</v>
      </c>
      <c r="AB44" s="18"/>
      <c r="AC44" s="86"/>
      <c r="AD44" s="18"/>
      <c r="AE44" s="18"/>
      <c r="AG44" s="86"/>
      <c r="AH44" s="18"/>
      <c r="AI44" s="18"/>
      <c r="AJ44" s="86"/>
      <c r="AK44" s="18"/>
      <c r="AL44" s="18"/>
      <c r="AM44" s="18"/>
      <c r="AN44" s="55" t="s">
        <v>13</v>
      </c>
      <c r="AP44"/>
      <c r="AR44" s="55" t="s">
        <v>13</v>
      </c>
      <c r="AS44"/>
      <c r="AT44"/>
      <c r="AV44" s="55" t="s">
        <v>13</v>
      </c>
      <c r="AW44"/>
      <c r="AX44"/>
      <c r="AZ44" s="55" t="s">
        <v>13</v>
      </c>
    </row>
    <row r="45" spans="1:58" s="3" customFormat="1" ht="15" customHeight="1" x14ac:dyDescent="0.3">
      <c r="A45" s="45" t="s">
        <v>118</v>
      </c>
      <c r="B45" s="45" t="s">
        <v>13</v>
      </c>
      <c r="C45" s="47"/>
      <c r="D45" s="47"/>
      <c r="F45" s="45" t="s">
        <v>13</v>
      </c>
      <c r="G45" s="47"/>
      <c r="H45" s="47"/>
      <c r="J45" s="55" t="s">
        <v>13</v>
      </c>
      <c r="K45" s="47"/>
      <c r="L45" s="47"/>
      <c r="M45" s="47"/>
      <c r="N45" s="55" t="s">
        <v>13</v>
      </c>
      <c r="O45" s="47"/>
      <c r="P45" s="47"/>
      <c r="Q45" s="55"/>
      <c r="R45" s="55" t="s">
        <v>13</v>
      </c>
      <c r="S45" s="47"/>
      <c r="T45" s="47"/>
      <c r="V45" s="45" t="s">
        <v>13</v>
      </c>
      <c r="W45" s="47">
        <v>250</v>
      </c>
      <c r="X45" s="47">
        <v>1208</v>
      </c>
      <c r="Y45" s="18"/>
      <c r="Z45" s="47">
        <v>800</v>
      </c>
      <c r="AA45" s="47">
        <v>4396</v>
      </c>
      <c r="AB45" s="18"/>
      <c r="AC45" s="86"/>
      <c r="AD45" s="18"/>
      <c r="AE45" s="18"/>
      <c r="AG45" s="86"/>
      <c r="AH45" s="18"/>
      <c r="AI45" s="18"/>
      <c r="AJ45" s="86"/>
      <c r="AK45" s="18"/>
      <c r="AL45" s="18"/>
      <c r="AM45" s="18"/>
      <c r="AN45" s="55" t="s">
        <v>13</v>
      </c>
      <c r="AP45"/>
      <c r="AR45" s="55" t="s">
        <v>13</v>
      </c>
      <c r="AS45"/>
      <c r="AT45"/>
      <c r="AV45" s="55" t="s">
        <v>13</v>
      </c>
      <c r="AW45"/>
      <c r="AX45"/>
      <c r="AZ45" s="55" t="s">
        <v>13</v>
      </c>
    </row>
    <row r="46" spans="1:58" s="3" customFormat="1" ht="15" customHeight="1" x14ac:dyDescent="0.3">
      <c r="A46" s="45" t="s">
        <v>121</v>
      </c>
      <c r="B46" s="45" t="s">
        <v>72</v>
      </c>
      <c r="C46" s="47">
        <v>800</v>
      </c>
      <c r="D46" s="47">
        <v>5440</v>
      </c>
      <c r="F46" s="45" t="s">
        <v>72</v>
      </c>
      <c r="G46" s="47">
        <v>850</v>
      </c>
      <c r="H46" s="47">
        <v>5780</v>
      </c>
      <c r="J46" s="50" t="s">
        <v>72</v>
      </c>
      <c r="K46" s="47">
        <v>250</v>
      </c>
      <c r="L46" s="47">
        <v>1550</v>
      </c>
      <c r="M46" s="47"/>
      <c r="N46" s="50" t="s">
        <v>91</v>
      </c>
      <c r="O46" s="47">
        <v>450</v>
      </c>
      <c r="P46" s="47">
        <v>21800</v>
      </c>
      <c r="R46" s="55" t="s">
        <v>71</v>
      </c>
      <c r="S46" s="47">
        <v>1500</v>
      </c>
      <c r="T46" s="47">
        <v>90000</v>
      </c>
      <c r="V46" s="45" t="s">
        <v>71</v>
      </c>
      <c r="W46" s="47">
        <v>200</v>
      </c>
      <c r="X46" s="47">
        <v>1318</v>
      </c>
      <c r="Y46" s="18"/>
      <c r="Z46" s="47">
        <v>500</v>
      </c>
      <c r="AA46" s="47">
        <v>3297</v>
      </c>
      <c r="AB46" s="18"/>
      <c r="AC46" s="86" t="s">
        <v>71</v>
      </c>
      <c r="AD46" s="18">
        <v>400</v>
      </c>
      <c r="AE46" s="18">
        <v>2667</v>
      </c>
      <c r="AG46" s="86"/>
      <c r="AH46" s="18">
        <v>400</v>
      </c>
      <c r="AI46" s="18">
        <v>2593</v>
      </c>
      <c r="AJ46" s="86"/>
      <c r="AK46" s="18">
        <v>120</v>
      </c>
      <c r="AL46" s="18">
        <v>941</v>
      </c>
      <c r="AM46" s="18"/>
      <c r="AN46" s="55" t="s">
        <v>71</v>
      </c>
      <c r="AO46" s="3">
        <v>250</v>
      </c>
      <c r="AP46" s="3">
        <v>32143</v>
      </c>
      <c r="AR46" s="55" t="s">
        <v>71</v>
      </c>
      <c r="AS46" s="19">
        <v>620</v>
      </c>
      <c r="AT46" s="19">
        <v>62000</v>
      </c>
      <c r="AV46" s="55" t="s">
        <v>71</v>
      </c>
      <c r="AW46" s="19">
        <v>1575</v>
      </c>
      <c r="AX46" s="19">
        <v>180000</v>
      </c>
      <c r="AZ46" s="55" t="s">
        <v>71</v>
      </c>
      <c r="BA46" s="3">
        <v>2500</v>
      </c>
      <c r="BB46" s="3">
        <v>321428</v>
      </c>
      <c r="BD46" s="3" t="s">
        <v>71</v>
      </c>
      <c r="BE46" s="3">
        <v>3780</v>
      </c>
      <c r="BF46" s="3">
        <v>32760</v>
      </c>
    </row>
    <row r="47" spans="1:58" s="3" customFormat="1" ht="15" customHeight="1" x14ac:dyDescent="0.3">
      <c r="A47" s="45" t="s">
        <v>119</v>
      </c>
      <c r="B47" s="45" t="s">
        <v>120</v>
      </c>
      <c r="C47" s="47"/>
      <c r="D47" s="47"/>
      <c r="F47" s="45" t="s">
        <v>120</v>
      </c>
      <c r="G47" s="47"/>
      <c r="H47" s="47"/>
      <c r="J47" s="55" t="s">
        <v>120</v>
      </c>
      <c r="K47" s="47"/>
      <c r="L47" s="47"/>
      <c r="M47" s="47"/>
      <c r="N47" s="55" t="s">
        <v>120</v>
      </c>
      <c r="O47" s="47"/>
      <c r="P47" s="47"/>
      <c r="Q47" s="55"/>
      <c r="R47" s="55" t="s">
        <v>120</v>
      </c>
      <c r="S47" s="47"/>
      <c r="T47" s="47"/>
      <c r="V47" s="50" t="s">
        <v>120</v>
      </c>
      <c r="W47" s="47">
        <v>1000</v>
      </c>
      <c r="X47" s="47">
        <v>1593</v>
      </c>
      <c r="Y47" s="18"/>
      <c r="Z47" s="47">
        <v>900</v>
      </c>
      <c r="AA47" s="47">
        <v>1758</v>
      </c>
      <c r="AB47" s="18"/>
      <c r="AC47" s="86" t="s">
        <v>136</v>
      </c>
      <c r="AD47" s="18">
        <v>450</v>
      </c>
      <c r="AE47" s="18">
        <v>1500</v>
      </c>
      <c r="AG47" s="86"/>
      <c r="AH47" s="18">
        <v>300</v>
      </c>
      <c r="AI47" s="18">
        <v>667</v>
      </c>
      <c r="AJ47" s="86"/>
      <c r="AK47" s="18">
        <v>350</v>
      </c>
      <c r="AL47" s="18">
        <v>1373</v>
      </c>
      <c r="AM47" s="18"/>
      <c r="AN47" s="55" t="s">
        <v>136</v>
      </c>
      <c r="AO47" s="3">
        <v>310</v>
      </c>
      <c r="AP47" s="3">
        <v>12485</v>
      </c>
      <c r="AR47" s="55" t="s">
        <v>136</v>
      </c>
      <c r="AS47" s="19">
        <v>600</v>
      </c>
      <c r="AT47" s="19">
        <v>36000</v>
      </c>
      <c r="AV47" s="55" t="s">
        <v>136</v>
      </c>
      <c r="AW47" s="19">
        <v>1300</v>
      </c>
      <c r="AX47" s="19">
        <v>57135</v>
      </c>
      <c r="AZ47" s="55" t="s">
        <v>136</v>
      </c>
      <c r="BA47" s="3">
        <v>750</v>
      </c>
      <c r="BB47" s="3">
        <v>35571</v>
      </c>
      <c r="BD47" s="3" t="s">
        <v>136</v>
      </c>
      <c r="BF47" s="3">
        <v>5917</v>
      </c>
    </row>
    <row r="48" spans="1:58" s="3" customFormat="1" ht="15" customHeight="1" x14ac:dyDescent="0.3">
      <c r="A48" s="45" t="s">
        <v>22</v>
      </c>
      <c r="B48" s="45" t="s">
        <v>70</v>
      </c>
      <c r="C48" s="47"/>
      <c r="D48" s="47"/>
      <c r="F48" s="45" t="s">
        <v>70</v>
      </c>
      <c r="G48" s="47"/>
      <c r="H48" s="47"/>
      <c r="J48" s="55" t="s">
        <v>70</v>
      </c>
      <c r="K48" s="47"/>
      <c r="L48" s="47"/>
      <c r="M48" s="47"/>
      <c r="N48" s="55" t="s">
        <v>70</v>
      </c>
      <c r="O48" s="47"/>
      <c r="P48" s="47"/>
      <c r="Q48" s="55"/>
      <c r="R48" s="55" t="s">
        <v>70</v>
      </c>
      <c r="S48" s="47"/>
      <c r="T48" s="47"/>
      <c r="V48" s="45" t="s">
        <v>70</v>
      </c>
      <c r="W48" s="47">
        <v>30</v>
      </c>
      <c r="X48" s="47">
        <v>164</v>
      </c>
      <c r="Y48" s="18"/>
      <c r="Z48" s="47"/>
      <c r="AA48" s="47"/>
      <c r="AB48" s="18"/>
      <c r="AC48" s="86"/>
      <c r="AD48" s="18"/>
      <c r="AE48" s="18"/>
      <c r="AG48" s="86"/>
      <c r="AH48" s="18"/>
      <c r="AI48" s="18"/>
      <c r="AJ48" s="86"/>
      <c r="AK48" s="18"/>
      <c r="AL48" s="18"/>
      <c r="AM48" s="18"/>
      <c r="AN48" s="55" t="s">
        <v>70</v>
      </c>
      <c r="AO48"/>
      <c r="AP48"/>
      <c r="AR48" s="55" t="s">
        <v>70</v>
      </c>
      <c r="AS48"/>
      <c r="AT48"/>
      <c r="AV48" s="55" t="s">
        <v>70</v>
      </c>
      <c r="AW48"/>
      <c r="AX48"/>
      <c r="AZ48" s="55" t="s">
        <v>70</v>
      </c>
    </row>
    <row r="49" spans="1:58" s="3" customFormat="1" ht="15" customHeight="1" x14ac:dyDescent="0.3">
      <c r="A49" s="45" t="s">
        <v>112</v>
      </c>
      <c r="B49" s="45" t="s">
        <v>13</v>
      </c>
      <c r="C49" s="47"/>
      <c r="D49" s="47"/>
      <c r="F49" s="45" t="s">
        <v>13</v>
      </c>
      <c r="G49" s="47"/>
      <c r="H49" s="47"/>
      <c r="J49" s="55" t="s">
        <v>13</v>
      </c>
      <c r="K49" s="47"/>
      <c r="L49" s="47"/>
      <c r="M49" s="47"/>
      <c r="N49" s="55" t="s">
        <v>13</v>
      </c>
      <c r="O49" s="47"/>
      <c r="P49" s="47"/>
      <c r="Q49" s="55"/>
      <c r="R49" s="55" t="s">
        <v>13</v>
      </c>
      <c r="S49" s="47"/>
      <c r="T49" s="47"/>
      <c r="V49" s="45" t="s">
        <v>13</v>
      </c>
      <c r="W49" s="47">
        <v>280</v>
      </c>
      <c r="X49" s="47">
        <v>2153</v>
      </c>
      <c r="Y49" s="41"/>
      <c r="Z49" s="47"/>
      <c r="AA49" s="47"/>
      <c r="AB49" s="41"/>
      <c r="AC49" s="87" t="s">
        <v>13</v>
      </c>
      <c r="AD49" s="18">
        <v>660</v>
      </c>
      <c r="AE49" s="18">
        <v>5333</v>
      </c>
      <c r="AG49" s="86"/>
      <c r="AH49" s="18">
        <v>700</v>
      </c>
      <c r="AI49" s="18">
        <v>3241</v>
      </c>
      <c r="AJ49" s="86"/>
      <c r="AK49" s="18">
        <v>500</v>
      </c>
      <c r="AL49" s="18">
        <v>2538</v>
      </c>
      <c r="AM49" s="18"/>
      <c r="AN49" s="55" t="s">
        <v>13</v>
      </c>
      <c r="AO49" s="3">
        <v>580</v>
      </c>
      <c r="AP49" s="3">
        <v>43143</v>
      </c>
      <c r="AR49" s="55" t="s">
        <v>13</v>
      </c>
      <c r="AS49" s="19">
        <v>1575</v>
      </c>
      <c r="AT49" s="19">
        <v>90000</v>
      </c>
      <c r="AV49" s="55" t="s">
        <v>13</v>
      </c>
      <c r="AW49" s="19">
        <v>2400</v>
      </c>
      <c r="AX49" s="19">
        <v>171435</v>
      </c>
      <c r="AZ49" s="55" t="s">
        <v>13</v>
      </c>
      <c r="BA49" s="3">
        <v>2500</v>
      </c>
      <c r="BB49" s="3">
        <v>171428</v>
      </c>
      <c r="BD49" s="3" t="s">
        <v>13</v>
      </c>
      <c r="BE49" s="3">
        <v>2280</v>
      </c>
      <c r="BF49" s="3">
        <v>15200</v>
      </c>
    </row>
    <row r="50" spans="1:58" s="3" customFormat="1" ht="15" customHeight="1" x14ac:dyDescent="0.3">
      <c r="A50" s="45" t="s">
        <v>96</v>
      </c>
      <c r="B50" s="45" t="s">
        <v>71</v>
      </c>
      <c r="C50" s="47"/>
      <c r="D50" s="47">
        <v>139340</v>
      </c>
      <c r="F50" s="45" t="s">
        <v>71</v>
      </c>
      <c r="G50" s="47"/>
      <c r="H50" s="47">
        <v>139340</v>
      </c>
      <c r="J50" s="55" t="s">
        <v>71</v>
      </c>
      <c r="K50" s="47">
        <v>1725</v>
      </c>
      <c r="L50" s="47">
        <v>81120</v>
      </c>
      <c r="M50" s="47"/>
      <c r="N50" s="55" t="s">
        <v>71</v>
      </c>
      <c r="O50" s="47">
        <v>68</v>
      </c>
      <c r="P50" s="47">
        <v>126240</v>
      </c>
      <c r="Q50" s="55"/>
      <c r="R50" s="55" t="s">
        <v>71</v>
      </c>
      <c r="S50" s="47"/>
      <c r="T50" s="47">
        <v>188000</v>
      </c>
      <c r="V50" s="50" t="s">
        <v>71</v>
      </c>
      <c r="W50" s="47">
        <v>200</v>
      </c>
      <c r="X50" s="47">
        <v>659</v>
      </c>
      <c r="Y50" s="18"/>
      <c r="Z50" s="47"/>
      <c r="AA50" s="47"/>
      <c r="AB50" s="18"/>
      <c r="AC50" s="86"/>
      <c r="AD50" s="18"/>
      <c r="AE50" s="18"/>
      <c r="AG50" s="100" t="s">
        <v>72</v>
      </c>
      <c r="AH50" s="18">
        <v>100</v>
      </c>
      <c r="AI50" s="18">
        <v>1852</v>
      </c>
      <c r="AJ50" s="86" t="s">
        <v>91</v>
      </c>
      <c r="AK50" s="18">
        <v>75</v>
      </c>
      <c r="AL50" s="18">
        <v>2206</v>
      </c>
      <c r="AM50" s="18"/>
      <c r="AN50" s="55" t="s">
        <v>91</v>
      </c>
      <c r="AO50" s="19">
        <v>150</v>
      </c>
      <c r="AP50" s="3">
        <v>85714</v>
      </c>
      <c r="AR50" s="55" t="s">
        <v>91</v>
      </c>
      <c r="AS50" s="19">
        <v>210</v>
      </c>
      <c r="AT50" s="19">
        <v>60000</v>
      </c>
      <c r="AV50" s="55" t="s">
        <v>91</v>
      </c>
      <c r="AW50" s="19">
        <v>400</v>
      </c>
      <c r="AX50" s="19">
        <v>137145</v>
      </c>
      <c r="AZ50" s="55" t="s">
        <v>91</v>
      </c>
      <c r="BA50" s="3">
        <v>300</v>
      </c>
      <c r="BB50" s="3">
        <v>150000</v>
      </c>
      <c r="BD50" s="3" t="s">
        <v>91</v>
      </c>
      <c r="BE50" s="3">
        <v>300</v>
      </c>
      <c r="BF50" s="3">
        <v>11450</v>
      </c>
    </row>
    <row r="51" spans="1:58" s="3" customFormat="1" ht="15" customHeight="1" x14ac:dyDescent="0.3">
      <c r="A51" s="10" t="s">
        <v>4</v>
      </c>
      <c r="B51" s="11"/>
      <c r="C51" s="47"/>
      <c r="D51" s="47">
        <v>3828670</v>
      </c>
      <c r="F51" s="45"/>
      <c r="G51" s="47"/>
      <c r="H51" s="47">
        <v>3829360</v>
      </c>
      <c r="J51" s="11"/>
      <c r="K51" s="11"/>
      <c r="L51" s="47">
        <v>4791990</v>
      </c>
      <c r="M51" s="47"/>
      <c r="N51" s="47"/>
      <c r="O51" s="47"/>
      <c r="P51" s="47">
        <v>3932240</v>
      </c>
      <c r="Q51" s="11"/>
      <c r="S51" s="10"/>
      <c r="T51" s="47">
        <v>12258800</v>
      </c>
      <c r="U51" s="10"/>
      <c r="V51" s="11"/>
      <c r="W51" s="48"/>
      <c r="X51" s="49">
        <v>769276</v>
      </c>
      <c r="Y51" s="41"/>
      <c r="AA51" s="3">
        <v>634870</v>
      </c>
      <c r="AC51" s="15"/>
      <c r="AD51" s="89"/>
      <c r="AE51" s="89">
        <v>1083188</v>
      </c>
      <c r="AF51" s="89"/>
      <c r="AG51" s="89"/>
      <c r="AH51" s="89"/>
      <c r="AI51" s="89">
        <v>861543</v>
      </c>
      <c r="AJ51" s="102"/>
      <c r="AK51" s="89"/>
      <c r="AL51" s="89">
        <v>465530</v>
      </c>
      <c r="AM51" s="89"/>
      <c r="AN51" s="59"/>
      <c r="AP51" s="3">
        <v>8512600</v>
      </c>
      <c r="AR51" s="59"/>
      <c r="AT51" s="19">
        <v>8392350</v>
      </c>
      <c r="AV51" s="59"/>
      <c r="AX51" s="19">
        <v>9142125</v>
      </c>
      <c r="AZ51" s="59"/>
      <c r="BB51" s="3">
        <v>12461606</v>
      </c>
      <c r="BF51" s="3">
        <v>794980</v>
      </c>
    </row>
    <row r="52" spans="1:58" s="3" customFormat="1" x14ac:dyDescent="0.3">
      <c r="A52" s="11"/>
      <c r="J52" s="51"/>
      <c r="K52" s="51"/>
      <c r="R52" s="51"/>
      <c r="S52" s="15"/>
      <c r="T52" s="15"/>
      <c r="U52" s="15"/>
      <c r="AC52" s="15"/>
      <c r="AJ52" s="15"/>
    </row>
    <row r="53" spans="1:58" s="3" customFormat="1" x14ac:dyDescent="0.3">
      <c r="A53" s="17" t="s">
        <v>11</v>
      </c>
      <c r="B53" s="11"/>
      <c r="E53" s="11"/>
      <c r="I53" s="51"/>
      <c r="J53" s="51"/>
      <c r="Q53" s="51"/>
      <c r="R53" s="15"/>
      <c r="S53" s="15"/>
      <c r="T53" s="15"/>
      <c r="AC53" s="15"/>
      <c r="AJ53" s="15"/>
    </row>
    <row r="54" spans="1:58" x14ac:dyDescent="0.3">
      <c r="A54" s="11"/>
      <c r="B54" s="11">
        <v>1</v>
      </c>
      <c r="C54" s="4" t="s">
        <v>15</v>
      </c>
      <c r="D54" s="6">
        <v>108</v>
      </c>
      <c r="E54" s="4" t="s">
        <v>12</v>
      </c>
      <c r="J54"/>
      <c r="K54"/>
      <c r="Q54" s="51"/>
      <c r="R54" s="15"/>
      <c r="U54"/>
      <c r="AB54" s="3"/>
      <c r="AC54" s="15"/>
      <c r="AD54" s="3"/>
      <c r="AE54" s="3"/>
      <c r="AF54" s="3"/>
      <c r="AG54" s="3"/>
      <c r="AH54" s="3"/>
      <c r="AI54" s="3"/>
      <c r="AJ54" s="15"/>
      <c r="AK54" s="3"/>
      <c r="AL54" s="3"/>
      <c r="AM54" s="3"/>
      <c r="AN54"/>
      <c r="AQ54" s="3"/>
      <c r="AR54"/>
      <c r="AU54" s="3"/>
      <c r="AV54"/>
      <c r="AZ54"/>
    </row>
    <row r="55" spans="1:58" s="3" customFormat="1" x14ac:dyDescent="0.3">
      <c r="A55" s="11"/>
      <c r="B55" s="11">
        <v>1</v>
      </c>
      <c r="C55" s="4" t="s">
        <v>16</v>
      </c>
      <c r="D55" s="6">
        <v>32.5</v>
      </c>
      <c r="E55" s="4" t="s">
        <v>12</v>
      </c>
      <c r="AC55" s="15"/>
      <c r="AJ55" s="15"/>
      <c r="AN55"/>
      <c r="AO55"/>
      <c r="AP55"/>
      <c r="AR55"/>
      <c r="AS55"/>
      <c r="AT55"/>
      <c r="AV55"/>
      <c r="AW55"/>
      <c r="AZ55"/>
    </row>
    <row r="56" spans="1:58" x14ac:dyDescent="0.3">
      <c r="B56" s="11">
        <v>1</v>
      </c>
      <c r="C56" s="4" t="s">
        <v>24</v>
      </c>
      <c r="D56" s="6">
        <v>112</v>
      </c>
      <c r="E56" s="4" t="s">
        <v>25</v>
      </c>
      <c r="J56"/>
      <c r="K56"/>
      <c r="Q56" s="51"/>
      <c r="R56" s="15"/>
      <c r="U56"/>
      <c r="AB56" s="3"/>
      <c r="AC56" s="15"/>
      <c r="AD56" s="3"/>
      <c r="AE56" s="3"/>
      <c r="AF56" s="3"/>
      <c r="AG56" s="3"/>
      <c r="AH56" s="3"/>
      <c r="AI56" s="3"/>
      <c r="AJ56" s="15"/>
      <c r="AK56" s="3"/>
      <c r="AL56" s="3"/>
      <c r="AM56" s="3"/>
      <c r="AN56"/>
      <c r="AQ56" s="3"/>
      <c r="AR56"/>
      <c r="AU56" s="3"/>
      <c r="AV56"/>
      <c r="AZ56"/>
    </row>
    <row r="57" spans="1:58" ht="14.4" customHeight="1" x14ac:dyDescent="0.3">
      <c r="A57" s="11"/>
      <c r="B57" s="123">
        <v>1</v>
      </c>
      <c r="C57" s="124" t="s">
        <v>29</v>
      </c>
      <c r="D57" s="125">
        <v>130</v>
      </c>
      <c r="E57" s="126" t="s">
        <v>12</v>
      </c>
      <c r="J57"/>
      <c r="K57"/>
      <c r="Q57" s="51"/>
      <c r="R57" s="15"/>
      <c r="U57"/>
      <c r="AB57" s="3"/>
      <c r="AC57" s="15"/>
      <c r="AD57" s="3"/>
      <c r="AE57" s="3"/>
      <c r="AF57" s="3"/>
      <c r="AG57" s="3"/>
      <c r="AH57" s="3"/>
      <c r="AI57" s="3"/>
      <c r="AJ57" s="15"/>
      <c r="AK57" s="3"/>
      <c r="AL57" s="3"/>
      <c r="AM57" s="3"/>
      <c r="AN57"/>
      <c r="AQ57" s="3"/>
      <c r="AR57"/>
      <c r="AU57" s="3"/>
      <c r="AV57"/>
      <c r="AZ57"/>
    </row>
    <row r="58" spans="1:58" s="3" customFormat="1" ht="15" customHeight="1" x14ac:dyDescent="0.3">
      <c r="A58" s="11"/>
      <c r="B58" s="123"/>
      <c r="C58" s="124"/>
      <c r="D58" s="125"/>
      <c r="E58" s="126"/>
      <c r="AC58" s="15"/>
      <c r="AJ58" s="15"/>
      <c r="AN58"/>
      <c r="AO58"/>
      <c r="AP58"/>
      <c r="AR58"/>
      <c r="AS58"/>
      <c r="AT58"/>
      <c r="AV58"/>
      <c r="AW58"/>
      <c r="AZ58"/>
    </row>
    <row r="59" spans="1:58" s="3" customFormat="1" ht="15" customHeight="1" x14ac:dyDescent="0.3">
      <c r="A59" s="11"/>
      <c r="B59" s="12">
        <v>1</v>
      </c>
      <c r="C59" s="4" t="s">
        <v>30</v>
      </c>
      <c r="D59" s="6">
        <v>260</v>
      </c>
      <c r="E59" s="4" t="s">
        <v>12</v>
      </c>
      <c r="AC59" s="15"/>
      <c r="AJ59" s="15"/>
      <c r="AN59"/>
      <c r="AO59"/>
      <c r="AP59"/>
      <c r="AR59"/>
      <c r="AS59"/>
      <c r="AT59"/>
      <c r="AV59"/>
      <c r="AW59"/>
      <c r="AZ59"/>
    </row>
    <row r="60" spans="1:58" s="3" customFormat="1" x14ac:dyDescent="0.3">
      <c r="A60" s="11"/>
      <c r="B60" s="12">
        <v>1</v>
      </c>
      <c r="C60" s="4" t="s">
        <v>30</v>
      </c>
      <c r="D60" s="6">
        <f>D57/D56</f>
        <v>1.1607142857142858</v>
      </c>
      <c r="E60" s="4" t="s">
        <v>24</v>
      </c>
      <c r="AC60" s="15"/>
      <c r="AJ60" s="15"/>
      <c r="AN60"/>
      <c r="AO60"/>
      <c r="AP60"/>
      <c r="AR60"/>
      <c r="AS60"/>
      <c r="AT60"/>
      <c r="AV60"/>
      <c r="AW60"/>
      <c r="AZ60"/>
    </row>
    <row r="61" spans="1:58" s="3" customFormat="1" x14ac:dyDescent="0.3">
      <c r="A61" s="11"/>
      <c r="B61" s="12">
        <v>1</v>
      </c>
      <c r="C61" s="4" t="s">
        <v>30</v>
      </c>
      <c r="D61" s="6">
        <f>D59/D56</f>
        <v>2.3214285714285716</v>
      </c>
      <c r="E61" s="4" t="s">
        <v>24</v>
      </c>
      <c r="AC61" s="15"/>
      <c r="AJ61" s="15"/>
      <c r="AN61"/>
      <c r="AO61"/>
      <c r="AP61"/>
      <c r="AR61"/>
      <c r="AS61"/>
      <c r="AT61"/>
      <c r="AV61"/>
      <c r="AW61"/>
      <c r="AZ61"/>
    </row>
    <row r="62" spans="1:58" s="3" customFormat="1" x14ac:dyDescent="0.3">
      <c r="AC62" s="15"/>
      <c r="AJ62" s="15"/>
      <c r="AO62"/>
      <c r="AP62"/>
      <c r="AQ62"/>
      <c r="AS62"/>
      <c r="AT62"/>
      <c r="AU62"/>
      <c r="AW62"/>
      <c r="AX62"/>
    </row>
    <row r="63" spans="1:58" x14ac:dyDescent="0.3">
      <c r="A63" s="3" t="s">
        <v>167</v>
      </c>
      <c r="B63" s="3">
        <v>1</v>
      </c>
      <c r="C63" s="62" t="s">
        <v>15</v>
      </c>
      <c r="D63" s="3">
        <v>0.5</v>
      </c>
      <c r="E63" s="62" t="s">
        <v>24</v>
      </c>
      <c r="F63" s="3"/>
      <c r="G63" s="3"/>
    </row>
    <row r="64" spans="1:58" x14ac:dyDescent="0.3">
      <c r="A64" t="s">
        <v>14</v>
      </c>
      <c r="B64">
        <v>1</v>
      </c>
      <c r="C64" s="4" t="s">
        <v>45</v>
      </c>
      <c r="D64" s="6">
        <v>1.5</v>
      </c>
      <c r="E64" s="4" t="s">
        <v>24</v>
      </c>
      <c r="G64" s="4"/>
    </row>
    <row r="65" spans="1:7" x14ac:dyDescent="0.3">
      <c r="A65" t="s">
        <v>6</v>
      </c>
      <c r="B65">
        <v>1</v>
      </c>
      <c r="C65" s="4" t="s">
        <v>45</v>
      </c>
      <c r="D65" s="6">
        <v>1.75</v>
      </c>
      <c r="E65" s="4" t="s">
        <v>24</v>
      </c>
      <c r="G65" s="4"/>
    </row>
    <row r="66" spans="1:7" x14ac:dyDescent="0.3">
      <c r="A66" t="s">
        <v>46</v>
      </c>
      <c r="B66">
        <v>1</v>
      </c>
      <c r="C66" s="4" t="s">
        <v>45</v>
      </c>
      <c r="D66" s="6">
        <v>1.5</v>
      </c>
      <c r="E66" s="4" t="s">
        <v>24</v>
      </c>
      <c r="G66" s="4"/>
    </row>
    <row r="67" spans="1:7" x14ac:dyDescent="0.3">
      <c r="A67" t="s">
        <v>47</v>
      </c>
      <c r="B67">
        <v>1</v>
      </c>
      <c r="C67" s="4" t="s">
        <v>48</v>
      </c>
      <c r="D67" s="6">
        <v>1.26</v>
      </c>
      <c r="E67" s="4" t="s">
        <v>24</v>
      </c>
      <c r="G67" s="4"/>
    </row>
    <row r="68" spans="1:7" x14ac:dyDescent="0.3">
      <c r="A68" t="s">
        <v>49</v>
      </c>
      <c r="B68">
        <v>1</v>
      </c>
      <c r="C68" s="4" t="s">
        <v>50</v>
      </c>
      <c r="D68" s="6">
        <v>15.9</v>
      </c>
      <c r="E68" s="4" t="s">
        <v>24</v>
      </c>
      <c r="G68" s="4"/>
    </row>
    <row r="69" spans="1:7" x14ac:dyDescent="0.3">
      <c r="A69" t="s">
        <v>81</v>
      </c>
      <c r="B69">
        <v>1</v>
      </c>
      <c r="C69" s="4" t="s">
        <v>52</v>
      </c>
      <c r="D69" s="6">
        <f>439.681/D56</f>
        <v>3.9257232142857141</v>
      </c>
      <c r="E69" s="4" t="s">
        <v>24</v>
      </c>
      <c r="G69" s="4"/>
    </row>
    <row r="70" spans="1:7" x14ac:dyDescent="0.3">
      <c r="A70" t="s">
        <v>51</v>
      </c>
      <c r="B70">
        <v>1</v>
      </c>
      <c r="C70" s="4" t="s">
        <v>52</v>
      </c>
      <c r="D70" s="6">
        <v>3</v>
      </c>
      <c r="E70" s="4" t="s">
        <v>24</v>
      </c>
      <c r="G70" s="4"/>
    </row>
    <row r="71" spans="1:7" x14ac:dyDescent="0.3">
      <c r="A71" t="s">
        <v>53</v>
      </c>
      <c r="B71">
        <v>1</v>
      </c>
      <c r="C71" s="4" t="s">
        <v>52</v>
      </c>
      <c r="D71" s="6">
        <v>2.98</v>
      </c>
      <c r="E71" s="4" t="s">
        <v>24</v>
      </c>
      <c r="G71" s="4"/>
    </row>
    <row r="72" spans="1:7" ht="15" customHeight="1" x14ac:dyDescent="0.3">
      <c r="A72" t="s">
        <v>54</v>
      </c>
      <c r="B72">
        <v>1</v>
      </c>
      <c r="C72" s="4" t="s">
        <v>55</v>
      </c>
      <c r="D72" s="6">
        <v>9</v>
      </c>
      <c r="E72" s="4" t="s">
        <v>56</v>
      </c>
      <c r="G72" s="4"/>
    </row>
    <row r="73" spans="1:7" ht="15" customHeight="1" x14ac:dyDescent="0.3">
      <c r="A73" t="s">
        <v>57</v>
      </c>
      <c r="B73">
        <v>1</v>
      </c>
      <c r="C73" s="4" t="s">
        <v>58</v>
      </c>
      <c r="D73" s="6">
        <v>9</v>
      </c>
      <c r="E73" s="4" t="s">
        <v>56</v>
      </c>
      <c r="G73" s="4"/>
    </row>
    <row r="74" spans="1:7" ht="15" customHeight="1" x14ac:dyDescent="0.3">
      <c r="A74" t="s">
        <v>27</v>
      </c>
      <c r="B74">
        <v>1</v>
      </c>
      <c r="C74" s="4" t="s">
        <v>45</v>
      </c>
      <c r="D74" s="6">
        <v>1.75</v>
      </c>
      <c r="E74" s="4" t="s">
        <v>24</v>
      </c>
      <c r="G74" s="4"/>
    </row>
    <row r="75" spans="1:7" ht="15" customHeight="1" x14ac:dyDescent="0.3">
      <c r="A75" t="s">
        <v>60</v>
      </c>
      <c r="B75">
        <v>1</v>
      </c>
      <c r="C75" s="4" t="s">
        <v>61</v>
      </c>
      <c r="D75" s="6">
        <v>0.15175</v>
      </c>
      <c r="E75" s="4" t="s">
        <v>24</v>
      </c>
      <c r="F75">
        <v>16.997</v>
      </c>
      <c r="G75" s="4" t="s">
        <v>43</v>
      </c>
    </row>
    <row r="76" spans="1:7" x14ac:dyDescent="0.3">
      <c r="A76" t="s">
        <v>7</v>
      </c>
      <c r="B76">
        <v>1</v>
      </c>
      <c r="C76" s="4" t="s">
        <v>45</v>
      </c>
      <c r="D76" s="6">
        <v>1.5</v>
      </c>
      <c r="E76" s="4" t="s">
        <v>24</v>
      </c>
      <c r="G76" s="4"/>
    </row>
    <row r="77" spans="1:7" ht="15" customHeight="1" x14ac:dyDescent="0.3">
      <c r="A77" t="s">
        <v>62</v>
      </c>
      <c r="B77">
        <v>1</v>
      </c>
      <c r="C77" s="4" t="s">
        <v>45</v>
      </c>
      <c r="D77" s="6">
        <v>1.625</v>
      </c>
      <c r="E77" s="4" t="s">
        <v>24</v>
      </c>
      <c r="G77" s="4"/>
    </row>
    <row r="78" spans="1:7" x14ac:dyDescent="0.3">
      <c r="A78" t="s">
        <v>5</v>
      </c>
      <c r="B78">
        <v>1</v>
      </c>
      <c r="C78" s="4" t="s">
        <v>45</v>
      </c>
      <c r="D78" s="6">
        <v>1.5</v>
      </c>
      <c r="E78" s="4" t="s">
        <v>24</v>
      </c>
      <c r="G78" s="4"/>
    </row>
    <row r="79" spans="1:7" x14ac:dyDescent="0.3">
      <c r="A79" t="s">
        <v>63</v>
      </c>
      <c r="B79">
        <v>1</v>
      </c>
      <c r="C79" s="4" t="s">
        <v>45</v>
      </c>
      <c r="D79" s="6">
        <v>1.5</v>
      </c>
      <c r="E79" s="4" t="s">
        <v>24</v>
      </c>
      <c r="G79" s="4"/>
    </row>
    <row r="80" spans="1:7" x14ac:dyDescent="0.3">
      <c r="A80" t="s">
        <v>64</v>
      </c>
      <c r="B80">
        <v>1</v>
      </c>
      <c r="C80" s="4" t="s">
        <v>65</v>
      </c>
      <c r="D80" s="6">
        <v>18.559999999999999</v>
      </c>
      <c r="E80" s="4" t="s">
        <v>56</v>
      </c>
      <c r="G80" s="4"/>
    </row>
    <row r="81" spans="1:7" x14ac:dyDescent="0.3">
      <c r="A81" t="s">
        <v>67</v>
      </c>
      <c r="B81">
        <v>1</v>
      </c>
      <c r="C81" s="4" t="s">
        <v>68</v>
      </c>
      <c r="D81" s="6">
        <v>3</v>
      </c>
      <c r="E81" s="4" t="s">
        <v>24</v>
      </c>
      <c r="F81">
        <v>336</v>
      </c>
      <c r="G81" s="4" t="s">
        <v>43</v>
      </c>
    </row>
    <row r="82" spans="1:7" ht="15" customHeight="1" x14ac:dyDescent="0.3">
      <c r="A82" s="127" t="s">
        <v>142</v>
      </c>
      <c r="B82">
        <v>1</v>
      </c>
      <c r="C82" s="4" t="s">
        <v>170</v>
      </c>
      <c r="D82" s="6">
        <v>3.40835</v>
      </c>
      <c r="E82" s="4" t="s">
        <v>45</v>
      </c>
      <c r="F82" s="6">
        <f>D82*D83/D56</f>
        <v>5.9646125000000003</v>
      </c>
      <c r="G82" s="4" t="s">
        <v>171</v>
      </c>
    </row>
    <row r="83" spans="1:7" x14ac:dyDescent="0.3">
      <c r="A83" s="127"/>
      <c r="B83">
        <v>1</v>
      </c>
      <c r="C83" s="4" t="s">
        <v>45</v>
      </c>
      <c r="D83" s="64">
        <v>196</v>
      </c>
      <c r="E83" s="4" t="s">
        <v>12</v>
      </c>
      <c r="F83" s="6"/>
      <c r="G83" s="3"/>
    </row>
    <row r="84" spans="1:7" x14ac:dyDescent="0.3">
      <c r="A84" s="127" t="s">
        <v>73</v>
      </c>
      <c r="B84">
        <v>1</v>
      </c>
      <c r="C84" s="4" t="s">
        <v>172</v>
      </c>
      <c r="D84" s="64">
        <v>1</v>
      </c>
      <c r="E84" s="4" t="s">
        <v>52</v>
      </c>
      <c r="F84" s="6">
        <f>F85</f>
        <v>3.0446428571428572</v>
      </c>
      <c r="G84" s="4" t="s">
        <v>171</v>
      </c>
    </row>
    <row r="85" spans="1:7" x14ac:dyDescent="0.3">
      <c r="A85" s="127"/>
      <c r="B85">
        <v>1</v>
      </c>
      <c r="C85" s="4" t="s">
        <v>52</v>
      </c>
      <c r="D85" s="64">
        <f>(355+327)/2</f>
        <v>341</v>
      </c>
      <c r="E85" s="4" t="s">
        <v>12</v>
      </c>
      <c r="F85" s="6">
        <f>D85/D56</f>
        <v>3.0446428571428572</v>
      </c>
      <c r="G85" s="4" t="s">
        <v>171</v>
      </c>
    </row>
    <row r="86" spans="1:7" x14ac:dyDescent="0.3">
      <c r="A86" s="127"/>
      <c r="B86">
        <v>1</v>
      </c>
      <c r="C86" s="62" t="s">
        <v>173</v>
      </c>
      <c r="D86" s="64">
        <f>(2.2+2.5)/2</f>
        <v>2.35</v>
      </c>
      <c r="E86" s="4" t="s">
        <v>12</v>
      </c>
      <c r="F86" s="6">
        <f>D86/D56</f>
        <v>2.0982142857142859E-2</v>
      </c>
      <c r="G86" s="4" t="s">
        <v>171</v>
      </c>
    </row>
    <row r="87" spans="1:7" x14ac:dyDescent="0.3">
      <c r="A87" s="127" t="s">
        <v>47</v>
      </c>
      <c r="B87">
        <v>1</v>
      </c>
      <c r="C87" s="62" t="s">
        <v>48</v>
      </c>
      <c r="D87" s="64">
        <v>140.63</v>
      </c>
      <c r="E87" s="4" t="s">
        <v>12</v>
      </c>
      <c r="F87" s="6">
        <f>D87/D56</f>
        <v>1.255625</v>
      </c>
      <c r="G87" s="4" t="s">
        <v>171</v>
      </c>
    </row>
    <row r="88" spans="1:7" x14ac:dyDescent="0.3">
      <c r="A88" s="127"/>
      <c r="B88">
        <v>1</v>
      </c>
      <c r="C88" s="62" t="s">
        <v>174</v>
      </c>
      <c r="D88" s="64">
        <v>0.91576999999999997</v>
      </c>
      <c r="E88" s="4" t="s">
        <v>48</v>
      </c>
      <c r="F88" s="6">
        <f>F87*D88</f>
        <v>1.1498637062499999</v>
      </c>
      <c r="G88" s="4" t="s">
        <v>171</v>
      </c>
    </row>
    <row r="89" spans="1:7" x14ac:dyDescent="0.3">
      <c r="A89" s="127" t="s">
        <v>88</v>
      </c>
      <c r="B89" s="3">
        <v>1</v>
      </c>
      <c r="C89" s="62" t="s">
        <v>52</v>
      </c>
      <c r="D89" s="64">
        <v>2.37609</v>
      </c>
      <c r="E89" s="62" t="s">
        <v>45</v>
      </c>
      <c r="F89" s="6">
        <f>D89*D90</f>
        <v>4.1366063637000003</v>
      </c>
      <c r="G89" s="4" t="s">
        <v>171</v>
      </c>
    </row>
    <row r="90" spans="1:7" x14ac:dyDescent="0.3">
      <c r="A90" s="127"/>
      <c r="B90">
        <v>1</v>
      </c>
      <c r="C90" s="62" t="s">
        <v>45</v>
      </c>
      <c r="D90" s="64">
        <v>1.7409300000000001</v>
      </c>
      <c r="E90" s="4" t="s">
        <v>24</v>
      </c>
      <c r="F90" s="6"/>
      <c r="G90" s="4"/>
    </row>
    <row r="91" spans="1:7" x14ac:dyDescent="0.3">
      <c r="A91" s="3" t="s">
        <v>175</v>
      </c>
      <c r="B91">
        <v>1</v>
      </c>
      <c r="C91" s="62" t="s">
        <v>52</v>
      </c>
      <c r="D91" s="64">
        <v>242</v>
      </c>
      <c r="E91" s="4" t="s">
        <v>12</v>
      </c>
      <c r="F91" s="6">
        <f>D91/D56</f>
        <v>2.1607142857142856</v>
      </c>
      <c r="G91" s="4" t="s">
        <v>171</v>
      </c>
    </row>
    <row r="92" spans="1:7" x14ac:dyDescent="0.3">
      <c r="A92" s="3" t="s">
        <v>22</v>
      </c>
      <c r="B92">
        <v>1</v>
      </c>
      <c r="C92" s="62" t="s">
        <v>45</v>
      </c>
      <c r="D92" s="64">
        <v>149</v>
      </c>
      <c r="E92" s="4" t="s">
        <v>12</v>
      </c>
      <c r="F92" s="6">
        <f>D92/D56</f>
        <v>1.3303571428571428</v>
      </c>
      <c r="G92" s="4" t="s">
        <v>171</v>
      </c>
    </row>
    <row r="93" spans="1:7" x14ac:dyDescent="0.3">
      <c r="A93" s="3" t="s">
        <v>97</v>
      </c>
      <c r="B93">
        <v>1</v>
      </c>
      <c r="C93" s="62" t="s">
        <v>176</v>
      </c>
      <c r="D93" s="64">
        <v>2.0271699999999999</v>
      </c>
      <c r="E93" s="4" t="s">
        <v>52</v>
      </c>
      <c r="F93" s="6">
        <f>D94*D93/D56</f>
        <v>6.0815099999999997</v>
      </c>
      <c r="G93" s="62" t="s">
        <v>171</v>
      </c>
    </row>
    <row r="94" spans="1:7" x14ac:dyDescent="0.3">
      <c r="A94" s="3"/>
      <c r="B94">
        <v>1</v>
      </c>
      <c r="C94" s="62" t="s">
        <v>52</v>
      </c>
      <c r="D94" s="64">
        <v>336</v>
      </c>
      <c r="E94" s="4" t="s">
        <v>52</v>
      </c>
      <c r="F94" s="6">
        <f>D94/D56</f>
        <v>3</v>
      </c>
      <c r="G94" s="62" t="s">
        <v>171</v>
      </c>
    </row>
    <row r="96" spans="1:7" ht="15" customHeight="1" x14ac:dyDescent="0.3"/>
    <row r="97" spans="13:14" ht="15" customHeight="1" x14ac:dyDescent="0.3"/>
    <row r="109" spans="13:14" x14ac:dyDescent="0.3">
      <c r="M109" s="3"/>
    </row>
    <row r="110" spans="13:14" x14ac:dyDescent="0.3">
      <c r="N110" s="3"/>
    </row>
  </sheetData>
  <sortState ref="A4:P49">
    <sortCondition ref="A4:A49"/>
  </sortState>
  <mergeCells count="24">
    <mergeCell ref="BE2:BG2"/>
    <mergeCell ref="AD2:AF2"/>
    <mergeCell ref="AH2:AJ2"/>
    <mergeCell ref="AK2:AM2"/>
    <mergeCell ref="A82:A83"/>
    <mergeCell ref="AS2:AU2"/>
    <mergeCell ref="AW2:AY2"/>
    <mergeCell ref="BA2:BC2"/>
    <mergeCell ref="A84:A86"/>
    <mergeCell ref="A87:A88"/>
    <mergeCell ref="A89:A90"/>
    <mergeCell ref="AO2:AQ2"/>
    <mergeCell ref="K2:M2"/>
    <mergeCell ref="E57:E58"/>
    <mergeCell ref="B57:B58"/>
    <mergeCell ref="C57:C58"/>
    <mergeCell ref="D57:D58"/>
    <mergeCell ref="C2:E2"/>
    <mergeCell ref="G2:I2"/>
    <mergeCell ref="AC2:AC3"/>
    <mergeCell ref="O2:Q2"/>
    <mergeCell ref="Z2:AB2"/>
    <mergeCell ref="W2:Y2"/>
    <mergeCell ref="S2:U2"/>
  </mergeCells>
  <pageMargins left="0.7" right="0.7" top="0.75" bottom="0.75" header="0.3" footer="0.3"/>
  <pageSetup paperSize="9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H276"/>
  <sheetViews>
    <sheetView zoomScale="60" zoomScaleNormal="60" workbookViewId="0">
      <pane xSplit="1" ySplit="3" topLeftCell="W4" activePane="bottomRight" state="frozen"/>
      <selection pane="topRight" activeCell="B1" sqref="B1"/>
      <selection pane="bottomLeft" activeCell="A4" sqref="A4"/>
      <selection pane="bottomRight" activeCell="Z24" sqref="Z24"/>
    </sheetView>
  </sheetViews>
  <sheetFormatPr defaultColWidth="18.21875" defaultRowHeight="14.4" x14ac:dyDescent="0.3"/>
  <cols>
    <col min="1" max="1" width="27.109375" style="5" customWidth="1"/>
    <col min="2" max="2" width="18.21875" style="15"/>
    <col min="5" max="6" width="18.21875" style="15"/>
    <col min="9" max="9" width="18.21875" style="15"/>
    <col min="10" max="10" width="13.77734375" style="15" customWidth="1"/>
    <col min="12" max="12" width="18.21875" style="15"/>
    <col min="15" max="15" width="18.21875" style="15"/>
    <col min="18" max="18" width="13.77734375" style="15" customWidth="1"/>
    <col min="19" max="19" width="10.109375" style="15" customWidth="1"/>
    <col min="20" max="20" width="17.21875" style="15" customWidth="1"/>
    <col min="21" max="21" width="16.44140625" style="15" customWidth="1"/>
    <col min="22" max="22" width="12.33203125" customWidth="1"/>
    <col min="24" max="24" width="18.21875" style="15"/>
    <col min="27" max="27" width="18.21875" style="15"/>
    <col min="29" max="29" width="12.109375" style="93" customWidth="1"/>
    <col min="30" max="33" width="11.88671875" customWidth="1"/>
    <col min="34" max="34" width="17.21875" bestFit="1" customWidth="1"/>
    <col min="35" max="37" width="11.88671875" customWidth="1"/>
    <col min="38" max="38" width="16.5546875" customWidth="1"/>
    <col min="39" max="40" width="11.88671875" customWidth="1"/>
    <col min="42" max="42" width="18.21875" style="15"/>
    <col min="46" max="46" width="18.21875" style="15"/>
    <col min="50" max="50" width="18.21875" style="15"/>
    <col min="53" max="53" width="12.33203125" customWidth="1"/>
    <col min="54" max="54" width="18.21875" style="15"/>
    <col min="55" max="55" width="16.109375" customWidth="1"/>
    <col min="56" max="56" width="14.77734375" customWidth="1"/>
    <col min="57" max="57" width="12.77734375" style="15" customWidth="1"/>
    <col min="59" max="59" width="16.5546875" bestFit="1" customWidth="1"/>
    <col min="60" max="60" width="18.21875" style="15"/>
  </cols>
  <sheetData>
    <row r="1" spans="1:60" ht="14.4" hidden="1" customHeight="1" x14ac:dyDescent="0.3">
      <c r="B1"/>
      <c r="E1"/>
      <c r="F1"/>
      <c r="I1"/>
      <c r="L1"/>
      <c r="O1"/>
      <c r="X1"/>
      <c r="AA1"/>
      <c r="AC1" s="90"/>
      <c r="AP1"/>
      <c r="AT1"/>
      <c r="AX1"/>
      <c r="BB1"/>
      <c r="BE1"/>
      <c r="BH1"/>
    </row>
    <row r="2" spans="1:60" s="7" customFormat="1" ht="15.6" customHeight="1" x14ac:dyDescent="0.3">
      <c r="A2" s="12"/>
      <c r="B2" s="130" t="s">
        <v>1</v>
      </c>
      <c r="C2" s="122" t="s">
        <v>140</v>
      </c>
      <c r="D2" s="122"/>
      <c r="E2" s="122"/>
      <c r="F2" s="130" t="s">
        <v>1</v>
      </c>
      <c r="G2" s="122" t="s">
        <v>139</v>
      </c>
      <c r="H2" s="122"/>
      <c r="I2" s="122"/>
      <c r="J2" s="130" t="s">
        <v>1</v>
      </c>
      <c r="K2" s="122" t="s">
        <v>146</v>
      </c>
      <c r="L2" s="122"/>
      <c r="M2" s="122"/>
      <c r="N2" s="130" t="s">
        <v>1</v>
      </c>
      <c r="O2" s="122" t="s">
        <v>148</v>
      </c>
      <c r="P2" s="122"/>
      <c r="Q2" s="122"/>
      <c r="R2" s="130" t="s">
        <v>1</v>
      </c>
      <c r="S2" s="122" t="s">
        <v>151</v>
      </c>
      <c r="T2" s="122"/>
      <c r="U2" s="122"/>
      <c r="V2" s="130" t="s">
        <v>1</v>
      </c>
      <c r="W2" s="122" t="s">
        <v>42</v>
      </c>
      <c r="X2" s="122"/>
      <c r="Y2" s="122"/>
      <c r="Z2" s="122" t="s">
        <v>92</v>
      </c>
      <c r="AA2" s="122"/>
      <c r="AB2" s="122"/>
      <c r="AC2" s="131" t="s">
        <v>1</v>
      </c>
      <c r="AD2" s="122" t="s">
        <v>241</v>
      </c>
      <c r="AE2" s="122"/>
      <c r="AF2" s="122"/>
      <c r="AG2" s="131" t="s">
        <v>1</v>
      </c>
      <c r="AH2" s="122" t="s">
        <v>242</v>
      </c>
      <c r="AI2" s="122"/>
      <c r="AJ2" s="122"/>
      <c r="AK2" s="131" t="s">
        <v>1</v>
      </c>
      <c r="AL2" s="122" t="s">
        <v>243</v>
      </c>
      <c r="AM2" s="122"/>
      <c r="AN2" s="122"/>
      <c r="AO2" s="11"/>
      <c r="AP2" s="122" t="s">
        <v>156</v>
      </c>
      <c r="AQ2" s="122"/>
      <c r="AR2" s="122"/>
      <c r="AS2" s="11"/>
      <c r="AT2" s="122" t="s">
        <v>157</v>
      </c>
      <c r="AU2" s="122"/>
      <c r="AV2" s="122"/>
      <c r="AW2" s="11"/>
      <c r="AX2" s="122" t="s">
        <v>158</v>
      </c>
      <c r="AY2" s="122"/>
      <c r="AZ2" s="122"/>
      <c r="BA2" s="11"/>
      <c r="BB2" s="122" t="s">
        <v>159</v>
      </c>
      <c r="BC2" s="122"/>
      <c r="BD2" s="122"/>
      <c r="BE2" s="11"/>
      <c r="BF2" s="122" t="s">
        <v>237</v>
      </c>
      <c r="BG2" s="122"/>
      <c r="BH2" s="122"/>
    </row>
    <row r="3" spans="1:60" s="7" customFormat="1" ht="15.6" x14ac:dyDescent="0.3">
      <c r="A3" s="13" t="s">
        <v>0</v>
      </c>
      <c r="B3" s="130"/>
      <c r="C3" s="8" t="s">
        <v>2</v>
      </c>
      <c r="D3" s="9" t="s">
        <v>169</v>
      </c>
      <c r="E3" s="9" t="s">
        <v>9</v>
      </c>
      <c r="F3" s="130"/>
      <c r="G3" s="8" t="s">
        <v>2</v>
      </c>
      <c r="H3" s="9" t="s">
        <v>169</v>
      </c>
      <c r="I3" s="9" t="s">
        <v>9</v>
      </c>
      <c r="J3" s="130"/>
      <c r="K3" s="8" t="s">
        <v>2</v>
      </c>
      <c r="L3" s="9" t="s">
        <v>169</v>
      </c>
      <c r="M3" s="9" t="s">
        <v>9</v>
      </c>
      <c r="N3" s="130"/>
      <c r="O3" s="8" t="s">
        <v>2</v>
      </c>
      <c r="P3" s="9" t="s">
        <v>169</v>
      </c>
      <c r="Q3" s="9" t="s">
        <v>9</v>
      </c>
      <c r="R3" s="130"/>
      <c r="S3" s="9" t="s">
        <v>2</v>
      </c>
      <c r="T3" s="9" t="s">
        <v>169</v>
      </c>
      <c r="U3" s="9" t="s">
        <v>9</v>
      </c>
      <c r="V3" s="130"/>
      <c r="W3" s="8" t="s">
        <v>2</v>
      </c>
      <c r="X3" s="61" t="s">
        <v>8</v>
      </c>
      <c r="Y3" s="9" t="s">
        <v>9</v>
      </c>
      <c r="Z3" s="8" t="s">
        <v>2</v>
      </c>
      <c r="AA3" s="61" t="s">
        <v>8</v>
      </c>
      <c r="AB3" s="9" t="s">
        <v>9</v>
      </c>
      <c r="AC3" s="131"/>
      <c r="AD3" s="8" t="s">
        <v>2</v>
      </c>
      <c r="AE3" s="9" t="s">
        <v>8</v>
      </c>
      <c r="AF3" s="9" t="s">
        <v>9</v>
      </c>
      <c r="AG3" s="131"/>
      <c r="AH3" s="8" t="s">
        <v>2</v>
      </c>
      <c r="AI3" s="9" t="s">
        <v>8</v>
      </c>
      <c r="AJ3" s="9" t="s">
        <v>9</v>
      </c>
      <c r="AK3" s="131"/>
      <c r="AL3" s="8" t="s">
        <v>2</v>
      </c>
      <c r="AM3" s="9" t="s">
        <v>8</v>
      </c>
      <c r="AN3" s="9" t="s">
        <v>9</v>
      </c>
      <c r="AO3" s="52" t="s">
        <v>1</v>
      </c>
      <c r="AP3" s="8" t="s">
        <v>2</v>
      </c>
      <c r="AQ3" s="9" t="s">
        <v>169</v>
      </c>
      <c r="AR3" s="9" t="s">
        <v>9</v>
      </c>
      <c r="AS3" s="52" t="s">
        <v>1</v>
      </c>
      <c r="AT3" s="8" t="s">
        <v>2</v>
      </c>
      <c r="AU3" s="9" t="s">
        <v>169</v>
      </c>
      <c r="AV3" s="9" t="s">
        <v>9</v>
      </c>
      <c r="AW3" s="52" t="s">
        <v>1</v>
      </c>
      <c r="AX3" s="8" t="s">
        <v>2</v>
      </c>
      <c r="AY3" s="9" t="s">
        <v>169</v>
      </c>
      <c r="AZ3" s="9" t="s">
        <v>9</v>
      </c>
      <c r="BA3" s="52" t="s">
        <v>1</v>
      </c>
      <c r="BB3" s="8" t="s">
        <v>2</v>
      </c>
      <c r="BC3" s="9" t="s">
        <v>169</v>
      </c>
      <c r="BD3" s="9" t="s">
        <v>9</v>
      </c>
      <c r="BE3" s="52" t="s">
        <v>1</v>
      </c>
      <c r="BF3" s="8" t="s">
        <v>2</v>
      </c>
      <c r="BG3" s="9" t="s">
        <v>8</v>
      </c>
      <c r="BH3" s="9" t="s">
        <v>9</v>
      </c>
    </row>
    <row r="4" spans="1:60" s="3" customFormat="1" x14ac:dyDescent="0.3">
      <c r="A4" s="45" t="s">
        <v>77</v>
      </c>
      <c r="B4" s="11" t="s">
        <v>70</v>
      </c>
      <c r="C4" s="44"/>
      <c r="D4" s="44"/>
      <c r="F4" s="11" t="s">
        <v>70</v>
      </c>
      <c r="G4" s="44"/>
      <c r="H4" s="44"/>
      <c r="J4" s="44" t="s">
        <v>70</v>
      </c>
      <c r="K4" s="44"/>
      <c r="L4" s="44"/>
      <c r="M4" s="45"/>
      <c r="N4" s="11" t="s">
        <v>70</v>
      </c>
      <c r="O4" s="44"/>
      <c r="P4" s="44"/>
      <c r="Q4" s="44"/>
      <c r="R4" s="44" t="s">
        <v>70</v>
      </c>
      <c r="S4" s="44"/>
      <c r="T4" s="44"/>
      <c r="U4" s="44"/>
      <c r="V4" s="57" t="s">
        <v>70</v>
      </c>
      <c r="W4" s="44">
        <f>2500</f>
        <v>2500</v>
      </c>
      <c r="X4" s="44">
        <v>7692</v>
      </c>
      <c r="Y4" s="11"/>
      <c r="Z4" s="44">
        <f>8000</f>
        <v>8000</v>
      </c>
      <c r="AA4" s="44">
        <v>26440</v>
      </c>
      <c r="AB4" s="11"/>
      <c r="AC4" s="57" t="s">
        <v>72</v>
      </c>
      <c r="AD4" s="18">
        <v>5000</v>
      </c>
      <c r="AE4" s="18">
        <v>11111</v>
      </c>
      <c r="AG4" s="86" t="s">
        <v>136</v>
      </c>
      <c r="AH4" s="18">
        <v>7000</v>
      </c>
      <c r="AI4" s="18">
        <v>9445</v>
      </c>
      <c r="AJ4" s="18"/>
      <c r="AK4" s="18"/>
      <c r="AL4" s="18">
        <v>8000</v>
      </c>
      <c r="AM4" s="18">
        <v>11765</v>
      </c>
      <c r="AN4" s="18"/>
      <c r="AO4" s="11" t="s">
        <v>136</v>
      </c>
      <c r="AP4" s="3">
        <v>15000</v>
      </c>
      <c r="AQ4" s="3">
        <v>342857</v>
      </c>
      <c r="AS4" s="11" t="s">
        <v>136</v>
      </c>
      <c r="AT4" s="3">
        <v>15500</v>
      </c>
      <c r="AU4" s="3">
        <v>132860</v>
      </c>
      <c r="AW4" s="11" t="s">
        <v>136</v>
      </c>
      <c r="AX4" s="3">
        <v>14000</v>
      </c>
      <c r="AY4" s="3">
        <v>153570</v>
      </c>
      <c r="BA4" s="11" t="s">
        <v>136</v>
      </c>
      <c r="BB4" s="3">
        <v>14250</v>
      </c>
      <c r="BC4" s="3">
        <v>162857</v>
      </c>
      <c r="BE4" s="3" t="s">
        <v>136</v>
      </c>
      <c r="BF4" s="3">
        <v>9300</v>
      </c>
      <c r="BG4" s="3">
        <v>13063</v>
      </c>
      <c r="BH4" s="111"/>
    </row>
    <row r="5" spans="1:60" s="3" customFormat="1" x14ac:dyDescent="0.3">
      <c r="A5" s="45" t="s">
        <v>76</v>
      </c>
      <c r="B5" s="11" t="s">
        <v>70</v>
      </c>
      <c r="C5" s="44"/>
      <c r="D5" s="44"/>
      <c r="F5" s="11" t="s">
        <v>70</v>
      </c>
      <c r="G5" s="44"/>
      <c r="H5" s="44"/>
      <c r="J5" s="44" t="s">
        <v>70</v>
      </c>
      <c r="K5" s="44"/>
      <c r="L5" s="44"/>
      <c r="M5" s="45"/>
      <c r="N5" s="11" t="s">
        <v>70</v>
      </c>
      <c r="O5" s="44"/>
      <c r="P5" s="44"/>
      <c r="Q5" s="44"/>
      <c r="R5" s="44" t="s">
        <v>70</v>
      </c>
      <c r="S5" s="44"/>
      <c r="T5" s="44"/>
      <c r="U5" s="44"/>
      <c r="V5" s="57" t="s">
        <v>70</v>
      </c>
      <c r="W5" s="44">
        <f>3450</f>
        <v>3450</v>
      </c>
      <c r="X5" s="44">
        <v>1582</v>
      </c>
      <c r="Y5" s="11"/>
      <c r="Z5" s="44">
        <f>1500</f>
        <v>1500</v>
      </c>
      <c r="AA5" s="44">
        <v>1877</v>
      </c>
      <c r="AB5" s="11"/>
      <c r="AC5" s="91"/>
      <c r="AD5" s="18"/>
      <c r="AE5" s="18"/>
      <c r="AG5" s="86"/>
      <c r="AH5" s="18"/>
      <c r="AI5" s="18"/>
      <c r="AJ5" s="18"/>
      <c r="AK5" s="18"/>
      <c r="AL5" s="18"/>
      <c r="AM5" s="18"/>
      <c r="AN5" s="18"/>
      <c r="AO5" s="11" t="s">
        <v>136</v>
      </c>
      <c r="AS5" s="11" t="s">
        <v>136</v>
      </c>
      <c r="AW5" s="11" t="s">
        <v>136</v>
      </c>
      <c r="AX5" s="3">
        <v>8500</v>
      </c>
      <c r="AY5" s="3">
        <v>994275</v>
      </c>
      <c r="BA5" s="11" t="s">
        <v>136</v>
      </c>
      <c r="BB5" s="3">
        <v>8500</v>
      </c>
      <c r="BC5" s="3">
        <v>1071428</v>
      </c>
      <c r="BE5" s="3" t="s">
        <v>136</v>
      </c>
      <c r="BF5" s="3">
        <v>4850</v>
      </c>
      <c r="BG5" s="3">
        <v>36860</v>
      </c>
    </row>
    <row r="6" spans="1:60" s="3" customFormat="1" x14ac:dyDescent="0.3">
      <c r="A6" s="45" t="s">
        <v>23</v>
      </c>
      <c r="B6" s="11" t="s">
        <v>3</v>
      </c>
      <c r="C6" s="44">
        <v>500</v>
      </c>
      <c r="D6" s="44">
        <v>75000</v>
      </c>
      <c r="F6" s="11" t="s">
        <v>3</v>
      </c>
      <c r="G6" s="44">
        <v>500</v>
      </c>
      <c r="H6" s="44">
        <v>75000</v>
      </c>
      <c r="I6" s="11"/>
      <c r="J6" s="44" t="s">
        <v>3</v>
      </c>
      <c r="K6" s="44">
        <v>560</v>
      </c>
      <c r="L6" s="44">
        <v>84000</v>
      </c>
      <c r="N6" s="11" t="s">
        <v>3</v>
      </c>
      <c r="O6" s="44">
        <v>570</v>
      </c>
      <c r="P6" s="44">
        <v>85500</v>
      </c>
      <c r="Q6" s="44"/>
      <c r="R6" s="44" t="s">
        <v>3</v>
      </c>
      <c r="S6" s="44">
        <v>2493</v>
      </c>
      <c r="T6" s="44">
        <v>498600</v>
      </c>
      <c r="U6" s="44"/>
      <c r="V6" s="11" t="s">
        <v>3</v>
      </c>
      <c r="W6" s="11">
        <v>660</v>
      </c>
      <c r="X6" s="44">
        <v>8703</v>
      </c>
      <c r="Y6" s="11"/>
      <c r="Z6" s="44">
        <v>120</v>
      </c>
      <c r="AA6" s="44">
        <v>1056</v>
      </c>
      <c r="AB6" s="11"/>
      <c r="AC6" s="91" t="s">
        <v>3</v>
      </c>
      <c r="AD6" s="18">
        <v>520</v>
      </c>
      <c r="AE6" s="18">
        <v>5778</v>
      </c>
      <c r="AG6" s="86"/>
      <c r="AH6" s="18">
        <v>475</v>
      </c>
      <c r="AI6" s="18">
        <v>4398</v>
      </c>
      <c r="AJ6" s="18"/>
      <c r="AK6" s="18"/>
      <c r="AL6" s="18">
        <v>242</v>
      </c>
      <c r="AM6" s="18">
        <v>3084</v>
      </c>
      <c r="AN6" s="18"/>
      <c r="AO6" s="11" t="s">
        <v>3</v>
      </c>
      <c r="AP6" s="3">
        <v>97</v>
      </c>
      <c r="AQ6" s="3">
        <v>18200</v>
      </c>
      <c r="AS6" s="11" t="s">
        <v>3</v>
      </c>
      <c r="AT6" s="3">
        <v>61</v>
      </c>
      <c r="AU6" s="3">
        <v>13070</v>
      </c>
      <c r="AW6" s="11" t="s">
        <v>3</v>
      </c>
      <c r="AX6" s="3">
        <v>132</v>
      </c>
      <c r="AY6" s="3">
        <v>26400</v>
      </c>
      <c r="BA6" s="11" t="s">
        <v>3</v>
      </c>
      <c r="BB6" s="3">
        <v>105</v>
      </c>
      <c r="BC6" s="3">
        <v>24000</v>
      </c>
      <c r="BE6" s="3" t="s">
        <v>3</v>
      </c>
      <c r="BF6" s="3">
        <v>196</v>
      </c>
      <c r="BG6" s="3">
        <v>2221</v>
      </c>
    </row>
    <row r="7" spans="1:60" s="3" customFormat="1" x14ac:dyDescent="0.3">
      <c r="A7" s="45" t="s">
        <v>78</v>
      </c>
      <c r="B7" s="11" t="s">
        <v>70</v>
      </c>
      <c r="C7" s="44"/>
      <c r="D7" s="44"/>
      <c r="F7" s="11" t="s">
        <v>70</v>
      </c>
      <c r="G7" s="44"/>
      <c r="H7" s="44"/>
      <c r="J7" s="44" t="s">
        <v>70</v>
      </c>
      <c r="K7" s="44"/>
      <c r="L7" s="44"/>
      <c r="N7" s="11" t="s">
        <v>70</v>
      </c>
      <c r="O7" s="44"/>
      <c r="P7" s="44"/>
      <c r="Q7" s="44"/>
      <c r="R7" s="44" t="s">
        <v>70</v>
      </c>
      <c r="S7" s="44"/>
      <c r="T7" s="44"/>
      <c r="U7" s="44"/>
      <c r="V7" s="11" t="s">
        <v>70</v>
      </c>
      <c r="W7" s="11">
        <v>500</v>
      </c>
      <c r="X7" s="44">
        <v>153</v>
      </c>
      <c r="Y7" s="11"/>
      <c r="Z7" s="44"/>
      <c r="AA7" s="44"/>
      <c r="AB7" s="11"/>
      <c r="AC7" s="91"/>
      <c r="AD7" s="18"/>
      <c r="AE7" s="18"/>
      <c r="AG7" s="86"/>
      <c r="AH7" s="18"/>
      <c r="AI7" s="18"/>
      <c r="AJ7" s="18"/>
      <c r="AK7" s="18"/>
      <c r="AL7" s="18"/>
      <c r="AM7" s="18"/>
      <c r="AN7" s="18"/>
      <c r="AO7" s="11" t="s">
        <v>70</v>
      </c>
      <c r="AS7" s="11" t="s">
        <v>70</v>
      </c>
      <c r="AW7" s="11" t="s">
        <v>70</v>
      </c>
      <c r="BA7" s="11" t="s">
        <v>70</v>
      </c>
    </row>
    <row r="8" spans="1:60" s="3" customFormat="1" x14ac:dyDescent="0.3">
      <c r="A8" s="45" t="s">
        <v>79</v>
      </c>
      <c r="B8" s="11" t="s">
        <v>70</v>
      </c>
      <c r="C8" s="44"/>
      <c r="D8" s="44"/>
      <c r="F8" s="11" t="s">
        <v>70</v>
      </c>
      <c r="G8" s="44"/>
      <c r="H8" s="44"/>
      <c r="J8" s="44" t="s">
        <v>70</v>
      </c>
      <c r="K8" s="44"/>
      <c r="L8" s="44"/>
      <c r="N8" s="11" t="s">
        <v>70</v>
      </c>
      <c r="O8" s="44"/>
      <c r="P8" s="44"/>
      <c r="Q8" s="44"/>
      <c r="R8" s="44" t="s">
        <v>70</v>
      </c>
      <c r="S8" s="44"/>
      <c r="T8" s="44"/>
      <c r="U8" s="44"/>
      <c r="V8" s="11" t="s">
        <v>70</v>
      </c>
      <c r="W8" s="11">
        <v>600</v>
      </c>
      <c r="X8" s="44">
        <v>329</v>
      </c>
      <c r="Y8" s="11"/>
      <c r="Z8" s="44">
        <v>500</v>
      </c>
      <c r="AA8" s="44">
        <v>440</v>
      </c>
      <c r="AB8" s="11"/>
      <c r="AC8" s="91"/>
      <c r="AD8" s="18"/>
      <c r="AE8" s="18"/>
      <c r="AG8" s="86"/>
      <c r="AH8" s="18"/>
      <c r="AI8" s="18"/>
      <c r="AJ8" s="18"/>
      <c r="AK8" s="18"/>
      <c r="AL8" s="18"/>
      <c r="AM8" s="18"/>
      <c r="AN8" s="18"/>
      <c r="AO8" s="11" t="s">
        <v>70</v>
      </c>
      <c r="AS8" s="11" t="s">
        <v>70</v>
      </c>
      <c r="AW8" s="11" t="s">
        <v>70</v>
      </c>
      <c r="BA8" s="11" t="s">
        <v>70</v>
      </c>
    </row>
    <row r="9" spans="1:60" s="3" customFormat="1" x14ac:dyDescent="0.3">
      <c r="A9" s="45" t="s">
        <v>93</v>
      </c>
      <c r="B9" s="11" t="s">
        <v>71</v>
      </c>
      <c r="C9" s="44"/>
      <c r="D9" s="44"/>
      <c r="F9" s="11" t="s">
        <v>71</v>
      </c>
      <c r="G9" s="44"/>
      <c r="H9" s="44"/>
      <c r="J9" s="44" t="s">
        <v>71</v>
      </c>
      <c r="K9" s="44"/>
      <c r="L9" s="44"/>
      <c r="N9" s="11" t="s">
        <v>71</v>
      </c>
      <c r="O9" s="44"/>
      <c r="P9" s="44"/>
      <c r="Q9" s="44"/>
      <c r="R9" s="44" t="s">
        <v>71</v>
      </c>
      <c r="S9" s="44"/>
      <c r="T9" s="44"/>
      <c r="U9" s="44"/>
      <c r="V9" s="11" t="s">
        <v>71</v>
      </c>
      <c r="W9" s="11"/>
      <c r="X9" s="44"/>
      <c r="Y9" s="11"/>
      <c r="Z9" s="44">
        <v>40</v>
      </c>
      <c r="AA9" s="44">
        <v>879</v>
      </c>
      <c r="AB9" s="11"/>
      <c r="AC9" s="92"/>
      <c r="AD9" s="41"/>
      <c r="AE9" s="41"/>
      <c r="AG9" s="87"/>
      <c r="AH9" s="41"/>
      <c r="AI9" s="41"/>
      <c r="AJ9" s="41"/>
      <c r="AK9" s="41"/>
      <c r="AL9" s="41"/>
      <c r="AM9" s="41"/>
      <c r="AN9" s="41"/>
      <c r="AO9" s="11" t="s">
        <v>71</v>
      </c>
      <c r="AS9" s="11" t="s">
        <v>71</v>
      </c>
      <c r="AW9" s="11" t="s">
        <v>71</v>
      </c>
      <c r="BA9" s="11" t="s">
        <v>71</v>
      </c>
    </row>
    <row r="10" spans="1:60" s="3" customFormat="1" x14ac:dyDescent="0.3">
      <c r="A10" s="45" t="s">
        <v>80</v>
      </c>
      <c r="B10" s="11" t="s">
        <v>135</v>
      </c>
      <c r="C10" s="44">
        <v>57140</v>
      </c>
      <c r="D10" s="44">
        <v>1040000</v>
      </c>
      <c r="F10" s="11" t="s">
        <v>135</v>
      </c>
      <c r="G10" s="44">
        <v>57140</v>
      </c>
      <c r="H10" s="44">
        <v>928000</v>
      </c>
      <c r="I10" s="11"/>
      <c r="J10" s="44" t="s">
        <v>135</v>
      </c>
      <c r="K10" s="44">
        <v>62860</v>
      </c>
      <c r="L10" s="44">
        <v>968000</v>
      </c>
      <c r="N10" s="54" t="s">
        <v>135</v>
      </c>
      <c r="O10" s="44">
        <v>68570</v>
      </c>
      <c r="P10" s="44">
        <v>960000</v>
      </c>
      <c r="Q10" s="44"/>
      <c r="R10" s="44" t="s">
        <v>71</v>
      </c>
      <c r="S10" s="44">
        <v>30000</v>
      </c>
      <c r="T10" s="44">
        <v>600000</v>
      </c>
      <c r="U10" s="44"/>
      <c r="V10" s="11" t="s">
        <v>71</v>
      </c>
      <c r="W10" s="11">
        <v>39520</v>
      </c>
      <c r="X10" s="44">
        <v>56457</v>
      </c>
      <c r="Y10" s="11"/>
      <c r="Z10" s="44"/>
      <c r="AA10" s="44"/>
      <c r="AB10" s="11"/>
      <c r="AC10" s="95" t="s">
        <v>71</v>
      </c>
      <c r="AD10" s="18">
        <v>3000</v>
      </c>
      <c r="AE10" s="18">
        <v>4667</v>
      </c>
      <c r="AG10" s="15"/>
      <c r="AH10" s="18">
        <v>5500</v>
      </c>
      <c r="AI10" s="18">
        <v>10185</v>
      </c>
      <c r="AJ10" s="18"/>
      <c r="AK10" s="18"/>
      <c r="AL10" s="18">
        <v>5000</v>
      </c>
      <c r="AM10" s="18">
        <v>7843</v>
      </c>
      <c r="AN10" s="18"/>
      <c r="AO10" s="54" t="s">
        <v>91</v>
      </c>
      <c r="AP10" s="3">
        <v>6000</v>
      </c>
      <c r="AQ10" s="3">
        <v>154286</v>
      </c>
      <c r="AS10" s="11" t="s">
        <v>71</v>
      </c>
      <c r="AT10" s="3">
        <v>3750</v>
      </c>
      <c r="AU10" s="3">
        <v>96430</v>
      </c>
      <c r="AW10" s="11" t="s">
        <v>71</v>
      </c>
      <c r="AX10" s="3">
        <v>7525</v>
      </c>
      <c r="AY10" s="3">
        <v>215010</v>
      </c>
      <c r="BA10" s="11" t="s">
        <v>71</v>
      </c>
      <c r="BB10" s="3">
        <v>15000</v>
      </c>
      <c r="BC10" s="3">
        <v>342857</v>
      </c>
      <c r="BE10" s="3" t="s">
        <v>71</v>
      </c>
      <c r="BF10" s="3">
        <v>9250</v>
      </c>
      <c r="BG10" s="3">
        <v>12333</v>
      </c>
    </row>
    <row r="11" spans="1:60" s="3" customFormat="1" x14ac:dyDescent="0.3">
      <c r="A11" s="45" t="s">
        <v>81</v>
      </c>
      <c r="B11" s="11" t="s">
        <v>71</v>
      </c>
      <c r="C11" s="44"/>
      <c r="D11" s="44"/>
      <c r="F11" s="11" t="s">
        <v>71</v>
      </c>
      <c r="G11" s="44"/>
      <c r="H11" s="44"/>
      <c r="J11" s="44" t="s">
        <v>71</v>
      </c>
      <c r="K11" s="44"/>
      <c r="L11" s="44"/>
      <c r="N11" s="11" t="s">
        <v>71</v>
      </c>
      <c r="O11" s="44"/>
      <c r="P11" s="44"/>
      <c r="Q11" s="44"/>
      <c r="R11" s="44" t="s">
        <v>71</v>
      </c>
      <c r="S11" s="44"/>
      <c r="T11" s="44"/>
      <c r="U11" s="44"/>
      <c r="V11" s="11" t="s">
        <v>71</v>
      </c>
      <c r="W11" s="11">
        <v>950</v>
      </c>
      <c r="X11" s="44">
        <v>15659</v>
      </c>
      <c r="Y11" s="11"/>
      <c r="Z11" s="44">
        <v>3</v>
      </c>
      <c r="AA11" s="44">
        <v>79080</v>
      </c>
      <c r="AC11" s="91"/>
      <c r="AD11" s="18"/>
      <c r="AE11" s="18"/>
      <c r="AG11" s="86"/>
      <c r="AH11" s="18"/>
      <c r="AI11" s="18"/>
      <c r="AJ11" s="18"/>
      <c r="AK11" s="18"/>
      <c r="AL11" s="18"/>
      <c r="AM11" s="18"/>
      <c r="AN11" s="18"/>
      <c r="AO11" s="11" t="s">
        <v>71</v>
      </c>
      <c r="AS11" s="11" t="s">
        <v>71</v>
      </c>
      <c r="AW11" s="11" t="s">
        <v>71</v>
      </c>
      <c r="BA11" s="11" t="s">
        <v>71</v>
      </c>
    </row>
    <row r="12" spans="1:60" s="3" customFormat="1" x14ac:dyDescent="0.3">
      <c r="A12" s="45" t="s">
        <v>144</v>
      </c>
      <c r="B12" s="11" t="s">
        <v>135</v>
      </c>
      <c r="C12" s="44">
        <v>1710</v>
      </c>
      <c r="D12" s="44">
        <v>77940</v>
      </c>
      <c r="F12" s="11" t="s">
        <v>135</v>
      </c>
      <c r="G12" s="44">
        <v>1424</v>
      </c>
      <c r="H12" s="44">
        <v>71940</v>
      </c>
      <c r="J12" s="44" t="s">
        <v>135</v>
      </c>
      <c r="K12" s="44">
        <v>1140</v>
      </c>
      <c r="L12" s="44">
        <v>43960</v>
      </c>
      <c r="N12" s="54" t="s">
        <v>135</v>
      </c>
      <c r="O12" s="44">
        <v>278</v>
      </c>
      <c r="P12" s="44">
        <v>9230</v>
      </c>
      <c r="Q12" s="44"/>
      <c r="R12" s="57" t="s">
        <v>72</v>
      </c>
      <c r="S12" s="44">
        <v>500</v>
      </c>
      <c r="T12" s="44">
        <v>16000</v>
      </c>
      <c r="U12" s="44"/>
      <c r="V12" s="54" t="s">
        <v>13</v>
      </c>
      <c r="W12" s="11">
        <v>560</v>
      </c>
      <c r="X12" s="44">
        <v>579</v>
      </c>
      <c r="Y12" s="11"/>
      <c r="Z12" s="44">
        <v>450</v>
      </c>
      <c r="AA12" s="44">
        <v>1472</v>
      </c>
      <c r="AC12" s="96" t="s">
        <v>72</v>
      </c>
      <c r="AD12" s="18">
        <v>500</v>
      </c>
      <c r="AE12" s="18">
        <v>278</v>
      </c>
      <c r="AG12" s="96" t="s">
        <v>136</v>
      </c>
      <c r="AH12" s="18">
        <v>400</v>
      </c>
      <c r="AI12" s="18">
        <v>593</v>
      </c>
      <c r="AJ12" s="18"/>
      <c r="AK12" s="18"/>
      <c r="AL12" s="18"/>
      <c r="AM12" s="18"/>
      <c r="AN12" s="18"/>
      <c r="AO12" s="54" t="s">
        <v>13</v>
      </c>
      <c r="AS12" s="11" t="s">
        <v>91</v>
      </c>
      <c r="AT12" s="3">
        <v>2250</v>
      </c>
      <c r="AU12" s="3">
        <v>48210</v>
      </c>
      <c r="AW12" s="11" t="s">
        <v>91</v>
      </c>
      <c r="AX12" s="3">
        <v>2600</v>
      </c>
      <c r="AY12" s="3">
        <v>90135</v>
      </c>
      <c r="BA12" s="11" t="s">
        <v>91</v>
      </c>
      <c r="BB12" s="3">
        <v>1800</v>
      </c>
      <c r="BC12" s="3">
        <v>61714</v>
      </c>
      <c r="BE12" s="3" t="s">
        <v>91</v>
      </c>
      <c r="BF12" s="3">
        <v>2150</v>
      </c>
      <c r="BG12" s="3">
        <v>4481</v>
      </c>
    </row>
    <row r="13" spans="1:60" s="3" customFormat="1" x14ac:dyDescent="0.3">
      <c r="A13" s="45" t="s">
        <v>256</v>
      </c>
      <c r="B13" s="11" t="s">
        <v>135</v>
      </c>
      <c r="C13" s="44">
        <v>2428</v>
      </c>
      <c r="D13" s="44">
        <v>27600</v>
      </c>
      <c r="F13" s="11" t="s">
        <v>135</v>
      </c>
      <c r="G13" s="44">
        <v>2428</v>
      </c>
      <c r="H13" s="44">
        <v>27600</v>
      </c>
      <c r="J13" s="44" t="s">
        <v>135</v>
      </c>
      <c r="K13" s="44">
        <v>2200</v>
      </c>
      <c r="L13" s="44">
        <v>31680</v>
      </c>
      <c r="N13" s="54" t="s">
        <v>135</v>
      </c>
      <c r="O13" s="44">
        <v>1103</v>
      </c>
      <c r="P13" s="44">
        <v>5460</v>
      </c>
      <c r="Q13" s="44"/>
      <c r="R13" s="54" t="s">
        <v>72</v>
      </c>
      <c r="S13" s="44">
        <v>50</v>
      </c>
      <c r="T13" s="44">
        <v>3000</v>
      </c>
      <c r="U13" s="44"/>
      <c r="V13" s="11" t="s">
        <v>135</v>
      </c>
      <c r="W13" s="11"/>
      <c r="X13" s="44"/>
      <c r="Y13" s="11"/>
      <c r="Z13" s="44"/>
      <c r="AA13" s="44"/>
      <c r="AC13" s="92"/>
      <c r="AD13" s="41"/>
      <c r="AE13" s="41"/>
      <c r="AG13" s="87"/>
      <c r="AH13" s="41"/>
      <c r="AI13" s="41"/>
      <c r="AJ13" s="41"/>
      <c r="AK13" s="41"/>
      <c r="AL13" s="41"/>
      <c r="AM13" s="41"/>
      <c r="AN13" s="41"/>
      <c r="AO13" s="11" t="s">
        <v>135</v>
      </c>
      <c r="AS13" s="11" t="s">
        <v>135</v>
      </c>
      <c r="AW13" s="11" t="s">
        <v>135</v>
      </c>
      <c r="BA13" s="11" t="s">
        <v>135</v>
      </c>
    </row>
    <row r="14" spans="1:60" s="3" customFormat="1" x14ac:dyDescent="0.3">
      <c r="A14" s="45" t="s">
        <v>94</v>
      </c>
      <c r="B14" s="11" t="s">
        <v>70</v>
      </c>
      <c r="C14" s="44"/>
      <c r="D14" s="44"/>
      <c r="F14" s="11" t="s">
        <v>70</v>
      </c>
      <c r="G14" s="44"/>
      <c r="H14" s="44"/>
      <c r="J14" s="44" t="s">
        <v>70</v>
      </c>
      <c r="K14" s="44"/>
      <c r="L14" s="44"/>
      <c r="N14" s="11" t="s">
        <v>70</v>
      </c>
      <c r="O14" s="44"/>
      <c r="P14" s="44"/>
      <c r="Q14" s="44"/>
      <c r="R14" s="44" t="s">
        <v>70</v>
      </c>
      <c r="S14" s="44"/>
      <c r="T14" s="44"/>
      <c r="U14" s="44"/>
      <c r="V14" s="11" t="s">
        <v>70</v>
      </c>
      <c r="W14" s="11"/>
      <c r="X14" s="44"/>
      <c r="Y14" s="11"/>
      <c r="Z14" s="44">
        <v>20</v>
      </c>
      <c r="AA14" s="44">
        <v>174</v>
      </c>
      <c r="AC14" s="91"/>
      <c r="AD14" s="18"/>
      <c r="AE14" s="18"/>
      <c r="AG14" s="86"/>
      <c r="AH14" s="18"/>
      <c r="AI14" s="18"/>
      <c r="AJ14" s="18"/>
      <c r="AK14" s="18"/>
      <c r="AL14" s="18"/>
      <c r="AM14" s="18"/>
      <c r="AN14" s="18"/>
      <c r="AO14" s="11" t="s">
        <v>70</v>
      </c>
      <c r="AS14" s="11" t="s">
        <v>70</v>
      </c>
      <c r="AW14" s="11" t="s">
        <v>70</v>
      </c>
      <c r="BA14" s="11" t="s">
        <v>70</v>
      </c>
    </row>
    <row r="15" spans="1:60" s="3" customFormat="1" x14ac:dyDescent="0.3">
      <c r="A15" s="45" t="s">
        <v>82</v>
      </c>
      <c r="B15" s="11" t="s">
        <v>13</v>
      </c>
      <c r="C15" s="44"/>
      <c r="D15" s="44"/>
      <c r="F15" s="11" t="s">
        <v>13</v>
      </c>
      <c r="G15" s="44"/>
      <c r="H15" s="44"/>
      <c r="J15" s="44" t="s">
        <v>13</v>
      </c>
      <c r="K15" s="44"/>
      <c r="L15" s="44"/>
      <c r="N15" s="11" t="s">
        <v>13</v>
      </c>
      <c r="O15" s="44"/>
      <c r="P15" s="44"/>
      <c r="Q15" s="44"/>
      <c r="R15" s="44" t="s">
        <v>13</v>
      </c>
      <c r="S15" s="44"/>
      <c r="T15" s="44"/>
      <c r="U15" s="44"/>
      <c r="V15" s="11" t="s">
        <v>13</v>
      </c>
      <c r="W15" s="11">
        <v>450</v>
      </c>
      <c r="X15" s="44">
        <v>296</v>
      </c>
      <c r="Y15" s="11"/>
      <c r="Z15" s="44">
        <v>1500</v>
      </c>
      <c r="AA15" s="44">
        <v>988</v>
      </c>
      <c r="AC15" s="91"/>
      <c r="AD15" s="18"/>
      <c r="AE15" s="18"/>
      <c r="AG15" s="86"/>
      <c r="AH15" s="18"/>
      <c r="AI15" s="18"/>
      <c r="AJ15" s="18"/>
      <c r="AK15" s="18"/>
      <c r="AL15" s="18"/>
      <c r="AM15" s="18"/>
      <c r="AN15" s="18"/>
      <c r="AO15" s="11" t="s">
        <v>13</v>
      </c>
      <c r="AS15" s="11" t="s">
        <v>13</v>
      </c>
      <c r="AW15" s="11" t="s">
        <v>13</v>
      </c>
      <c r="BA15" s="11" t="s">
        <v>13</v>
      </c>
    </row>
    <row r="16" spans="1:60" s="3" customFormat="1" x14ac:dyDescent="0.3">
      <c r="A16" s="45" t="s">
        <v>141</v>
      </c>
      <c r="B16" s="11" t="s">
        <v>135</v>
      </c>
      <c r="C16" s="44">
        <v>15426</v>
      </c>
      <c r="D16" s="44">
        <v>170400</v>
      </c>
      <c r="F16" s="11" t="s">
        <v>168</v>
      </c>
      <c r="G16" s="44">
        <v>15426</v>
      </c>
      <c r="H16" s="44">
        <v>145200</v>
      </c>
      <c r="J16" s="44" t="s">
        <v>135</v>
      </c>
      <c r="K16" s="44">
        <v>15256</v>
      </c>
      <c r="L16" s="44">
        <v>101700</v>
      </c>
      <c r="N16" s="11" t="s">
        <v>135</v>
      </c>
      <c r="O16" s="44">
        <v>33450</v>
      </c>
      <c r="P16" s="44">
        <v>388160</v>
      </c>
      <c r="Q16" s="44"/>
      <c r="R16" s="57" t="s">
        <v>72</v>
      </c>
      <c r="S16" s="44">
        <v>21000</v>
      </c>
      <c r="T16" s="44">
        <v>948000</v>
      </c>
      <c r="U16" s="44"/>
      <c r="V16" s="44" t="s">
        <v>72</v>
      </c>
      <c r="W16" s="11"/>
      <c r="X16" s="44"/>
      <c r="Y16" s="11"/>
      <c r="Z16" s="44"/>
      <c r="AA16" s="44"/>
      <c r="AC16" s="95" t="s">
        <v>72</v>
      </c>
      <c r="AD16" s="18">
        <v>1500</v>
      </c>
      <c r="AE16" s="18">
        <v>917</v>
      </c>
      <c r="AG16" s="86" t="s">
        <v>136</v>
      </c>
      <c r="AH16" s="18">
        <v>1000</v>
      </c>
      <c r="AI16" s="18">
        <v>926</v>
      </c>
      <c r="AJ16" s="18"/>
      <c r="AK16" s="18"/>
      <c r="AL16" s="18">
        <v>2000</v>
      </c>
      <c r="AM16" s="18">
        <v>980</v>
      </c>
      <c r="AN16" s="18"/>
      <c r="AO16" s="44" t="s">
        <v>136</v>
      </c>
      <c r="AP16" s="3">
        <v>4500</v>
      </c>
      <c r="AQ16" s="3">
        <v>15000</v>
      </c>
      <c r="AS16" s="44" t="s">
        <v>136</v>
      </c>
      <c r="AT16" s="3">
        <v>23400</v>
      </c>
      <c r="AU16" s="3">
        <v>862860</v>
      </c>
      <c r="AW16" s="44" t="s">
        <v>136</v>
      </c>
      <c r="AX16" s="3">
        <v>7875</v>
      </c>
      <c r="AY16" s="3">
        <v>75000</v>
      </c>
      <c r="BA16" s="44" t="s">
        <v>136</v>
      </c>
      <c r="BB16" s="3">
        <v>5500</v>
      </c>
      <c r="BC16" s="3">
        <v>94285</v>
      </c>
      <c r="BE16" s="44" t="s">
        <v>136</v>
      </c>
      <c r="BF16" s="3">
        <v>4950</v>
      </c>
      <c r="BG16" s="3">
        <v>6270</v>
      </c>
    </row>
    <row r="17" spans="1:59" s="3" customFormat="1" x14ac:dyDescent="0.3">
      <c r="A17" s="45" t="s">
        <v>160</v>
      </c>
      <c r="B17" s="11"/>
      <c r="C17" s="44"/>
      <c r="D17" s="44"/>
      <c r="F17" s="11"/>
      <c r="G17" s="44"/>
      <c r="H17" s="44"/>
      <c r="J17" s="44"/>
      <c r="K17" s="44"/>
      <c r="L17" s="44"/>
      <c r="N17" s="11"/>
      <c r="O17" s="44"/>
      <c r="P17" s="44"/>
      <c r="Q17" s="44"/>
      <c r="R17" s="44"/>
      <c r="S17" s="44"/>
      <c r="T17" s="44"/>
      <c r="U17" s="44"/>
      <c r="V17" s="11"/>
      <c r="W17" s="11"/>
      <c r="X17" s="44"/>
      <c r="Y17" s="11"/>
      <c r="Z17" s="44"/>
      <c r="AA17" s="44"/>
      <c r="AC17" s="92" t="s">
        <v>161</v>
      </c>
      <c r="AD17" s="18"/>
      <c r="AE17" s="18"/>
      <c r="AG17" s="86"/>
      <c r="AH17" s="18">
        <v>150</v>
      </c>
      <c r="AI17" s="18">
        <v>8333</v>
      </c>
      <c r="AJ17" s="18"/>
      <c r="AK17" s="18"/>
      <c r="AL17" s="18">
        <v>120</v>
      </c>
      <c r="AM17" s="18">
        <v>6471</v>
      </c>
      <c r="AN17" s="18"/>
      <c r="AO17" s="11" t="s">
        <v>161</v>
      </c>
      <c r="AP17" s="3">
        <v>50</v>
      </c>
      <c r="AQ17" s="3">
        <v>45000</v>
      </c>
      <c r="AS17" s="11" t="s">
        <v>161</v>
      </c>
      <c r="AU17" s="3">
        <v>128570</v>
      </c>
      <c r="AW17" s="11" t="s">
        <v>161</v>
      </c>
      <c r="AY17" s="3">
        <v>120000</v>
      </c>
      <c r="BA17" s="44" t="s">
        <v>136</v>
      </c>
      <c r="BC17" s="3">
        <v>40000</v>
      </c>
      <c r="BE17" s="44" t="s">
        <v>136</v>
      </c>
      <c r="BG17" s="3">
        <v>3333</v>
      </c>
    </row>
    <row r="18" spans="1:59" s="3" customFormat="1" x14ac:dyDescent="0.3">
      <c r="A18" s="45" t="s">
        <v>142</v>
      </c>
      <c r="B18" s="11" t="s">
        <v>135</v>
      </c>
      <c r="C18" s="44">
        <v>485</v>
      </c>
      <c r="D18" s="44">
        <v>13920</v>
      </c>
      <c r="F18" s="11" t="s">
        <v>135</v>
      </c>
      <c r="G18" s="44">
        <v>485</v>
      </c>
      <c r="H18" s="44">
        <v>13920</v>
      </c>
      <c r="J18" s="44" t="s">
        <v>135</v>
      </c>
      <c r="K18" s="44">
        <v>1571</v>
      </c>
      <c r="L18" s="44">
        <v>6880</v>
      </c>
      <c r="N18" s="11" t="s">
        <v>135</v>
      </c>
      <c r="O18" s="44">
        <v>1103</v>
      </c>
      <c r="P18" s="44">
        <v>4500</v>
      </c>
      <c r="Q18" s="44"/>
      <c r="R18" s="57" t="s">
        <v>72</v>
      </c>
      <c r="S18" s="44">
        <v>500</v>
      </c>
      <c r="T18" s="44">
        <v>20000</v>
      </c>
      <c r="U18" s="44"/>
      <c r="V18" s="57" t="s">
        <v>72</v>
      </c>
      <c r="W18" s="11"/>
      <c r="X18" s="44"/>
      <c r="Y18" s="11"/>
      <c r="Z18" s="44"/>
      <c r="AA18" s="44"/>
      <c r="AC18" s="97" t="s">
        <v>91</v>
      </c>
      <c r="AD18" s="18">
        <v>300</v>
      </c>
      <c r="AE18" s="18">
        <v>250</v>
      </c>
      <c r="AG18" s="86" t="s">
        <v>136</v>
      </c>
      <c r="AH18" s="18">
        <v>10000</v>
      </c>
      <c r="AI18" s="18">
        <v>5556</v>
      </c>
      <c r="AJ18" s="18"/>
      <c r="AK18" s="18"/>
      <c r="AL18" s="18"/>
      <c r="AM18" s="18"/>
      <c r="AN18" s="18"/>
      <c r="AO18" s="44" t="s">
        <v>136</v>
      </c>
      <c r="AP18" s="3">
        <v>2500</v>
      </c>
      <c r="AQ18" s="3">
        <v>35714</v>
      </c>
      <c r="AS18" s="44" t="s">
        <v>136</v>
      </c>
      <c r="AT18" s="3">
        <v>15000</v>
      </c>
      <c r="AU18" s="3">
        <v>642860</v>
      </c>
      <c r="AW18" s="44" t="s">
        <v>136</v>
      </c>
      <c r="AX18" s="3">
        <v>22000</v>
      </c>
      <c r="AY18" s="3">
        <v>892860</v>
      </c>
      <c r="BA18" s="44" t="s">
        <v>136</v>
      </c>
      <c r="BB18" s="3">
        <v>29650</v>
      </c>
      <c r="BC18" s="3">
        <v>1443426</v>
      </c>
      <c r="BE18" s="44" t="s">
        <v>136</v>
      </c>
      <c r="BF18" s="3">
        <v>4300</v>
      </c>
      <c r="BG18" s="3">
        <v>37267</v>
      </c>
    </row>
    <row r="19" spans="1:59" s="3" customFormat="1" x14ac:dyDescent="0.3">
      <c r="A19" s="45" t="s">
        <v>73</v>
      </c>
      <c r="B19" s="11" t="s">
        <v>72</v>
      </c>
      <c r="C19" s="44">
        <v>1400</v>
      </c>
      <c r="D19" s="44">
        <v>124000</v>
      </c>
      <c r="F19" s="54" t="s">
        <v>72</v>
      </c>
      <c r="G19" s="44">
        <v>1400</v>
      </c>
      <c r="H19" s="44">
        <v>124000</v>
      </c>
      <c r="J19" s="11" t="s">
        <v>104</v>
      </c>
      <c r="K19" s="44">
        <v>64000</v>
      </c>
      <c r="L19" s="44">
        <v>143600</v>
      </c>
      <c r="N19" s="11" t="s">
        <v>104</v>
      </c>
      <c r="O19" s="44">
        <v>1049000</v>
      </c>
      <c r="P19" s="44">
        <v>1908600</v>
      </c>
      <c r="Q19" s="44"/>
      <c r="R19" s="54" t="s">
        <v>104</v>
      </c>
      <c r="S19" s="44">
        <v>240000</v>
      </c>
      <c r="T19" s="44">
        <v>192000</v>
      </c>
      <c r="U19" s="44"/>
      <c r="V19" s="54" t="s">
        <v>104</v>
      </c>
      <c r="W19" s="44">
        <v>3950</v>
      </c>
      <c r="X19" s="44">
        <v>1579</v>
      </c>
      <c r="Y19" s="11"/>
      <c r="Z19" s="44">
        <v>47200</v>
      </c>
      <c r="AA19" s="44">
        <v>2285</v>
      </c>
      <c r="AC19" s="98" t="s">
        <v>72</v>
      </c>
      <c r="AD19" s="18">
        <v>800</v>
      </c>
      <c r="AE19" s="18">
        <v>14222</v>
      </c>
      <c r="AG19" s="86" t="s">
        <v>104</v>
      </c>
      <c r="AH19" s="18">
        <v>85000</v>
      </c>
      <c r="AI19" s="18">
        <v>3148</v>
      </c>
      <c r="AJ19" s="18"/>
      <c r="AK19" s="18"/>
      <c r="AL19" s="18">
        <v>40000</v>
      </c>
      <c r="AM19" s="18">
        <v>1569</v>
      </c>
      <c r="AN19" s="18"/>
      <c r="AO19" s="11" t="s">
        <v>104</v>
      </c>
      <c r="AP19" s="3">
        <v>70000</v>
      </c>
      <c r="AQ19" s="3">
        <v>40000</v>
      </c>
      <c r="AS19" s="54" t="s">
        <v>104</v>
      </c>
      <c r="AT19" s="3">
        <v>285000</v>
      </c>
      <c r="AU19" s="3">
        <v>244290</v>
      </c>
      <c r="AW19" s="11" t="s">
        <v>72</v>
      </c>
      <c r="AX19" s="3">
        <v>6500</v>
      </c>
      <c r="AY19" s="3">
        <v>385725</v>
      </c>
      <c r="BA19" s="11" t="s">
        <v>72</v>
      </c>
      <c r="BB19" s="3">
        <v>3500</v>
      </c>
      <c r="BC19" s="3">
        <v>175000</v>
      </c>
      <c r="BE19" s="11" t="s">
        <v>72</v>
      </c>
      <c r="BF19" s="3">
        <v>8500</v>
      </c>
      <c r="BG19" s="3">
        <v>10767</v>
      </c>
    </row>
    <row r="20" spans="1:59" s="3" customFormat="1" x14ac:dyDescent="0.3">
      <c r="A20" s="45" t="s">
        <v>162</v>
      </c>
      <c r="B20" s="11"/>
      <c r="C20" s="44"/>
      <c r="D20" s="44"/>
      <c r="F20" s="54"/>
      <c r="G20" s="44"/>
      <c r="H20" s="44"/>
      <c r="J20" s="11"/>
      <c r="K20" s="44"/>
      <c r="L20" s="44"/>
      <c r="N20" s="11"/>
      <c r="O20" s="44"/>
      <c r="P20" s="44"/>
      <c r="Q20" s="44"/>
      <c r="R20" s="11"/>
      <c r="S20" s="44"/>
      <c r="T20" s="44"/>
      <c r="U20" s="44"/>
      <c r="V20" s="11"/>
      <c r="W20" s="44"/>
      <c r="X20" s="44"/>
      <c r="Y20" s="11"/>
      <c r="Z20" s="44"/>
      <c r="AA20" s="44"/>
      <c r="AC20" s="92"/>
      <c r="AD20" s="18"/>
      <c r="AE20" s="18"/>
      <c r="AG20" s="86"/>
      <c r="AH20" s="18"/>
      <c r="AI20" s="18"/>
      <c r="AJ20" s="18"/>
      <c r="AK20" s="18"/>
      <c r="AL20" s="18"/>
      <c r="AM20" s="18"/>
      <c r="AN20" s="18"/>
      <c r="AO20" s="44" t="s">
        <v>104</v>
      </c>
      <c r="AS20" s="44" t="s">
        <v>104</v>
      </c>
      <c r="AW20" s="44" t="s">
        <v>104</v>
      </c>
      <c r="AX20" s="3">
        <v>265000</v>
      </c>
      <c r="AY20" s="3">
        <v>370845</v>
      </c>
      <c r="BA20" s="44" t="s">
        <v>104</v>
      </c>
      <c r="BB20" s="3">
        <v>115000</v>
      </c>
      <c r="BC20" s="3">
        <v>131428</v>
      </c>
      <c r="BE20" s="44" t="s">
        <v>104</v>
      </c>
      <c r="BF20" s="3">
        <v>185000</v>
      </c>
      <c r="BG20" s="3">
        <v>13867</v>
      </c>
    </row>
    <row r="21" spans="1:59" s="3" customFormat="1" x14ac:dyDescent="0.3">
      <c r="A21" s="45" t="s">
        <v>83</v>
      </c>
      <c r="B21" s="11" t="s">
        <v>72</v>
      </c>
      <c r="C21" s="44"/>
      <c r="D21" s="44"/>
      <c r="F21" s="11" t="s">
        <v>72</v>
      </c>
      <c r="G21" s="44"/>
      <c r="H21" s="44"/>
      <c r="J21" s="44" t="s">
        <v>72</v>
      </c>
      <c r="K21" s="44"/>
      <c r="L21" s="44"/>
      <c r="N21" s="11" t="s">
        <v>72</v>
      </c>
      <c r="O21" s="44"/>
      <c r="P21" s="44"/>
      <c r="Q21" s="44"/>
      <c r="R21" s="44" t="s">
        <v>72</v>
      </c>
      <c r="S21" s="44"/>
      <c r="T21" s="44"/>
      <c r="U21" s="44"/>
      <c r="V21" s="11" t="s">
        <v>72</v>
      </c>
      <c r="W21" s="11">
        <v>30</v>
      </c>
      <c r="X21" s="44">
        <v>40</v>
      </c>
      <c r="Y21" s="11"/>
      <c r="Z21" s="44"/>
      <c r="AA21" s="44"/>
      <c r="AC21" s="92"/>
      <c r="AD21" s="18"/>
      <c r="AE21" s="18"/>
      <c r="AG21" s="86"/>
      <c r="AH21" s="18"/>
      <c r="AI21" s="18"/>
      <c r="AJ21" s="18"/>
      <c r="AK21" s="18"/>
      <c r="AL21" s="18"/>
      <c r="AM21" s="18"/>
      <c r="AN21" s="18"/>
      <c r="AO21" s="11" t="s">
        <v>72</v>
      </c>
      <c r="AS21" s="11" t="s">
        <v>72</v>
      </c>
      <c r="AW21" s="11" t="s">
        <v>72</v>
      </c>
      <c r="BA21" s="11" t="s">
        <v>72</v>
      </c>
    </row>
    <row r="22" spans="1:59" s="3" customFormat="1" x14ac:dyDescent="0.3">
      <c r="A22" s="45" t="s">
        <v>84</v>
      </c>
      <c r="B22" s="11" t="s">
        <v>91</v>
      </c>
      <c r="C22" s="44"/>
      <c r="D22" s="44"/>
      <c r="F22" s="11" t="s">
        <v>91</v>
      </c>
      <c r="G22" s="44"/>
      <c r="H22" s="44"/>
      <c r="J22" s="44" t="s">
        <v>91</v>
      </c>
      <c r="K22" s="44"/>
      <c r="L22" s="44"/>
      <c r="N22" s="11" t="s">
        <v>91</v>
      </c>
      <c r="O22" s="44"/>
      <c r="P22" s="44"/>
      <c r="Q22" s="44"/>
      <c r="R22" s="44" t="s">
        <v>91</v>
      </c>
      <c r="S22" s="44"/>
      <c r="T22" s="44"/>
      <c r="U22" s="44"/>
      <c r="V22" s="11" t="s">
        <v>91</v>
      </c>
      <c r="W22" s="11">
        <v>20</v>
      </c>
      <c r="X22" s="44">
        <v>35</v>
      </c>
      <c r="Y22" s="11"/>
      <c r="Z22" s="44"/>
      <c r="AA22" s="44"/>
      <c r="AC22" s="92"/>
      <c r="AD22" s="18"/>
      <c r="AE22" s="18"/>
      <c r="AG22" s="86"/>
      <c r="AH22" s="18"/>
      <c r="AI22" s="18"/>
      <c r="AJ22" s="18"/>
      <c r="AK22" s="18"/>
      <c r="AL22" s="18"/>
      <c r="AM22" s="18"/>
      <c r="AN22" s="18"/>
      <c r="AO22" s="11" t="s">
        <v>91</v>
      </c>
      <c r="AS22" s="11" t="s">
        <v>91</v>
      </c>
      <c r="AW22" s="11" t="s">
        <v>91</v>
      </c>
      <c r="BA22" s="11" t="s">
        <v>91</v>
      </c>
    </row>
    <row r="23" spans="1:59" s="3" customFormat="1" x14ac:dyDescent="0.3">
      <c r="A23" s="45" t="s">
        <v>47</v>
      </c>
      <c r="B23" s="11" t="s">
        <v>143</v>
      </c>
      <c r="C23" s="44">
        <v>5000</v>
      </c>
      <c r="D23" s="44">
        <v>3420000</v>
      </c>
      <c r="F23" s="11" t="s">
        <v>143</v>
      </c>
      <c r="G23" s="44">
        <v>5000</v>
      </c>
      <c r="H23" s="44">
        <v>3420000</v>
      </c>
      <c r="J23" s="44" t="s">
        <v>143</v>
      </c>
      <c r="K23" s="44">
        <v>2600</v>
      </c>
      <c r="L23" s="44">
        <v>2652000</v>
      </c>
      <c r="N23" s="11" t="s">
        <v>143</v>
      </c>
      <c r="O23" s="44">
        <v>5300</v>
      </c>
      <c r="P23" s="44">
        <v>5300000</v>
      </c>
      <c r="Q23" s="44"/>
      <c r="R23" s="44" t="s">
        <v>143</v>
      </c>
      <c r="S23" s="44">
        <v>5100</v>
      </c>
      <c r="T23" s="44">
        <v>3507000</v>
      </c>
      <c r="U23" s="44"/>
      <c r="V23" s="11" t="s">
        <v>143</v>
      </c>
      <c r="W23" s="11">
        <v>5700</v>
      </c>
      <c r="X23" s="44">
        <v>250549</v>
      </c>
      <c r="Y23" s="11"/>
      <c r="Z23" s="44">
        <v>4500</v>
      </c>
      <c r="AA23" s="44">
        <v>276923</v>
      </c>
      <c r="AC23" s="98" t="s">
        <v>143</v>
      </c>
      <c r="AD23" s="18">
        <v>3950</v>
      </c>
      <c r="AE23" s="18">
        <v>285278</v>
      </c>
      <c r="AG23" s="86"/>
      <c r="AH23" s="18">
        <v>3250</v>
      </c>
      <c r="AI23" s="18">
        <v>228704</v>
      </c>
      <c r="AJ23" s="18"/>
      <c r="AK23" s="18"/>
      <c r="AL23" s="18">
        <v>3200</v>
      </c>
      <c r="AM23" s="18">
        <v>175686</v>
      </c>
      <c r="AN23" s="18"/>
      <c r="AO23" s="54" t="s">
        <v>70</v>
      </c>
      <c r="AP23" s="3">
        <v>3500</v>
      </c>
      <c r="AQ23" s="3">
        <v>3000000</v>
      </c>
      <c r="AS23" s="11" t="s">
        <v>143</v>
      </c>
      <c r="AT23" s="3">
        <v>3770</v>
      </c>
      <c r="AU23" s="3">
        <v>3445710</v>
      </c>
      <c r="AW23" s="11" t="s">
        <v>143</v>
      </c>
      <c r="AX23" s="3">
        <v>3950</v>
      </c>
      <c r="AY23" s="3">
        <v>3950010</v>
      </c>
      <c r="BA23" s="11" t="s">
        <v>143</v>
      </c>
      <c r="BB23" s="3">
        <v>4250</v>
      </c>
      <c r="BC23" s="3">
        <v>5160714</v>
      </c>
      <c r="BE23" s="11" t="s">
        <v>143</v>
      </c>
      <c r="BF23" s="3">
        <v>3950</v>
      </c>
      <c r="BG23" s="3">
        <v>265440</v>
      </c>
    </row>
    <row r="24" spans="1:59" s="3" customFormat="1" x14ac:dyDescent="0.3">
      <c r="A24" s="45" t="s">
        <v>95</v>
      </c>
      <c r="B24" s="11" t="s">
        <v>13</v>
      </c>
      <c r="C24" s="44">
        <v>5000</v>
      </c>
      <c r="D24" s="44">
        <v>80000</v>
      </c>
      <c r="F24" s="11" t="s">
        <v>13</v>
      </c>
      <c r="G24" s="44">
        <v>5000</v>
      </c>
      <c r="H24" s="44">
        <v>80000</v>
      </c>
      <c r="J24" s="44" t="s">
        <v>13</v>
      </c>
      <c r="K24" s="44">
        <v>40000</v>
      </c>
      <c r="L24" s="44">
        <v>44000</v>
      </c>
      <c r="N24" s="11" t="s">
        <v>13</v>
      </c>
      <c r="O24" s="44" t="s">
        <v>149</v>
      </c>
      <c r="P24" s="44">
        <v>34800</v>
      </c>
      <c r="Q24" s="44"/>
      <c r="R24" s="44" t="s">
        <v>13</v>
      </c>
      <c r="S24" s="44">
        <v>4000</v>
      </c>
      <c r="T24" s="44">
        <v>48000</v>
      </c>
      <c r="U24" s="44"/>
      <c r="V24" s="11" t="s">
        <v>13</v>
      </c>
      <c r="W24" s="11"/>
      <c r="X24" s="44"/>
      <c r="Y24" s="11"/>
      <c r="Z24" s="44">
        <v>500</v>
      </c>
      <c r="AA24" s="44">
        <v>550</v>
      </c>
      <c r="AC24" s="92"/>
      <c r="AD24" s="18"/>
      <c r="AE24" s="18"/>
      <c r="AG24" s="86"/>
      <c r="AH24" s="18"/>
      <c r="AI24" s="18"/>
      <c r="AJ24" s="18"/>
      <c r="AK24" s="18"/>
      <c r="AL24" s="18"/>
      <c r="AM24" s="18"/>
      <c r="AN24" s="18"/>
      <c r="AO24" s="11" t="s">
        <v>13</v>
      </c>
      <c r="AS24" s="11" t="s">
        <v>13</v>
      </c>
      <c r="AW24" s="11" t="s">
        <v>13</v>
      </c>
      <c r="BA24" s="11" t="s">
        <v>13</v>
      </c>
    </row>
    <row r="25" spans="1:59" s="3" customFormat="1" x14ac:dyDescent="0.3">
      <c r="A25" s="45" t="s">
        <v>85</v>
      </c>
      <c r="B25" s="11" t="s">
        <v>72</v>
      </c>
      <c r="C25" s="44"/>
      <c r="D25" s="44"/>
      <c r="F25" s="11" t="s">
        <v>72</v>
      </c>
      <c r="G25" s="44"/>
      <c r="H25" s="44"/>
      <c r="J25" s="44" t="s">
        <v>72</v>
      </c>
      <c r="K25" s="44"/>
      <c r="L25" s="44"/>
      <c r="N25" s="11" t="s">
        <v>72</v>
      </c>
      <c r="O25" s="44"/>
      <c r="P25" s="44"/>
      <c r="Q25" s="44"/>
      <c r="R25" s="44" t="s">
        <v>72</v>
      </c>
      <c r="S25" s="44"/>
      <c r="T25" s="44"/>
      <c r="U25" s="44"/>
      <c r="V25" s="11" t="s">
        <v>72</v>
      </c>
      <c r="W25" s="18">
        <v>750</v>
      </c>
      <c r="X25" s="44">
        <v>164</v>
      </c>
      <c r="Y25" s="11"/>
      <c r="Z25" s="44">
        <v>1000</v>
      </c>
      <c r="AA25" s="44">
        <v>550</v>
      </c>
      <c r="AC25" s="92"/>
      <c r="AD25" s="18"/>
      <c r="AE25" s="18"/>
      <c r="AG25" s="86"/>
      <c r="AH25" s="18"/>
      <c r="AI25" s="18"/>
      <c r="AJ25" s="18"/>
      <c r="AK25" s="18"/>
      <c r="AL25" s="18"/>
      <c r="AM25" s="18"/>
      <c r="AN25" s="18"/>
      <c r="AO25" s="11" t="s">
        <v>72</v>
      </c>
      <c r="AS25" s="11" t="s">
        <v>72</v>
      </c>
      <c r="AW25" s="11" t="s">
        <v>72</v>
      </c>
      <c r="BA25" s="11" t="s">
        <v>72</v>
      </c>
    </row>
    <row r="26" spans="1:59" s="3" customFormat="1" ht="36" customHeight="1" x14ac:dyDescent="0.3">
      <c r="A26" s="45" t="s">
        <v>86</v>
      </c>
      <c r="B26" s="11" t="s">
        <v>75</v>
      </c>
      <c r="C26" s="44"/>
      <c r="D26" s="44"/>
      <c r="F26" s="11" t="s">
        <v>75</v>
      </c>
      <c r="G26" s="44"/>
      <c r="H26" s="44"/>
      <c r="J26" s="44" t="s">
        <v>75</v>
      </c>
      <c r="K26" s="44"/>
      <c r="L26" s="44"/>
      <c r="N26" s="11" t="s">
        <v>75</v>
      </c>
      <c r="O26" s="44"/>
      <c r="P26" s="44"/>
      <c r="Q26" s="44"/>
      <c r="R26" s="44" t="s">
        <v>75</v>
      </c>
      <c r="S26" s="44"/>
      <c r="T26" s="44"/>
      <c r="U26" s="44"/>
      <c r="V26" s="99" t="s">
        <v>75</v>
      </c>
      <c r="W26" s="44">
        <v>7000</v>
      </c>
      <c r="X26" s="44">
        <v>615</v>
      </c>
      <c r="Y26" s="11"/>
      <c r="Z26" s="44"/>
      <c r="AA26" s="44"/>
      <c r="AC26" s="98" t="s">
        <v>91</v>
      </c>
      <c r="AD26" s="18">
        <v>2000</v>
      </c>
      <c r="AE26" s="18">
        <v>778</v>
      </c>
      <c r="AG26" s="86"/>
      <c r="AH26" s="94" t="s">
        <v>245</v>
      </c>
      <c r="AI26" s="18">
        <v>1667</v>
      </c>
      <c r="AJ26" s="18"/>
      <c r="AK26" s="18"/>
      <c r="AL26" s="94" t="s">
        <v>244</v>
      </c>
      <c r="AM26" s="18">
        <v>784</v>
      </c>
      <c r="AN26" s="18"/>
      <c r="AO26" s="11" t="s">
        <v>75</v>
      </c>
      <c r="AP26" s="58" t="s">
        <v>246</v>
      </c>
      <c r="AQ26" s="3">
        <v>57857</v>
      </c>
      <c r="AS26" s="11" t="s">
        <v>75</v>
      </c>
      <c r="AT26" s="58" t="s">
        <v>164</v>
      </c>
      <c r="AU26" s="3">
        <v>35790</v>
      </c>
      <c r="AW26" s="11" t="s">
        <v>75</v>
      </c>
      <c r="AX26" s="58" t="s">
        <v>165</v>
      </c>
      <c r="AY26" s="3">
        <v>49710</v>
      </c>
      <c r="BA26" s="54" t="s">
        <v>75</v>
      </c>
      <c r="BB26" s="58" t="s">
        <v>247</v>
      </c>
      <c r="BC26" s="3">
        <f>12857+75142</f>
        <v>87999</v>
      </c>
      <c r="BE26" s="11" t="s">
        <v>143</v>
      </c>
      <c r="BG26" s="3">
        <v>7154</v>
      </c>
    </row>
    <row r="27" spans="1:59" s="3" customFormat="1" x14ac:dyDescent="0.3">
      <c r="A27" s="45" t="s">
        <v>87</v>
      </c>
      <c r="B27" s="11" t="s">
        <v>70</v>
      </c>
      <c r="C27" s="44"/>
      <c r="D27" s="44"/>
      <c r="F27" s="11" t="s">
        <v>70</v>
      </c>
      <c r="G27" s="44"/>
      <c r="H27" s="44"/>
      <c r="J27" s="44" t="s">
        <v>70</v>
      </c>
      <c r="K27" s="44"/>
      <c r="L27" s="44"/>
      <c r="N27" s="11" t="s">
        <v>70</v>
      </c>
      <c r="O27" s="44"/>
      <c r="P27" s="44"/>
      <c r="Q27" s="44"/>
      <c r="R27" s="44" t="s">
        <v>70</v>
      </c>
      <c r="S27" s="44"/>
      <c r="T27" s="44"/>
      <c r="U27" s="44"/>
      <c r="V27" s="11" t="s">
        <v>70</v>
      </c>
      <c r="W27" s="44">
        <v>1200</v>
      </c>
      <c r="X27" s="44">
        <v>1054</v>
      </c>
      <c r="Y27" s="11"/>
      <c r="Z27" s="44">
        <v>1500</v>
      </c>
      <c r="AA27" s="44">
        <v>1318</v>
      </c>
      <c r="AC27" s="92"/>
      <c r="AD27" s="18"/>
      <c r="AE27" s="18"/>
      <c r="AG27" s="86"/>
      <c r="AH27" s="18"/>
      <c r="AI27" s="18"/>
      <c r="AJ27" s="18"/>
      <c r="AK27" s="18"/>
      <c r="AL27" s="18"/>
      <c r="AM27" s="18"/>
      <c r="AN27" s="18"/>
      <c r="AO27" s="11" t="s">
        <v>70</v>
      </c>
      <c r="AS27" s="11" t="s">
        <v>70</v>
      </c>
      <c r="AW27" s="11" t="s">
        <v>70</v>
      </c>
      <c r="BA27" s="11" t="s">
        <v>70</v>
      </c>
    </row>
    <row r="28" spans="1:59" s="3" customFormat="1" x14ac:dyDescent="0.3">
      <c r="A28" s="45" t="s">
        <v>88</v>
      </c>
      <c r="B28" s="11" t="s">
        <v>135</v>
      </c>
      <c r="C28" s="44">
        <v>30170</v>
      </c>
      <c r="D28" s="44">
        <v>105980</v>
      </c>
      <c r="F28" s="11" t="s">
        <v>135</v>
      </c>
      <c r="G28" s="44">
        <v>30170</v>
      </c>
      <c r="H28" s="44">
        <v>105980</v>
      </c>
      <c r="J28" s="44" t="s">
        <v>135</v>
      </c>
      <c r="K28" s="44">
        <v>10485</v>
      </c>
      <c r="L28" s="44">
        <v>41230</v>
      </c>
      <c r="N28" s="54" t="s">
        <v>135</v>
      </c>
      <c r="O28" s="44">
        <v>1230</v>
      </c>
      <c r="P28" s="44">
        <v>7260</v>
      </c>
      <c r="Q28" s="44"/>
      <c r="R28" s="57" t="s">
        <v>72</v>
      </c>
      <c r="S28" s="44">
        <v>3500</v>
      </c>
      <c r="T28" s="44">
        <v>35000</v>
      </c>
      <c r="U28" s="44"/>
      <c r="V28" s="54" t="s">
        <v>91</v>
      </c>
      <c r="W28" s="11">
        <v>525</v>
      </c>
      <c r="X28" s="44">
        <v>387</v>
      </c>
      <c r="Y28" s="11"/>
      <c r="Z28" s="44"/>
      <c r="AA28" s="44"/>
      <c r="AC28" s="98" t="s">
        <v>72</v>
      </c>
      <c r="AD28" s="18">
        <v>1500</v>
      </c>
      <c r="AE28" s="18">
        <v>833</v>
      </c>
      <c r="AG28" s="86" t="s">
        <v>136</v>
      </c>
      <c r="AH28" s="18">
        <v>1500</v>
      </c>
      <c r="AI28" s="18">
        <v>833</v>
      </c>
      <c r="AJ28" s="18"/>
      <c r="AK28" s="18"/>
      <c r="AL28" s="18">
        <v>2000</v>
      </c>
      <c r="AM28" s="18">
        <v>1568</v>
      </c>
      <c r="AN28" s="18"/>
      <c r="AO28" s="11" t="s">
        <v>136</v>
      </c>
      <c r="AP28" s="3">
        <v>5000</v>
      </c>
      <c r="AQ28" s="3">
        <v>50000</v>
      </c>
      <c r="AS28" s="11" t="s">
        <v>136</v>
      </c>
      <c r="AT28" s="3">
        <v>3500</v>
      </c>
      <c r="AU28" s="3">
        <v>25000</v>
      </c>
      <c r="AW28" s="11" t="s">
        <v>136</v>
      </c>
      <c r="AX28" s="3">
        <v>2500</v>
      </c>
      <c r="AY28" s="3">
        <v>15000</v>
      </c>
      <c r="BA28" s="54" t="s">
        <v>136</v>
      </c>
      <c r="BB28" s="3">
        <v>6500</v>
      </c>
      <c r="BC28" s="3">
        <v>37142</v>
      </c>
      <c r="BE28" s="11" t="s">
        <v>74</v>
      </c>
      <c r="BF28" s="3">
        <v>7312</v>
      </c>
      <c r="BG28" s="3">
        <v>2925</v>
      </c>
    </row>
    <row r="29" spans="1:59" s="3" customFormat="1" x14ac:dyDescent="0.3">
      <c r="A29" s="45" t="s">
        <v>89</v>
      </c>
      <c r="B29" s="11" t="s">
        <v>71</v>
      </c>
      <c r="C29" s="44"/>
      <c r="D29" s="44"/>
      <c r="F29" s="11" t="s">
        <v>71</v>
      </c>
      <c r="G29" s="44"/>
      <c r="H29" s="44"/>
      <c r="J29" s="44" t="s">
        <v>71</v>
      </c>
      <c r="K29" s="44"/>
      <c r="L29" s="44"/>
      <c r="N29" s="56" t="s">
        <v>71</v>
      </c>
      <c r="O29" s="44"/>
      <c r="P29" s="44"/>
      <c r="Q29" s="44"/>
      <c r="R29" s="44" t="s">
        <v>71</v>
      </c>
      <c r="S29" s="44"/>
      <c r="T29" s="44"/>
      <c r="U29" s="44"/>
      <c r="V29" s="60" t="s">
        <v>71</v>
      </c>
      <c r="W29" s="11">
        <v>40</v>
      </c>
      <c r="X29" s="44">
        <v>1758</v>
      </c>
      <c r="Y29" s="11"/>
      <c r="Z29" s="44"/>
      <c r="AA29" s="44"/>
      <c r="AC29" s="92"/>
      <c r="AD29" s="18"/>
      <c r="AE29" s="18"/>
      <c r="AG29" s="86"/>
      <c r="AH29" s="18"/>
      <c r="AI29" s="18"/>
      <c r="AJ29" s="18"/>
      <c r="AK29" s="18"/>
      <c r="AL29" s="18"/>
      <c r="AM29" s="18"/>
      <c r="AN29" s="18"/>
      <c r="AO29" s="46" t="s">
        <v>71</v>
      </c>
      <c r="AS29" s="46" t="s">
        <v>71</v>
      </c>
      <c r="AW29" s="46" t="s">
        <v>71</v>
      </c>
      <c r="BA29" s="46" t="s">
        <v>71</v>
      </c>
    </row>
    <row r="30" spans="1:59" s="3" customFormat="1" x14ac:dyDescent="0.3">
      <c r="A30" s="45" t="s">
        <v>21</v>
      </c>
      <c r="B30" s="11" t="s">
        <v>72</v>
      </c>
      <c r="C30" s="44"/>
      <c r="D30" s="44"/>
      <c r="F30" s="11" t="s">
        <v>72</v>
      </c>
      <c r="G30" s="44"/>
      <c r="H30" s="44"/>
      <c r="J30" s="44" t="s">
        <v>72</v>
      </c>
      <c r="K30" s="44"/>
      <c r="L30" s="44"/>
      <c r="N30" s="11" t="s">
        <v>72</v>
      </c>
      <c r="O30" s="44"/>
      <c r="P30" s="44"/>
      <c r="Q30" s="44"/>
      <c r="R30" s="44" t="s">
        <v>72</v>
      </c>
      <c r="S30" s="44"/>
      <c r="T30" s="44"/>
      <c r="U30" s="44"/>
      <c r="V30" s="11" t="s">
        <v>72</v>
      </c>
      <c r="W30" s="11">
        <v>700</v>
      </c>
      <c r="X30" s="44">
        <v>2307</v>
      </c>
      <c r="Y30" s="11"/>
      <c r="Z30" s="44"/>
      <c r="AA30" s="44"/>
      <c r="AC30" s="92" t="s">
        <v>72</v>
      </c>
      <c r="AD30" s="18">
        <v>200</v>
      </c>
      <c r="AE30" s="18">
        <v>1778</v>
      </c>
      <c r="AG30" s="86"/>
      <c r="AH30" s="18">
        <v>250</v>
      </c>
      <c r="AI30" s="18">
        <v>3241</v>
      </c>
      <c r="AJ30" s="18"/>
      <c r="AK30" s="18"/>
      <c r="AL30" s="18"/>
      <c r="AM30" s="18"/>
      <c r="AN30" s="18"/>
      <c r="AO30" s="11" t="s">
        <v>72</v>
      </c>
      <c r="AS30" s="11" t="s">
        <v>72</v>
      </c>
      <c r="AW30" s="11" t="s">
        <v>72</v>
      </c>
      <c r="BA30" s="11" t="s">
        <v>72</v>
      </c>
    </row>
    <row r="31" spans="1:59" s="3" customFormat="1" x14ac:dyDescent="0.3">
      <c r="A31" s="45" t="s">
        <v>180</v>
      </c>
      <c r="B31" s="11"/>
      <c r="C31" s="44"/>
      <c r="D31" s="44"/>
      <c r="F31" s="11"/>
      <c r="G31" s="44"/>
      <c r="H31" s="44"/>
      <c r="J31" s="44"/>
      <c r="K31" s="44"/>
      <c r="L31" s="44"/>
      <c r="N31" s="11"/>
      <c r="O31" s="44"/>
      <c r="P31" s="44"/>
      <c r="Q31" s="44"/>
      <c r="R31" s="44"/>
      <c r="S31" s="44"/>
      <c r="T31" s="44"/>
      <c r="U31" s="44"/>
      <c r="V31" s="11"/>
      <c r="W31" s="11"/>
      <c r="X31" s="44"/>
      <c r="Y31" s="11"/>
      <c r="Z31" s="44"/>
      <c r="AA31" s="44"/>
      <c r="AC31" s="98" t="s">
        <v>72</v>
      </c>
      <c r="AD31" s="18">
        <v>50</v>
      </c>
      <c r="AE31" s="18">
        <v>1111</v>
      </c>
      <c r="AG31" s="86"/>
      <c r="AH31" s="18">
        <v>120</v>
      </c>
      <c r="AI31" s="18">
        <v>3333</v>
      </c>
      <c r="AJ31" s="18"/>
      <c r="AK31" s="18"/>
      <c r="AL31" s="18">
        <v>85</v>
      </c>
      <c r="AM31" s="18">
        <v>2000</v>
      </c>
      <c r="AN31" s="18"/>
      <c r="AO31" s="11" t="s">
        <v>71</v>
      </c>
      <c r="AP31" s="3">
        <v>150</v>
      </c>
      <c r="AQ31" s="3">
        <v>64286</v>
      </c>
      <c r="AS31" s="11" t="s">
        <v>71</v>
      </c>
      <c r="AT31" s="3">
        <v>270</v>
      </c>
      <c r="AU31" s="3">
        <v>77140</v>
      </c>
      <c r="AW31" s="11" t="s">
        <v>71</v>
      </c>
      <c r="AX31" s="3">
        <v>225</v>
      </c>
      <c r="AY31" s="3">
        <v>64275</v>
      </c>
      <c r="BA31" s="11" t="s">
        <v>71</v>
      </c>
      <c r="BB31" s="3">
        <v>250</v>
      </c>
      <c r="BC31" s="3">
        <v>107142</v>
      </c>
      <c r="BE31" s="11" t="s">
        <v>71</v>
      </c>
      <c r="BF31" s="3">
        <v>185</v>
      </c>
      <c r="BG31" s="3">
        <v>6273</v>
      </c>
    </row>
    <row r="32" spans="1:59" s="3" customFormat="1" x14ac:dyDescent="0.3">
      <c r="A32" s="45" t="s">
        <v>22</v>
      </c>
      <c r="B32" s="11" t="s">
        <v>135</v>
      </c>
      <c r="C32" s="44">
        <v>17140</v>
      </c>
      <c r="D32" s="44">
        <v>192000</v>
      </c>
      <c r="F32" s="11" t="s">
        <v>135</v>
      </c>
      <c r="G32" s="44">
        <v>17140</v>
      </c>
      <c r="H32" s="44">
        <v>384000</v>
      </c>
      <c r="J32" s="44" t="s">
        <v>135</v>
      </c>
      <c r="K32" s="44">
        <v>21428</v>
      </c>
      <c r="L32" s="44">
        <v>420000</v>
      </c>
      <c r="N32" s="54" t="s">
        <v>135</v>
      </c>
      <c r="O32" s="44">
        <v>34286</v>
      </c>
      <c r="P32" s="44">
        <v>560000</v>
      </c>
      <c r="Q32" s="44"/>
      <c r="R32" s="44" t="s">
        <v>74</v>
      </c>
      <c r="S32" s="44">
        <v>25000</v>
      </c>
      <c r="T32" s="44">
        <v>400000</v>
      </c>
      <c r="U32" s="44"/>
      <c r="V32" s="11" t="s">
        <v>74</v>
      </c>
      <c r="W32" s="44">
        <v>85000</v>
      </c>
      <c r="X32" s="44">
        <f>10200000/18.2</f>
        <v>560439.56043956045</v>
      </c>
      <c r="Y32" s="11"/>
      <c r="Z32" s="44">
        <v>15000</v>
      </c>
      <c r="AA32" s="44">
        <v>115300</v>
      </c>
      <c r="AB32" s="44"/>
      <c r="AC32" s="98" t="s">
        <v>74</v>
      </c>
      <c r="AD32" s="18">
        <v>22000</v>
      </c>
      <c r="AE32" s="18">
        <v>26889</v>
      </c>
      <c r="AG32" s="100" t="s">
        <v>72</v>
      </c>
      <c r="AH32" s="18">
        <v>35000</v>
      </c>
      <c r="AI32" s="18">
        <v>19445</v>
      </c>
      <c r="AJ32" s="18"/>
      <c r="AK32" s="18"/>
      <c r="AL32" s="18"/>
      <c r="AM32" s="18"/>
      <c r="AN32" s="18"/>
      <c r="AO32" s="11" t="s">
        <v>74</v>
      </c>
      <c r="AP32" s="3">
        <v>30000</v>
      </c>
      <c r="AQ32" s="3">
        <v>471428</v>
      </c>
      <c r="AS32" s="11" t="s">
        <v>74</v>
      </c>
      <c r="AT32" s="3">
        <v>27550</v>
      </c>
      <c r="AU32" s="3">
        <v>472290</v>
      </c>
      <c r="AW32" s="11" t="s">
        <v>74</v>
      </c>
      <c r="AX32" s="3">
        <v>29500</v>
      </c>
      <c r="AY32" s="3">
        <v>505725</v>
      </c>
      <c r="BA32" s="11" t="s">
        <v>74</v>
      </c>
      <c r="BB32" s="3">
        <v>35600</v>
      </c>
      <c r="BC32" s="3">
        <v>712000</v>
      </c>
      <c r="BE32" s="11" t="s">
        <v>74</v>
      </c>
      <c r="BF32" s="3">
        <v>38500</v>
      </c>
      <c r="BG32" s="3">
        <v>38000</v>
      </c>
    </row>
    <row r="33" spans="1:59" s="3" customFormat="1" x14ac:dyDescent="0.3">
      <c r="A33" s="45" t="s">
        <v>64</v>
      </c>
      <c r="B33" s="11" t="s">
        <v>70</v>
      </c>
      <c r="C33" s="44"/>
      <c r="D33" s="44"/>
      <c r="F33" s="11" t="s">
        <v>70</v>
      </c>
      <c r="G33" s="44"/>
      <c r="H33" s="44"/>
      <c r="J33" s="44" t="s">
        <v>70</v>
      </c>
      <c r="K33" s="44"/>
      <c r="L33" s="44"/>
      <c r="N33" s="11" t="s">
        <v>70</v>
      </c>
      <c r="O33" s="44"/>
      <c r="P33" s="44"/>
      <c r="Q33" s="44"/>
      <c r="R33" s="44" t="s">
        <v>70</v>
      </c>
      <c r="S33" s="44"/>
      <c r="T33" s="44"/>
      <c r="U33" s="44"/>
      <c r="V33" s="11" t="s">
        <v>70</v>
      </c>
      <c r="W33" s="44">
        <v>400</v>
      </c>
      <c r="X33" s="44">
        <v>880</v>
      </c>
      <c r="Y33" s="11"/>
      <c r="Z33" s="44"/>
      <c r="AA33" s="44"/>
      <c r="AB33" s="44"/>
      <c r="AC33" s="92"/>
      <c r="AD33" s="18"/>
      <c r="AE33" s="18"/>
      <c r="AG33" s="86"/>
      <c r="AH33" s="18"/>
      <c r="AI33" s="18"/>
      <c r="AJ33" s="18"/>
      <c r="AK33" s="18"/>
      <c r="AL33" s="18"/>
      <c r="AM33" s="18"/>
      <c r="AN33" s="18"/>
      <c r="AO33" s="11" t="s">
        <v>70</v>
      </c>
      <c r="AS33" s="11" t="s">
        <v>70</v>
      </c>
      <c r="AW33" s="11" t="s">
        <v>70</v>
      </c>
      <c r="BA33" s="11" t="s">
        <v>70</v>
      </c>
    </row>
    <row r="34" spans="1:59" s="3" customFormat="1" x14ac:dyDescent="0.3">
      <c r="A34" s="45" t="s">
        <v>260</v>
      </c>
      <c r="B34" s="11" t="s">
        <v>135</v>
      </c>
      <c r="C34" s="44">
        <v>42857</v>
      </c>
      <c r="D34" s="44">
        <v>720000</v>
      </c>
      <c r="F34" s="11" t="s">
        <v>135</v>
      </c>
      <c r="G34" s="44">
        <v>42857</v>
      </c>
      <c r="H34" s="44">
        <v>720000</v>
      </c>
      <c r="I34" s="11"/>
      <c r="J34" s="44" t="s">
        <v>135</v>
      </c>
      <c r="K34" s="44">
        <v>1500</v>
      </c>
      <c r="L34" s="44">
        <v>29400</v>
      </c>
      <c r="N34" s="54" t="s">
        <v>135</v>
      </c>
      <c r="O34" s="44">
        <v>714</v>
      </c>
      <c r="P34" s="44">
        <v>14000</v>
      </c>
      <c r="Q34" s="44"/>
      <c r="R34" s="11" t="s">
        <v>91</v>
      </c>
      <c r="S34" s="44">
        <v>300</v>
      </c>
      <c r="T34" s="44">
        <v>12000</v>
      </c>
      <c r="U34" s="44"/>
      <c r="V34" s="11" t="s">
        <v>91</v>
      </c>
      <c r="W34" s="44"/>
      <c r="X34" s="44"/>
      <c r="Y34" s="11"/>
      <c r="Z34" s="44">
        <v>150</v>
      </c>
      <c r="AA34" s="44">
        <v>659</v>
      </c>
      <c r="AB34" s="44"/>
      <c r="AC34" s="92" t="s">
        <v>136</v>
      </c>
      <c r="AD34" s="18"/>
      <c r="AE34" s="18"/>
      <c r="AG34" s="18"/>
      <c r="AH34" s="18">
        <v>1500</v>
      </c>
      <c r="AI34" s="18">
        <v>1944</v>
      </c>
      <c r="AJ34" s="18"/>
      <c r="AK34" s="18"/>
      <c r="AL34" s="18"/>
      <c r="AM34" s="18"/>
      <c r="AN34" s="18"/>
      <c r="AO34" s="11" t="s">
        <v>91</v>
      </c>
      <c r="AS34" s="11" t="s">
        <v>91</v>
      </c>
      <c r="AW34" s="11" t="s">
        <v>91</v>
      </c>
      <c r="BA34" s="11" t="s">
        <v>91</v>
      </c>
    </row>
    <row r="35" spans="1:59" s="3" customFormat="1" x14ac:dyDescent="0.3">
      <c r="A35" s="45" t="s">
        <v>96</v>
      </c>
      <c r="B35" s="11" t="s">
        <v>71</v>
      </c>
      <c r="C35" s="44">
        <v>2000</v>
      </c>
      <c r="D35" s="44">
        <v>800000</v>
      </c>
      <c r="F35" s="11" t="s">
        <v>71</v>
      </c>
      <c r="G35" s="44">
        <v>1400</v>
      </c>
      <c r="H35" s="44">
        <v>560000</v>
      </c>
      <c r="I35" s="11"/>
      <c r="J35" s="54" t="s">
        <v>71</v>
      </c>
      <c r="K35" s="44">
        <v>1000</v>
      </c>
      <c r="L35" s="44">
        <v>400000</v>
      </c>
      <c r="N35" s="54" t="s">
        <v>91</v>
      </c>
      <c r="O35" s="44">
        <v>700</v>
      </c>
      <c r="P35" s="44">
        <v>154000</v>
      </c>
      <c r="Q35" s="44"/>
      <c r="R35" s="11" t="s">
        <v>71</v>
      </c>
      <c r="S35" s="44">
        <v>500</v>
      </c>
      <c r="T35" s="44">
        <v>200000</v>
      </c>
      <c r="U35" s="44"/>
      <c r="V35" s="11" t="s">
        <v>71</v>
      </c>
      <c r="W35" s="44"/>
      <c r="X35" s="44"/>
      <c r="Y35" s="11"/>
      <c r="Z35" s="44">
        <v>9500</v>
      </c>
      <c r="AA35" s="44">
        <v>25054</v>
      </c>
      <c r="AB35" s="44"/>
      <c r="AC35" s="98" t="s">
        <v>71</v>
      </c>
      <c r="AD35" s="18">
        <v>2000</v>
      </c>
      <c r="AE35" s="18">
        <v>44444</v>
      </c>
      <c r="AG35" s="18"/>
      <c r="AH35" s="18">
        <v>2700</v>
      </c>
      <c r="AI35" s="18">
        <v>50000</v>
      </c>
      <c r="AK35" s="18" t="s">
        <v>91</v>
      </c>
      <c r="AL35" s="18">
        <v>2500</v>
      </c>
      <c r="AM35" s="18">
        <v>49020</v>
      </c>
      <c r="AN35" s="18"/>
      <c r="AO35" s="11" t="s">
        <v>91</v>
      </c>
      <c r="AP35" s="3">
        <v>4000</v>
      </c>
      <c r="AQ35" s="3">
        <v>1371429</v>
      </c>
      <c r="AS35" s="11" t="s">
        <v>91</v>
      </c>
      <c r="AT35" s="3">
        <v>2965</v>
      </c>
      <c r="AU35" s="3">
        <v>847140</v>
      </c>
      <c r="AW35" s="11" t="s">
        <v>91</v>
      </c>
      <c r="AX35" s="3">
        <v>6700</v>
      </c>
      <c r="AY35" s="3">
        <v>1914285</v>
      </c>
      <c r="BA35" s="11" t="s">
        <v>91</v>
      </c>
      <c r="BB35" s="3">
        <v>2900</v>
      </c>
      <c r="BC35" s="3">
        <v>1242857</v>
      </c>
      <c r="BE35" s="11" t="s">
        <v>91</v>
      </c>
      <c r="BF35" s="3">
        <v>4535</v>
      </c>
      <c r="BG35" s="3">
        <v>112166</v>
      </c>
    </row>
    <row r="36" spans="1:59" s="3" customFormat="1" x14ac:dyDescent="0.3">
      <c r="A36" s="45" t="s">
        <v>90</v>
      </c>
      <c r="B36" s="11" t="s">
        <v>13</v>
      </c>
      <c r="C36" s="11"/>
      <c r="D36" s="44"/>
      <c r="E36" s="44"/>
      <c r="F36" s="11" t="s">
        <v>13</v>
      </c>
      <c r="G36" s="44"/>
      <c r="H36" s="44"/>
      <c r="I36" s="11"/>
      <c r="J36" s="44" t="s">
        <v>13</v>
      </c>
      <c r="K36" s="44"/>
      <c r="M36" s="45"/>
      <c r="N36" s="11" t="s">
        <v>13</v>
      </c>
      <c r="O36" s="44"/>
      <c r="P36" s="44"/>
      <c r="Q36" s="44"/>
      <c r="R36" s="44" t="s">
        <v>13</v>
      </c>
      <c r="S36" s="44"/>
      <c r="T36" s="44"/>
      <c r="U36" s="44"/>
      <c r="V36" s="11" t="s">
        <v>13</v>
      </c>
      <c r="W36" s="11">
        <v>25</v>
      </c>
      <c r="X36" s="44">
        <v>65</v>
      </c>
      <c r="Y36" s="11"/>
      <c r="Z36" s="11"/>
      <c r="AA36" s="44"/>
      <c r="AB36" s="11"/>
      <c r="AC36" s="92"/>
      <c r="AD36" s="18"/>
      <c r="AE36" s="18"/>
      <c r="AG36" s="18"/>
      <c r="AH36" s="18"/>
      <c r="AI36" s="18"/>
      <c r="AJ36" s="18"/>
      <c r="AK36" s="18"/>
      <c r="AL36" s="18"/>
      <c r="AM36" s="18"/>
      <c r="AN36" s="18"/>
      <c r="AO36" s="11" t="s">
        <v>13</v>
      </c>
      <c r="AS36" s="11" t="s">
        <v>13</v>
      </c>
      <c r="AW36" s="11" t="s">
        <v>13</v>
      </c>
      <c r="BA36" s="11" t="s">
        <v>13</v>
      </c>
    </row>
    <row r="37" spans="1:59" s="3" customFormat="1" x14ac:dyDescent="0.3">
      <c r="A37" s="10" t="s">
        <v>4</v>
      </c>
      <c r="D37" s="44"/>
      <c r="E37" s="44">
        <v>6853560</v>
      </c>
      <c r="G37" s="44"/>
      <c r="H37" s="44">
        <v>6662360</v>
      </c>
      <c r="J37" s="10"/>
      <c r="K37" s="10"/>
      <c r="L37" s="44">
        <v>4980030</v>
      </c>
      <c r="M37" s="10"/>
      <c r="N37" s="10"/>
      <c r="O37" s="44"/>
      <c r="P37" s="44">
        <v>9441410</v>
      </c>
      <c r="Q37" s="44"/>
      <c r="R37" s="10"/>
      <c r="S37" s="44"/>
      <c r="T37" s="44">
        <v>6479600</v>
      </c>
      <c r="U37" s="44"/>
      <c r="X37" s="44">
        <v>355697</v>
      </c>
      <c r="Y37" s="11"/>
      <c r="AA37" s="44">
        <v>669729</v>
      </c>
      <c r="AB37" s="11"/>
      <c r="AC37" s="92"/>
      <c r="AD37" s="18"/>
      <c r="AE37" s="18">
        <v>400556</v>
      </c>
      <c r="AF37" s="18"/>
      <c r="AG37" s="18"/>
      <c r="AH37" s="18"/>
      <c r="AI37" s="18">
        <v>355455</v>
      </c>
      <c r="AJ37" s="18"/>
      <c r="AK37" s="18"/>
      <c r="AL37" s="18"/>
      <c r="AM37" s="18">
        <v>288123</v>
      </c>
      <c r="AN37" s="18"/>
      <c r="AQ37" s="3">
        <v>5816057</v>
      </c>
      <c r="AU37" s="3">
        <v>7227220</v>
      </c>
      <c r="AY37" s="3">
        <v>9932535</v>
      </c>
      <c r="BC37" s="3">
        <v>11166277</v>
      </c>
      <c r="BG37" s="3">
        <v>580886</v>
      </c>
    </row>
    <row r="38" spans="1:59" s="3" customFormat="1" x14ac:dyDescent="0.3">
      <c r="O38" s="44"/>
      <c r="P38" s="44"/>
      <c r="Q38" s="44"/>
      <c r="S38" s="44"/>
      <c r="T38" s="44"/>
      <c r="U38" s="44"/>
      <c r="AC38" s="91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</row>
    <row r="39" spans="1:59" s="3" customFormat="1" x14ac:dyDescent="0.3">
      <c r="A39" s="17" t="s">
        <v>11</v>
      </c>
      <c r="B39" s="11"/>
      <c r="E39" s="11"/>
      <c r="AC39" s="91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</row>
    <row r="40" spans="1:59" s="3" customFormat="1" x14ac:dyDescent="0.3">
      <c r="A40" s="11"/>
      <c r="B40" s="11">
        <v>1</v>
      </c>
      <c r="C40" s="4" t="s">
        <v>15</v>
      </c>
      <c r="D40" s="6">
        <v>108</v>
      </c>
      <c r="E40" s="4" t="s">
        <v>12</v>
      </c>
      <c r="F40"/>
      <c r="G40"/>
      <c r="T40" s="11"/>
      <c r="U40" s="11"/>
      <c r="AC40" s="91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</row>
    <row r="41" spans="1:59" s="3" customFormat="1" x14ac:dyDescent="0.3">
      <c r="A41" s="11"/>
      <c r="B41" s="11">
        <v>1</v>
      </c>
      <c r="C41" s="4" t="s">
        <v>16</v>
      </c>
      <c r="D41" s="6">
        <v>32.5</v>
      </c>
      <c r="E41" s="4" t="s">
        <v>12</v>
      </c>
      <c r="T41" s="11"/>
      <c r="U41" s="11"/>
      <c r="AC41" s="91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</row>
    <row r="42" spans="1:59" s="3" customFormat="1" x14ac:dyDescent="0.3">
      <c r="A42" s="5"/>
      <c r="B42" s="11">
        <v>1</v>
      </c>
      <c r="C42" s="4" t="s">
        <v>24</v>
      </c>
      <c r="D42" s="6">
        <v>112</v>
      </c>
      <c r="E42" s="4" t="s">
        <v>25</v>
      </c>
      <c r="F42"/>
      <c r="G42"/>
      <c r="J42" s="11"/>
      <c r="R42" s="11"/>
      <c r="T42" s="11"/>
      <c r="U42" s="11"/>
      <c r="AC42" s="91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</row>
    <row r="43" spans="1:59" s="3" customFormat="1" x14ac:dyDescent="0.3">
      <c r="A43" s="11"/>
      <c r="B43" s="123">
        <v>1</v>
      </c>
      <c r="C43" s="124" t="s">
        <v>29</v>
      </c>
      <c r="D43" s="125">
        <v>130</v>
      </c>
      <c r="E43" s="126" t="s">
        <v>12</v>
      </c>
      <c r="F43"/>
      <c r="G43"/>
      <c r="J43" s="16"/>
      <c r="R43" s="16"/>
      <c r="S43" s="16"/>
      <c r="T43" s="11"/>
      <c r="U43" s="11"/>
      <c r="AC43" s="91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</row>
    <row r="44" spans="1:59" s="3" customFormat="1" x14ac:dyDescent="0.3">
      <c r="A44" s="11"/>
      <c r="B44" s="123"/>
      <c r="C44" s="124"/>
      <c r="D44" s="125"/>
      <c r="E44" s="126"/>
      <c r="J44" s="16"/>
      <c r="R44" s="16"/>
      <c r="S44" s="14"/>
      <c r="T44" s="18"/>
      <c r="U44" s="11"/>
      <c r="AC44" s="91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</row>
    <row r="45" spans="1:59" s="3" customFormat="1" x14ac:dyDescent="0.3">
      <c r="A45" s="11"/>
      <c r="B45" s="12">
        <v>1</v>
      </c>
      <c r="C45" s="4" t="s">
        <v>30</v>
      </c>
      <c r="D45" s="6">
        <v>260</v>
      </c>
      <c r="E45" s="4" t="s">
        <v>12</v>
      </c>
      <c r="J45" s="15"/>
      <c r="R45" s="15"/>
      <c r="U45" s="15"/>
      <c r="AC45" s="91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</row>
    <row r="46" spans="1:59" s="3" customFormat="1" x14ac:dyDescent="0.3">
      <c r="A46" s="11"/>
      <c r="B46" s="12">
        <v>1</v>
      </c>
      <c r="C46" s="4" t="s">
        <v>30</v>
      </c>
      <c r="D46" s="6">
        <f>D43/D42</f>
        <v>1.1607142857142858</v>
      </c>
      <c r="E46" s="4" t="s">
        <v>24</v>
      </c>
      <c r="AC46" s="91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</row>
    <row r="47" spans="1:59" s="3" customFormat="1" x14ac:dyDescent="0.3">
      <c r="A47" s="11"/>
      <c r="B47" s="12">
        <v>1</v>
      </c>
      <c r="C47" s="4" t="s">
        <v>30</v>
      </c>
      <c r="D47" s="6">
        <f>D45/D42</f>
        <v>2.3214285714285716</v>
      </c>
      <c r="E47" s="4" t="s">
        <v>24</v>
      </c>
      <c r="AC47" s="91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</row>
    <row r="48" spans="1:59" s="3" customFormat="1" x14ac:dyDescent="0.3">
      <c r="AC48" s="91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</row>
    <row r="49" spans="1:60" s="3" customFormat="1" x14ac:dyDescent="0.3">
      <c r="A49" s="3" t="s">
        <v>167</v>
      </c>
      <c r="B49" s="3">
        <v>1</v>
      </c>
      <c r="C49" s="62" t="s">
        <v>15</v>
      </c>
      <c r="D49" s="3">
        <v>0.5</v>
      </c>
      <c r="E49" s="62" t="s">
        <v>24</v>
      </c>
      <c r="AC49" s="92"/>
      <c r="AD49" s="41"/>
      <c r="AE49" s="41"/>
      <c r="AF49" s="41"/>
      <c r="AG49" s="41"/>
      <c r="AH49" s="41"/>
      <c r="AI49" s="41"/>
      <c r="AJ49" s="41"/>
      <c r="AK49" s="41"/>
      <c r="AL49" s="41"/>
      <c r="AM49" s="41"/>
      <c r="AN49" s="41"/>
    </row>
    <row r="50" spans="1:60" s="3" customFormat="1" x14ac:dyDescent="0.3">
      <c r="A50" t="s">
        <v>14</v>
      </c>
      <c r="B50">
        <v>1</v>
      </c>
      <c r="C50" s="4" t="s">
        <v>45</v>
      </c>
      <c r="D50" s="6">
        <v>1.5</v>
      </c>
      <c r="E50" s="4" t="s">
        <v>24</v>
      </c>
      <c r="F50"/>
      <c r="G50" s="4"/>
      <c r="AC50" s="91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</row>
    <row r="51" spans="1:60" s="3" customFormat="1" x14ac:dyDescent="0.3">
      <c r="A51" t="s">
        <v>6</v>
      </c>
      <c r="B51">
        <v>1</v>
      </c>
      <c r="C51" s="4" t="s">
        <v>45</v>
      </c>
      <c r="D51" s="6">
        <v>1.75</v>
      </c>
      <c r="E51" s="4" t="s">
        <v>24</v>
      </c>
      <c r="F51"/>
      <c r="G51" s="4"/>
      <c r="AC51" s="90"/>
    </row>
    <row r="52" spans="1:60" s="3" customFormat="1" x14ac:dyDescent="0.3">
      <c r="A52" t="s">
        <v>46</v>
      </c>
      <c r="B52">
        <v>1</v>
      </c>
      <c r="C52" s="4" t="s">
        <v>45</v>
      </c>
      <c r="D52" s="6">
        <v>1.5</v>
      </c>
      <c r="E52" s="4" t="s">
        <v>24</v>
      </c>
      <c r="F52"/>
      <c r="G52" s="4"/>
      <c r="AC52" s="90"/>
    </row>
    <row r="53" spans="1:60" s="3" customFormat="1" x14ac:dyDescent="0.3">
      <c r="A53" t="s">
        <v>47</v>
      </c>
      <c r="B53">
        <v>1</v>
      </c>
      <c r="C53" s="4" t="s">
        <v>48</v>
      </c>
      <c r="D53" s="6">
        <v>1.26</v>
      </c>
      <c r="E53" s="4" t="s">
        <v>24</v>
      </c>
      <c r="F53"/>
      <c r="G53" s="4"/>
      <c r="H53" s="14"/>
      <c r="N53" s="14"/>
      <c r="Q53" s="14"/>
      <c r="W53" s="14"/>
      <c r="Z53" s="14"/>
      <c r="AC53" s="90"/>
      <c r="AO53" s="14"/>
      <c r="AR53" s="14"/>
      <c r="AS53" s="14"/>
      <c r="AV53" s="14"/>
      <c r="AW53" s="14"/>
      <c r="AZ53" s="14"/>
      <c r="BA53" s="14"/>
      <c r="BD53" s="14"/>
    </row>
    <row r="54" spans="1:60" s="3" customFormat="1" x14ac:dyDescent="0.3">
      <c r="A54" t="s">
        <v>49</v>
      </c>
      <c r="B54">
        <v>1</v>
      </c>
      <c r="C54" s="4" t="s">
        <v>50</v>
      </c>
      <c r="D54" s="6">
        <v>15.9</v>
      </c>
      <c r="E54" s="4" t="s">
        <v>24</v>
      </c>
      <c r="F54"/>
      <c r="G54" s="4"/>
      <c r="H54" s="16"/>
      <c r="N54" s="16"/>
      <c r="Q54" s="16"/>
      <c r="W54" s="16"/>
      <c r="Z54" s="16"/>
      <c r="AC54" s="90"/>
      <c r="AO54" s="16"/>
      <c r="AR54" s="16"/>
      <c r="AS54" s="16"/>
      <c r="AV54" s="16"/>
      <c r="AW54" s="16"/>
      <c r="AZ54" s="16"/>
      <c r="BA54" s="16"/>
      <c r="BD54" s="16"/>
    </row>
    <row r="55" spans="1:60" s="3" customFormat="1" x14ac:dyDescent="0.3">
      <c r="A55" t="s">
        <v>51</v>
      </c>
      <c r="B55">
        <v>1</v>
      </c>
      <c r="C55" s="4" t="s">
        <v>52</v>
      </c>
      <c r="D55" s="6">
        <v>3</v>
      </c>
      <c r="E55" s="4" t="s">
        <v>24</v>
      </c>
      <c r="F55"/>
      <c r="G55" s="4"/>
      <c r="H55" s="16"/>
      <c r="N55" s="16"/>
      <c r="Q55" s="16"/>
      <c r="W55" s="16"/>
      <c r="Z55" s="16"/>
      <c r="AC55" s="90"/>
      <c r="AO55" s="16"/>
      <c r="AR55" s="16"/>
      <c r="AS55" s="16"/>
      <c r="AV55" s="16"/>
      <c r="AW55" s="16"/>
      <c r="AZ55" s="16"/>
      <c r="BA55" s="16"/>
      <c r="BD55" s="16"/>
    </row>
    <row r="56" spans="1:60" x14ac:dyDescent="0.3">
      <c r="A56" t="s">
        <v>53</v>
      </c>
      <c r="B56">
        <v>1</v>
      </c>
      <c r="C56" s="4" t="s">
        <v>52</v>
      </c>
      <c r="D56" s="6">
        <v>2.98</v>
      </c>
      <c r="E56" s="4" t="s">
        <v>24</v>
      </c>
      <c r="F56"/>
      <c r="G56" s="4"/>
      <c r="H56" s="6"/>
      <c r="I56"/>
      <c r="L56"/>
      <c r="M56" s="3"/>
      <c r="N56" s="6"/>
      <c r="O56"/>
      <c r="Q56" s="6"/>
      <c r="W56" s="6"/>
      <c r="X56"/>
      <c r="Z56" s="6"/>
      <c r="AA56"/>
      <c r="AC56" s="90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6"/>
      <c r="AP56"/>
      <c r="AR56" s="6"/>
      <c r="AS56" s="6"/>
      <c r="AT56"/>
      <c r="AV56" s="6"/>
      <c r="AW56" s="6"/>
      <c r="AX56"/>
      <c r="AZ56" s="6"/>
      <c r="BA56" s="6"/>
      <c r="BB56"/>
      <c r="BD56" s="6"/>
      <c r="BE56"/>
      <c r="BH56"/>
    </row>
    <row r="57" spans="1:60" x14ac:dyDescent="0.3">
      <c r="A57" t="s">
        <v>54</v>
      </c>
      <c r="B57">
        <v>1</v>
      </c>
      <c r="C57" s="4" t="s">
        <v>55</v>
      </c>
      <c r="D57" s="6">
        <v>9</v>
      </c>
      <c r="E57" s="4" t="s">
        <v>56</v>
      </c>
      <c r="F57"/>
      <c r="G57" s="4"/>
      <c r="H57" s="20"/>
      <c r="I57"/>
      <c r="L57"/>
      <c r="M57" s="3"/>
      <c r="N57" s="20"/>
      <c r="O57"/>
      <c r="Q57" s="20"/>
      <c r="W57" s="20"/>
      <c r="X57"/>
      <c r="Z57" s="20"/>
      <c r="AA57"/>
      <c r="AC57" s="90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20"/>
      <c r="AP57"/>
      <c r="AR57" s="20"/>
      <c r="AS57" s="20"/>
      <c r="AT57"/>
      <c r="AV57" s="20"/>
      <c r="AW57" s="20"/>
      <c r="AX57"/>
      <c r="AZ57" s="20"/>
      <c r="BA57" s="20"/>
      <c r="BB57"/>
      <c r="BD57" s="20"/>
      <c r="BE57"/>
      <c r="BH57"/>
    </row>
    <row r="58" spans="1:60" x14ac:dyDescent="0.3">
      <c r="A58" t="s">
        <v>57</v>
      </c>
      <c r="B58">
        <v>1</v>
      </c>
      <c r="C58" s="4" t="s">
        <v>58</v>
      </c>
      <c r="D58" s="6">
        <v>9</v>
      </c>
      <c r="E58" s="4" t="s">
        <v>56</v>
      </c>
      <c r="F58"/>
      <c r="G58" s="4"/>
      <c r="H58" s="6"/>
      <c r="I58"/>
      <c r="L58"/>
      <c r="M58" s="3"/>
      <c r="N58" s="6"/>
      <c r="O58"/>
      <c r="Q58" s="6"/>
      <c r="W58" s="6"/>
      <c r="X58"/>
      <c r="Z58" s="6"/>
      <c r="AA58"/>
      <c r="AC58" s="90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6"/>
      <c r="AP58"/>
      <c r="AR58" s="6"/>
      <c r="AS58" s="6"/>
      <c r="AT58"/>
      <c r="AV58" s="6"/>
      <c r="AW58" s="6"/>
      <c r="AX58"/>
      <c r="AZ58" s="6"/>
      <c r="BA58" s="6"/>
      <c r="BB58"/>
      <c r="BD58" s="6"/>
      <c r="BE58"/>
      <c r="BH58"/>
    </row>
    <row r="59" spans="1:60" x14ac:dyDescent="0.3">
      <c r="A59" t="s">
        <v>27</v>
      </c>
      <c r="B59">
        <v>1</v>
      </c>
      <c r="C59" s="4" t="s">
        <v>59</v>
      </c>
      <c r="D59" s="6">
        <v>1.75</v>
      </c>
      <c r="E59" s="4" t="s">
        <v>24</v>
      </c>
      <c r="F59"/>
      <c r="G59" s="4"/>
      <c r="H59" s="6"/>
      <c r="I59"/>
      <c r="L59"/>
      <c r="M59" s="3"/>
      <c r="N59" s="6"/>
      <c r="O59"/>
      <c r="Q59" s="6"/>
      <c r="W59" s="6"/>
      <c r="X59"/>
      <c r="Z59" s="6"/>
      <c r="AA59"/>
      <c r="AC59" s="90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6"/>
      <c r="AP59"/>
      <c r="AR59" s="6"/>
      <c r="AS59" s="6"/>
      <c r="AT59"/>
      <c r="AV59" s="6"/>
      <c r="AW59" s="6"/>
      <c r="AX59"/>
      <c r="AZ59" s="6"/>
      <c r="BA59" s="6"/>
      <c r="BB59"/>
      <c r="BD59" s="6"/>
      <c r="BE59"/>
      <c r="BH59"/>
    </row>
    <row r="60" spans="1:60" x14ac:dyDescent="0.3">
      <c r="A60" t="s">
        <v>60</v>
      </c>
      <c r="B60">
        <v>1</v>
      </c>
      <c r="C60" s="4" t="s">
        <v>61</v>
      </c>
      <c r="D60" s="6">
        <v>0.15175</v>
      </c>
      <c r="E60" s="4" t="s">
        <v>24</v>
      </c>
      <c r="F60">
        <v>16.997</v>
      </c>
      <c r="G60" s="4" t="s">
        <v>43</v>
      </c>
      <c r="H60" s="6"/>
      <c r="I60"/>
      <c r="L60" s="3"/>
      <c r="N60" s="6"/>
      <c r="O60" s="3"/>
      <c r="Q60" s="6"/>
      <c r="W60" s="6"/>
      <c r="X60"/>
      <c r="Z60" s="6"/>
      <c r="AA60"/>
      <c r="AC60" s="90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6"/>
      <c r="AP60"/>
      <c r="AR60" s="6"/>
      <c r="AS60" s="6"/>
      <c r="AT60"/>
      <c r="AV60" s="6"/>
      <c r="AW60" s="6"/>
      <c r="AX60"/>
      <c r="AZ60" s="6"/>
      <c r="BA60" s="6"/>
      <c r="BB60"/>
      <c r="BD60" s="6"/>
      <c r="BE60"/>
      <c r="BH60"/>
    </row>
    <row r="61" spans="1:60" x14ac:dyDescent="0.3">
      <c r="A61" t="s">
        <v>7</v>
      </c>
      <c r="B61">
        <v>1</v>
      </c>
      <c r="C61" s="4" t="s">
        <v>59</v>
      </c>
      <c r="D61" s="6">
        <v>1.5</v>
      </c>
      <c r="E61" s="4" t="s">
        <v>24</v>
      </c>
      <c r="F61"/>
      <c r="G61" s="4"/>
      <c r="H61" s="6"/>
      <c r="I61"/>
      <c r="L61" s="3"/>
      <c r="N61" s="6"/>
      <c r="O61" s="3"/>
      <c r="Q61" s="6"/>
      <c r="W61" s="6"/>
      <c r="X61"/>
      <c r="Z61" s="6"/>
      <c r="AA61"/>
      <c r="AC61" s="90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6"/>
      <c r="AP61"/>
      <c r="AR61" s="6"/>
      <c r="AS61" s="6"/>
      <c r="AT61"/>
      <c r="AV61" s="6"/>
      <c r="AW61" s="6"/>
      <c r="AX61"/>
      <c r="AZ61" s="6"/>
      <c r="BA61" s="6"/>
      <c r="BB61"/>
      <c r="BD61" s="6"/>
      <c r="BE61"/>
      <c r="BH61"/>
    </row>
    <row r="62" spans="1:60" x14ac:dyDescent="0.3">
      <c r="A62" t="s">
        <v>62</v>
      </c>
      <c r="B62">
        <v>1</v>
      </c>
      <c r="C62" s="4" t="s">
        <v>59</v>
      </c>
      <c r="D62" s="6">
        <v>1.625</v>
      </c>
      <c r="E62" s="4" t="s">
        <v>24</v>
      </c>
      <c r="F62"/>
      <c r="G62" s="4"/>
      <c r="H62" s="6"/>
      <c r="I62"/>
      <c r="L62"/>
      <c r="N62" s="6"/>
      <c r="O62"/>
      <c r="Q62" s="6"/>
      <c r="W62" s="6"/>
      <c r="X62"/>
      <c r="Z62" s="6"/>
      <c r="AA62"/>
      <c r="AC62" s="90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6"/>
      <c r="AP62"/>
      <c r="AR62" s="6"/>
      <c r="AS62" s="6"/>
      <c r="AT62"/>
      <c r="AV62" s="6"/>
      <c r="AW62" s="6"/>
      <c r="AX62"/>
      <c r="AZ62" s="6"/>
      <c r="BA62" s="6"/>
      <c r="BB62"/>
      <c r="BD62" s="6"/>
      <c r="BE62"/>
      <c r="BH62"/>
    </row>
    <row r="63" spans="1:60" s="3" customFormat="1" x14ac:dyDescent="0.3">
      <c r="A63" t="s">
        <v>5</v>
      </c>
      <c r="B63">
        <v>1</v>
      </c>
      <c r="C63" s="4" t="s">
        <v>59</v>
      </c>
      <c r="D63" s="6">
        <v>1.5</v>
      </c>
      <c r="E63" s="4" t="s">
        <v>24</v>
      </c>
      <c r="F63"/>
      <c r="G63" s="4"/>
      <c r="H63" s="16"/>
      <c r="N63" s="16"/>
      <c r="Q63" s="16"/>
      <c r="W63" s="16"/>
      <c r="Z63" s="16"/>
      <c r="AC63" s="93"/>
      <c r="AD63"/>
      <c r="AE63"/>
      <c r="AF63"/>
      <c r="AG63"/>
      <c r="AH63"/>
      <c r="AI63"/>
      <c r="AJ63"/>
      <c r="AK63"/>
      <c r="AL63"/>
      <c r="AM63"/>
      <c r="AN63"/>
      <c r="AO63" s="16"/>
      <c r="AR63" s="16"/>
      <c r="AS63" s="16"/>
      <c r="AV63" s="16"/>
      <c r="AW63" s="16"/>
      <c r="AZ63" s="16"/>
      <c r="BA63" s="16"/>
      <c r="BD63" s="16"/>
    </row>
    <row r="64" spans="1:60" x14ac:dyDescent="0.3">
      <c r="A64" t="s">
        <v>63</v>
      </c>
      <c r="B64">
        <v>1</v>
      </c>
      <c r="C64" s="4" t="s">
        <v>59</v>
      </c>
      <c r="D64" s="6">
        <v>1.5</v>
      </c>
      <c r="E64" s="4" t="s">
        <v>24</v>
      </c>
      <c r="F64"/>
      <c r="G64" s="4"/>
      <c r="I64" s="6"/>
      <c r="J64"/>
      <c r="K64" s="6"/>
      <c r="L64" s="6"/>
      <c r="M64" s="4"/>
      <c r="O64" s="6"/>
      <c r="R64"/>
      <c r="S64" s="4"/>
      <c r="T64" s="6"/>
      <c r="U64" s="6"/>
      <c r="X64" s="6"/>
      <c r="AA64" s="6"/>
      <c r="AP64" s="6"/>
      <c r="AT64" s="6"/>
      <c r="AX64" s="6"/>
      <c r="BB64" s="6"/>
      <c r="BE64" s="6"/>
      <c r="BH64" s="6"/>
    </row>
    <row r="65" spans="1:60" x14ac:dyDescent="0.3">
      <c r="A65" t="s">
        <v>64</v>
      </c>
      <c r="B65">
        <v>1</v>
      </c>
      <c r="C65" s="4" t="s">
        <v>65</v>
      </c>
      <c r="D65" s="6">
        <v>18.559999999999999</v>
      </c>
      <c r="E65" s="4" t="s">
        <v>66</v>
      </c>
      <c r="F65"/>
      <c r="G65" s="4"/>
      <c r="I65" s="6"/>
      <c r="J65"/>
      <c r="L65" s="6"/>
      <c r="M65" s="6"/>
      <c r="O65" s="6"/>
      <c r="P65" s="6"/>
      <c r="R65"/>
      <c r="S65"/>
      <c r="T65" s="6"/>
      <c r="U65" s="6"/>
      <c r="X65" s="6"/>
      <c r="AA65" s="6"/>
      <c r="AP65" s="6"/>
      <c r="AQ65" s="15"/>
      <c r="AT65" s="6"/>
      <c r="AX65" s="6"/>
      <c r="BB65" s="6"/>
      <c r="BE65" s="6"/>
      <c r="BH65" s="6"/>
    </row>
    <row r="66" spans="1:60" s="3" customFormat="1" x14ac:dyDescent="0.3">
      <c r="A66" t="s">
        <v>67</v>
      </c>
      <c r="B66">
        <v>1</v>
      </c>
      <c r="C66" s="4" t="s">
        <v>68</v>
      </c>
      <c r="D66" s="6">
        <v>3</v>
      </c>
      <c r="E66" s="4" t="s">
        <v>69</v>
      </c>
      <c r="F66">
        <v>336</v>
      </c>
      <c r="G66" s="4" t="s">
        <v>43</v>
      </c>
      <c r="I66" s="6"/>
      <c r="J66"/>
      <c r="L66" s="6"/>
      <c r="O66" s="6"/>
      <c r="R66"/>
      <c r="S66"/>
      <c r="T66" s="6"/>
      <c r="U66" s="6"/>
      <c r="X66" s="6"/>
      <c r="AA66" s="6"/>
      <c r="AC66" s="93"/>
      <c r="AD66"/>
      <c r="AE66"/>
      <c r="AF66"/>
      <c r="AG66"/>
      <c r="AH66"/>
      <c r="AI66"/>
      <c r="AJ66"/>
      <c r="AK66"/>
      <c r="AL66"/>
      <c r="AM66"/>
      <c r="AN66"/>
      <c r="AP66" s="6"/>
      <c r="AT66" s="6"/>
      <c r="AX66" s="6"/>
      <c r="BB66" s="6"/>
      <c r="BE66" s="6"/>
      <c r="BH66" s="6"/>
    </row>
    <row r="67" spans="1:60" s="3" customFormat="1" x14ac:dyDescent="0.3">
      <c r="B67" s="6"/>
      <c r="E67" s="6"/>
      <c r="F67" s="6"/>
      <c r="I67" s="6"/>
      <c r="J67"/>
      <c r="L67" s="6"/>
      <c r="O67" s="6"/>
      <c r="R67"/>
      <c r="S67"/>
      <c r="T67" s="6"/>
      <c r="U67" s="6"/>
      <c r="X67" s="6"/>
      <c r="AA67" s="6"/>
      <c r="AC67" s="93"/>
      <c r="AD67"/>
      <c r="AE67"/>
      <c r="AF67"/>
      <c r="AG67"/>
      <c r="AH67"/>
      <c r="AI67"/>
      <c r="AJ67"/>
      <c r="AK67"/>
      <c r="AL67"/>
      <c r="AM67"/>
      <c r="AN67"/>
      <c r="AP67" s="6"/>
      <c r="AT67" s="6"/>
      <c r="AX67" s="6"/>
      <c r="BB67" s="6"/>
      <c r="BE67" s="6"/>
      <c r="BH67" s="6"/>
    </row>
    <row r="68" spans="1:60" s="3" customFormat="1" x14ac:dyDescent="0.3">
      <c r="B68" s="6"/>
      <c r="E68" s="6"/>
      <c r="F68" s="6"/>
      <c r="I68" s="6"/>
      <c r="J68"/>
      <c r="L68" s="6"/>
      <c r="O68" s="6"/>
      <c r="R68"/>
      <c r="S68"/>
      <c r="T68" s="44"/>
      <c r="X68" s="6"/>
      <c r="AA68" s="6"/>
      <c r="AC68" s="93"/>
      <c r="AD68"/>
      <c r="AE68"/>
      <c r="AF68"/>
      <c r="AG68"/>
      <c r="AH68"/>
      <c r="AI68"/>
      <c r="AJ68"/>
      <c r="AK68"/>
      <c r="AL68"/>
      <c r="AM68"/>
      <c r="AN68"/>
      <c r="AP68" s="6"/>
      <c r="AT68" s="6"/>
      <c r="AX68" s="6"/>
      <c r="BB68" s="6"/>
      <c r="BE68" s="6"/>
      <c r="BH68" s="6"/>
    </row>
    <row r="69" spans="1:60" s="3" customFormat="1" x14ac:dyDescent="0.3">
      <c r="B69" s="6"/>
      <c r="E69" s="6"/>
      <c r="F69" s="6"/>
      <c r="I69" s="6"/>
      <c r="J69"/>
      <c r="L69" s="6"/>
      <c r="O69" s="6"/>
      <c r="R69"/>
      <c r="S69"/>
      <c r="T69" s="44"/>
      <c r="X69" s="6"/>
      <c r="AA69" s="6"/>
      <c r="AC69" s="93"/>
      <c r="AD69"/>
      <c r="AE69"/>
      <c r="AF69"/>
      <c r="AG69"/>
      <c r="AH69"/>
      <c r="AI69"/>
      <c r="AJ69"/>
      <c r="AK69"/>
      <c r="AL69"/>
      <c r="AM69"/>
      <c r="AN69"/>
      <c r="AP69" s="6"/>
      <c r="AT69" s="6"/>
      <c r="AX69" s="6"/>
      <c r="BB69" s="6"/>
      <c r="BE69" s="6"/>
      <c r="BH69" s="6"/>
    </row>
    <row r="70" spans="1:60" s="3" customFormat="1" x14ac:dyDescent="0.3">
      <c r="B70" s="6"/>
      <c r="E70" s="6"/>
      <c r="F70" s="6"/>
      <c r="I70" s="6"/>
      <c r="J70"/>
      <c r="L70" s="6"/>
      <c r="O70" s="6"/>
      <c r="R70"/>
      <c r="S70"/>
      <c r="T70" s="44"/>
      <c r="X70" s="6"/>
      <c r="AA70" s="6"/>
      <c r="AC70" s="93"/>
      <c r="AD70"/>
      <c r="AE70"/>
      <c r="AF70"/>
      <c r="AG70"/>
      <c r="AH70"/>
      <c r="AI70"/>
      <c r="AJ70"/>
      <c r="AK70"/>
      <c r="AL70"/>
      <c r="AM70"/>
      <c r="AN70"/>
      <c r="AP70" s="6"/>
      <c r="AT70" s="6"/>
      <c r="AX70" s="6"/>
      <c r="BB70" s="6"/>
      <c r="BE70" s="6"/>
      <c r="BH70" s="6"/>
    </row>
    <row r="71" spans="1:60" s="3" customFormat="1" x14ac:dyDescent="0.3">
      <c r="B71" s="6"/>
      <c r="E71" s="6"/>
      <c r="F71" s="6"/>
      <c r="I71" s="6"/>
      <c r="J71"/>
      <c r="L71" s="6"/>
      <c r="O71" s="6"/>
      <c r="R71"/>
      <c r="S71"/>
      <c r="T71" s="44"/>
      <c r="X71" s="6"/>
      <c r="AA71" s="6"/>
      <c r="AC71" s="93"/>
      <c r="AD71"/>
      <c r="AE71"/>
      <c r="AF71"/>
      <c r="AG71"/>
      <c r="AH71"/>
      <c r="AI71"/>
      <c r="AJ71"/>
      <c r="AK71"/>
      <c r="AL71"/>
      <c r="AM71"/>
      <c r="AN71"/>
      <c r="AP71" s="6"/>
      <c r="AT71" s="6"/>
      <c r="AX71" s="6"/>
      <c r="BB71" s="6"/>
      <c r="BE71" s="6"/>
      <c r="BH71" s="6"/>
    </row>
    <row r="72" spans="1:60" s="3" customFormat="1" x14ac:dyDescent="0.3">
      <c r="B72" s="6"/>
      <c r="E72" s="6"/>
      <c r="F72" s="6"/>
      <c r="I72" s="6"/>
      <c r="J72"/>
      <c r="L72" s="6"/>
      <c r="O72" s="6"/>
      <c r="R72"/>
      <c r="S72"/>
      <c r="T72" s="44"/>
      <c r="X72" s="6"/>
      <c r="AA72" s="6"/>
      <c r="AC72" s="93"/>
      <c r="AD72"/>
      <c r="AE72"/>
      <c r="AF72"/>
      <c r="AG72"/>
      <c r="AH72"/>
      <c r="AI72"/>
      <c r="AJ72"/>
      <c r="AK72"/>
      <c r="AL72"/>
      <c r="AM72"/>
      <c r="AN72"/>
      <c r="AP72" s="6"/>
      <c r="AT72" s="6"/>
      <c r="AX72" s="6"/>
      <c r="BB72" s="6"/>
      <c r="BE72" s="6"/>
      <c r="BH72" s="6"/>
    </row>
    <row r="73" spans="1:60" s="3" customFormat="1" ht="15" customHeight="1" x14ac:dyDescent="0.3">
      <c r="B73" s="6"/>
      <c r="E73" s="6"/>
      <c r="F73" s="6"/>
      <c r="I73" s="6"/>
      <c r="J73"/>
      <c r="L73" s="6"/>
      <c r="O73" s="6"/>
      <c r="R73"/>
      <c r="S73"/>
      <c r="T73" s="44"/>
      <c r="X73" s="6"/>
      <c r="AA73" s="6"/>
      <c r="AC73" s="93"/>
      <c r="AD73"/>
      <c r="AE73"/>
      <c r="AF73"/>
      <c r="AG73"/>
      <c r="AH73"/>
      <c r="AI73"/>
      <c r="AJ73"/>
      <c r="AK73"/>
      <c r="AL73"/>
      <c r="AM73"/>
      <c r="AN73"/>
      <c r="AP73" s="6"/>
      <c r="AT73" s="6"/>
      <c r="AX73" s="6"/>
      <c r="BB73" s="6"/>
      <c r="BE73" s="6"/>
      <c r="BH73" s="6"/>
    </row>
    <row r="74" spans="1:60" s="3" customFormat="1" x14ac:dyDescent="0.3">
      <c r="B74" s="6"/>
      <c r="E74" s="6"/>
      <c r="F74" s="6"/>
      <c r="I74" s="6"/>
      <c r="J74"/>
      <c r="L74" s="6"/>
      <c r="O74" s="6"/>
      <c r="R74"/>
      <c r="S74"/>
      <c r="T74" s="44"/>
      <c r="X74" s="6"/>
      <c r="AA74" s="6"/>
      <c r="AC74" s="93"/>
      <c r="AD74"/>
      <c r="AE74"/>
      <c r="AF74"/>
      <c r="AG74"/>
      <c r="AH74"/>
      <c r="AI74"/>
      <c r="AJ74"/>
      <c r="AK74"/>
      <c r="AL74"/>
      <c r="AM74"/>
      <c r="AN74"/>
      <c r="AP74" s="6"/>
      <c r="AT74" s="6"/>
      <c r="AX74" s="6"/>
      <c r="BB74" s="6"/>
      <c r="BE74" s="6"/>
      <c r="BH74" s="6"/>
    </row>
    <row r="75" spans="1:60" s="3" customFormat="1" ht="15" customHeight="1" x14ac:dyDescent="0.3">
      <c r="B75" s="6"/>
      <c r="E75" s="6"/>
      <c r="F75" s="6"/>
      <c r="I75" s="6"/>
      <c r="J75"/>
      <c r="L75" s="6"/>
      <c r="O75" s="6"/>
      <c r="R75"/>
      <c r="S75"/>
      <c r="T75" s="44"/>
      <c r="X75" s="6"/>
      <c r="AA75" s="6"/>
      <c r="AC75" s="93"/>
      <c r="AD75"/>
      <c r="AE75"/>
      <c r="AF75"/>
      <c r="AG75"/>
      <c r="AH75"/>
      <c r="AI75"/>
      <c r="AJ75"/>
      <c r="AK75"/>
      <c r="AL75"/>
      <c r="AM75"/>
      <c r="AN75"/>
      <c r="AP75" s="6"/>
      <c r="AT75" s="6"/>
      <c r="AX75" s="6"/>
      <c r="BB75" s="6"/>
      <c r="BE75" s="6"/>
      <c r="BH75" s="6"/>
    </row>
    <row r="76" spans="1:60" s="3" customFormat="1" ht="15" customHeight="1" x14ac:dyDescent="0.3">
      <c r="B76" s="6"/>
      <c r="E76" s="6"/>
      <c r="F76" s="6"/>
      <c r="I76" s="6"/>
      <c r="J76"/>
      <c r="L76" s="6"/>
      <c r="O76" s="6"/>
      <c r="R76"/>
      <c r="S76"/>
      <c r="T76" s="44"/>
      <c r="X76" s="6"/>
      <c r="AA76" s="6"/>
      <c r="AC76" s="93"/>
      <c r="AD76"/>
      <c r="AE76"/>
      <c r="AF76"/>
      <c r="AG76"/>
      <c r="AH76"/>
      <c r="AI76"/>
      <c r="AJ76"/>
      <c r="AK76"/>
      <c r="AL76"/>
      <c r="AM76"/>
      <c r="AN76"/>
      <c r="AP76" s="6"/>
      <c r="AT76" s="6"/>
      <c r="AX76" s="6"/>
      <c r="BB76" s="6"/>
      <c r="BE76" s="6"/>
      <c r="BH76" s="6"/>
    </row>
    <row r="77" spans="1:60" s="3" customFormat="1" x14ac:dyDescent="0.3">
      <c r="B77" s="6"/>
      <c r="E77" s="6"/>
      <c r="F77" s="6"/>
      <c r="I77" s="6"/>
      <c r="J77"/>
      <c r="L77" s="6"/>
      <c r="O77" s="6"/>
      <c r="R77"/>
      <c r="S77"/>
      <c r="T77" s="44"/>
      <c r="X77" s="6"/>
      <c r="AA77" s="6"/>
      <c r="AC77" s="93"/>
      <c r="AD77"/>
      <c r="AE77"/>
      <c r="AF77"/>
      <c r="AG77"/>
      <c r="AH77"/>
      <c r="AI77"/>
      <c r="AJ77"/>
      <c r="AK77"/>
      <c r="AL77"/>
      <c r="AM77"/>
      <c r="AN77"/>
      <c r="AP77" s="6"/>
      <c r="AT77" s="6"/>
      <c r="AX77" s="6"/>
      <c r="BB77" s="6"/>
      <c r="BE77" s="6"/>
      <c r="BH77" s="6"/>
    </row>
    <row r="78" spans="1:60" s="3" customFormat="1" x14ac:dyDescent="0.3">
      <c r="B78" s="6"/>
      <c r="E78" s="6"/>
      <c r="F78" s="6"/>
      <c r="I78" s="6"/>
      <c r="J78"/>
      <c r="L78" s="6"/>
      <c r="O78" s="6"/>
      <c r="R78"/>
      <c r="S78"/>
      <c r="T78" s="44"/>
      <c r="X78" s="6"/>
      <c r="AA78" s="6"/>
      <c r="AC78" s="93"/>
      <c r="AD78"/>
      <c r="AE78"/>
      <c r="AF78"/>
      <c r="AG78"/>
      <c r="AH78"/>
      <c r="AI78"/>
      <c r="AJ78"/>
      <c r="AK78"/>
      <c r="AL78"/>
      <c r="AM78"/>
      <c r="AN78"/>
      <c r="AP78" s="6"/>
      <c r="AT78" s="6"/>
      <c r="AX78" s="6"/>
      <c r="BB78" s="6"/>
      <c r="BE78" s="6"/>
      <c r="BH78" s="6"/>
    </row>
    <row r="79" spans="1:60" s="3" customFormat="1" ht="15" customHeight="1" x14ac:dyDescent="0.3">
      <c r="B79" s="6"/>
      <c r="E79" s="6"/>
      <c r="F79" s="6"/>
      <c r="I79" s="6"/>
      <c r="J79"/>
      <c r="L79" s="6"/>
      <c r="O79" s="6"/>
      <c r="R79"/>
      <c r="S79"/>
      <c r="T79" s="44"/>
      <c r="X79" s="6"/>
      <c r="AA79" s="6"/>
      <c r="AC79" s="93"/>
      <c r="AD79"/>
      <c r="AE79"/>
      <c r="AF79"/>
      <c r="AG79"/>
      <c r="AH79"/>
      <c r="AI79"/>
      <c r="AJ79"/>
      <c r="AK79"/>
      <c r="AL79"/>
      <c r="AM79"/>
      <c r="AN79"/>
      <c r="AP79" s="6"/>
      <c r="AT79" s="6"/>
      <c r="AX79" s="6"/>
      <c r="BB79" s="6"/>
      <c r="BE79" s="6"/>
      <c r="BH79" s="6"/>
    </row>
    <row r="80" spans="1:60" s="3" customFormat="1" x14ac:dyDescent="0.3">
      <c r="B80" s="6"/>
      <c r="E80" s="6"/>
      <c r="F80" s="6"/>
      <c r="I80" s="6"/>
      <c r="J80"/>
      <c r="L80" s="6"/>
      <c r="O80" s="6"/>
      <c r="R80"/>
      <c r="S80"/>
      <c r="T80" s="44"/>
      <c r="X80" s="6"/>
      <c r="AA80" s="6"/>
      <c r="AC80" s="93"/>
      <c r="AD80"/>
      <c r="AE80"/>
      <c r="AF80"/>
      <c r="AG80"/>
      <c r="AH80"/>
      <c r="AI80"/>
      <c r="AJ80"/>
      <c r="AK80"/>
      <c r="AL80"/>
      <c r="AM80"/>
      <c r="AN80"/>
      <c r="AP80" s="6"/>
      <c r="AT80" s="6"/>
      <c r="AX80" s="6"/>
      <c r="BB80" s="6"/>
      <c r="BE80" s="6"/>
      <c r="BH80" s="6"/>
    </row>
    <row r="81" spans="2:60" s="3" customFormat="1" x14ac:dyDescent="0.3">
      <c r="J81"/>
      <c r="R81"/>
      <c r="S81"/>
      <c r="T81" s="44"/>
      <c r="AC81" s="93"/>
      <c r="AD81"/>
      <c r="AE81"/>
      <c r="AF81"/>
      <c r="AG81"/>
      <c r="AH81"/>
      <c r="AI81"/>
      <c r="AJ81"/>
      <c r="AK81"/>
      <c r="AL81"/>
      <c r="AM81"/>
      <c r="AN81"/>
    </row>
    <row r="82" spans="2:60" s="3" customFormat="1" x14ac:dyDescent="0.3">
      <c r="J82"/>
      <c r="R82"/>
      <c r="S82"/>
      <c r="T82" s="44"/>
      <c r="AC82" s="93"/>
      <c r="AD82"/>
      <c r="AE82"/>
      <c r="AF82"/>
      <c r="AG82"/>
      <c r="AH82"/>
      <c r="AI82"/>
      <c r="AJ82"/>
      <c r="AK82"/>
      <c r="AL82"/>
      <c r="AM82"/>
      <c r="AN82"/>
    </row>
    <row r="83" spans="2:60" s="3" customFormat="1" x14ac:dyDescent="0.3">
      <c r="J83"/>
      <c r="R83"/>
      <c r="S83"/>
      <c r="AC83" s="93"/>
      <c r="AD83"/>
      <c r="AE83"/>
      <c r="AF83"/>
      <c r="AG83"/>
      <c r="AH83"/>
      <c r="AI83"/>
      <c r="AJ83"/>
      <c r="AK83"/>
      <c r="AL83"/>
      <c r="AM83"/>
      <c r="AN83"/>
    </row>
    <row r="84" spans="2:60" s="3" customFormat="1" x14ac:dyDescent="0.3">
      <c r="J84"/>
      <c r="R84"/>
      <c r="S84"/>
      <c r="AC84" s="93"/>
      <c r="AD84"/>
      <c r="AE84"/>
      <c r="AF84"/>
      <c r="AG84"/>
      <c r="AH84"/>
      <c r="AI84"/>
      <c r="AJ84"/>
      <c r="AK84"/>
      <c r="AL84"/>
      <c r="AM84"/>
      <c r="AN84"/>
    </row>
    <row r="85" spans="2:60" s="3" customFormat="1" x14ac:dyDescent="0.3">
      <c r="J85"/>
      <c r="R85"/>
      <c r="S85"/>
      <c r="AC85" s="93"/>
      <c r="AD85"/>
      <c r="AE85"/>
      <c r="AF85"/>
      <c r="AG85"/>
      <c r="AH85"/>
      <c r="AI85"/>
      <c r="AJ85"/>
      <c r="AK85"/>
      <c r="AL85"/>
      <c r="AM85"/>
      <c r="AN85"/>
    </row>
    <row r="86" spans="2:60" s="3" customFormat="1" x14ac:dyDescent="0.3">
      <c r="J86"/>
      <c r="R86"/>
      <c r="S86"/>
      <c r="AC86" s="93"/>
      <c r="AD86"/>
      <c r="AE86"/>
      <c r="AF86"/>
      <c r="AG86"/>
      <c r="AH86"/>
      <c r="AI86"/>
      <c r="AJ86"/>
      <c r="AK86"/>
      <c r="AL86"/>
      <c r="AM86"/>
      <c r="AN86"/>
    </row>
    <row r="87" spans="2:60" s="3" customFormat="1" x14ac:dyDescent="0.3">
      <c r="C87" s="2"/>
      <c r="D87" s="2"/>
      <c r="G87" s="2"/>
      <c r="J87"/>
      <c r="P87" s="2"/>
      <c r="Q87" s="2"/>
      <c r="R87"/>
      <c r="S87"/>
      <c r="AC87" s="93"/>
      <c r="AD87"/>
      <c r="AE87"/>
      <c r="AF87"/>
      <c r="AG87"/>
      <c r="AH87"/>
      <c r="AI87"/>
      <c r="AJ87"/>
      <c r="AK87"/>
      <c r="AL87"/>
      <c r="AM87"/>
      <c r="AN87"/>
    </row>
    <row r="88" spans="2:60" s="3" customFormat="1" ht="15" customHeight="1" x14ac:dyDescent="0.3">
      <c r="C88" s="2"/>
      <c r="D88" s="2"/>
      <c r="G88" s="2"/>
      <c r="J88"/>
      <c r="P88" s="2"/>
      <c r="Q88" s="2"/>
      <c r="R88"/>
      <c r="S88"/>
      <c r="AC88" s="93"/>
      <c r="AD88"/>
      <c r="AE88"/>
      <c r="AF88"/>
      <c r="AG88"/>
      <c r="AH88"/>
      <c r="AI88"/>
      <c r="AJ88"/>
      <c r="AK88"/>
      <c r="AL88"/>
      <c r="AM88"/>
      <c r="AN88"/>
    </row>
    <row r="89" spans="2:60" s="3" customFormat="1" ht="15" customHeight="1" x14ac:dyDescent="0.3">
      <c r="C89" s="2"/>
      <c r="D89" s="2"/>
      <c r="G89" s="2"/>
      <c r="J89"/>
      <c r="P89" s="2"/>
      <c r="Q89" s="2"/>
      <c r="R89"/>
      <c r="S89"/>
      <c r="AC89" s="93"/>
      <c r="AD89"/>
      <c r="AE89"/>
      <c r="AF89"/>
      <c r="AG89"/>
      <c r="AH89"/>
      <c r="AI89"/>
      <c r="AJ89"/>
      <c r="AK89"/>
      <c r="AL89"/>
      <c r="AM89"/>
      <c r="AN89"/>
    </row>
    <row r="90" spans="2:60" s="3" customFormat="1" x14ac:dyDescent="0.3">
      <c r="C90" s="2"/>
      <c r="D90" s="2"/>
      <c r="G90" s="2"/>
      <c r="J90"/>
      <c r="P90" s="2"/>
      <c r="Q90" s="2"/>
      <c r="R90"/>
      <c r="S90"/>
      <c r="AC90" s="93"/>
      <c r="AD90"/>
      <c r="AE90"/>
      <c r="AF90"/>
      <c r="AG90"/>
      <c r="AH90"/>
      <c r="AI90"/>
      <c r="AJ90"/>
      <c r="AK90"/>
      <c r="AL90"/>
      <c r="AM90"/>
      <c r="AN90"/>
    </row>
    <row r="91" spans="2:60" s="3" customFormat="1" x14ac:dyDescent="0.3">
      <c r="C91" s="2"/>
      <c r="D91" s="2"/>
      <c r="G91" s="2"/>
      <c r="J91"/>
      <c r="P91" s="2"/>
      <c r="Q91" s="2"/>
      <c r="R91"/>
      <c r="S91" s="15"/>
      <c r="AC91" s="93"/>
      <c r="AD91"/>
      <c r="AE91"/>
      <c r="AF91"/>
      <c r="AG91"/>
      <c r="AH91"/>
      <c r="AI91"/>
      <c r="AJ91"/>
      <c r="AK91"/>
      <c r="AL91"/>
      <c r="AM91"/>
      <c r="AN91"/>
    </row>
    <row r="92" spans="2:60" s="3" customFormat="1" x14ac:dyDescent="0.3">
      <c r="C92" s="2"/>
      <c r="D92" s="2"/>
      <c r="G92" s="2"/>
      <c r="J92"/>
      <c r="P92" s="2"/>
      <c r="Q92" s="2"/>
      <c r="R92"/>
      <c r="S92" s="15"/>
      <c r="AC92" s="93"/>
      <c r="AD92"/>
      <c r="AE92"/>
      <c r="AF92"/>
      <c r="AG92"/>
      <c r="AH92"/>
      <c r="AI92"/>
      <c r="AJ92"/>
      <c r="AK92"/>
      <c r="AL92"/>
      <c r="AM92"/>
      <c r="AN92"/>
    </row>
    <row r="93" spans="2:60" s="3" customFormat="1" x14ac:dyDescent="0.3">
      <c r="C93" s="2"/>
      <c r="D93" s="2"/>
      <c r="G93" s="2"/>
      <c r="J93"/>
      <c r="P93" s="2"/>
      <c r="Q93" s="2"/>
      <c r="R93"/>
      <c r="S93" s="15"/>
      <c r="AC93" s="93"/>
      <c r="AD93"/>
      <c r="AE93"/>
      <c r="AF93"/>
      <c r="AG93"/>
      <c r="AH93"/>
      <c r="AI93"/>
      <c r="AJ93"/>
      <c r="AK93"/>
      <c r="AL93"/>
      <c r="AM93"/>
      <c r="AN93"/>
    </row>
    <row r="94" spans="2:60" s="3" customFormat="1" x14ac:dyDescent="0.3">
      <c r="B94" s="15"/>
      <c r="C94" s="2"/>
      <c r="D94" s="2"/>
      <c r="E94" s="15"/>
      <c r="F94" s="15"/>
      <c r="G94" s="2"/>
      <c r="I94" s="15"/>
      <c r="J94"/>
      <c r="K94" s="2"/>
      <c r="L94" s="15"/>
      <c r="M94" s="2"/>
      <c r="N94" s="2"/>
      <c r="O94" s="15"/>
      <c r="P94" s="2"/>
      <c r="Q94" s="2"/>
      <c r="R94"/>
      <c r="S94" s="15"/>
      <c r="T94" s="15"/>
      <c r="U94" s="15"/>
      <c r="X94" s="15"/>
      <c r="AA94" s="15"/>
      <c r="AC94" s="93"/>
      <c r="AD94"/>
      <c r="AE94"/>
      <c r="AF94"/>
      <c r="AG94"/>
      <c r="AH94"/>
      <c r="AI94"/>
      <c r="AJ94"/>
      <c r="AK94"/>
      <c r="AL94"/>
      <c r="AM94"/>
      <c r="AN94"/>
      <c r="AP94" s="15"/>
      <c r="AT94" s="15"/>
      <c r="AX94" s="15"/>
      <c r="BB94" s="15"/>
      <c r="BE94" s="15"/>
      <c r="BH94" s="15"/>
    </row>
    <row r="95" spans="2:60" s="3" customFormat="1" x14ac:dyDescent="0.3">
      <c r="B95" s="15"/>
      <c r="C95" s="2"/>
      <c r="D95" s="2"/>
      <c r="E95" s="15"/>
      <c r="F95" s="15"/>
      <c r="G95" s="2"/>
      <c r="I95" s="15"/>
      <c r="J95"/>
      <c r="K95" s="2"/>
      <c r="L95" s="15"/>
      <c r="M95" s="2"/>
      <c r="N95" s="2"/>
      <c r="O95" s="15"/>
      <c r="P95" s="2"/>
      <c r="Q95" s="2"/>
      <c r="R95"/>
      <c r="S95" s="15"/>
      <c r="T95" s="15"/>
      <c r="U95" s="15"/>
      <c r="X95" s="15"/>
      <c r="AA95" s="15"/>
      <c r="AC95" s="93"/>
      <c r="AD95"/>
      <c r="AE95"/>
      <c r="AF95"/>
      <c r="AG95"/>
      <c r="AH95"/>
      <c r="AI95"/>
      <c r="AJ95"/>
      <c r="AK95"/>
      <c r="AL95"/>
      <c r="AM95"/>
      <c r="AN95"/>
      <c r="AP95" s="15"/>
      <c r="AT95" s="15"/>
      <c r="AX95" s="15"/>
      <c r="BB95" s="15"/>
      <c r="BE95" s="15"/>
      <c r="BH95" s="15"/>
    </row>
    <row r="96" spans="2:60" s="3" customFormat="1" x14ac:dyDescent="0.3">
      <c r="B96" s="15"/>
      <c r="C96" s="2"/>
      <c r="D96" s="2"/>
      <c r="E96" s="15"/>
      <c r="F96" s="15"/>
      <c r="G96" s="2"/>
      <c r="I96" s="15"/>
      <c r="J96"/>
      <c r="K96" s="2"/>
      <c r="L96" s="15"/>
      <c r="M96" s="2"/>
      <c r="N96" s="2"/>
      <c r="O96" s="15"/>
      <c r="P96" s="2"/>
      <c r="Q96" s="2"/>
      <c r="R96"/>
      <c r="S96" s="15"/>
      <c r="T96" s="15"/>
      <c r="U96" s="15"/>
      <c r="X96" s="15"/>
      <c r="AA96" s="15"/>
      <c r="AC96" s="93"/>
      <c r="AD96"/>
      <c r="AE96"/>
      <c r="AF96"/>
      <c r="AG96"/>
      <c r="AH96"/>
      <c r="AI96"/>
      <c r="AJ96"/>
      <c r="AK96"/>
      <c r="AL96"/>
      <c r="AM96"/>
      <c r="AN96"/>
      <c r="AP96" s="15"/>
      <c r="AT96" s="15"/>
      <c r="AX96" s="15"/>
      <c r="BB96" s="15"/>
      <c r="BE96" s="15"/>
      <c r="BH96" s="15"/>
    </row>
    <row r="97" spans="1:60" s="3" customFormat="1" x14ac:dyDescent="0.3">
      <c r="B97" s="15"/>
      <c r="C97" s="2"/>
      <c r="D97" s="2"/>
      <c r="E97" s="15"/>
      <c r="F97" s="15"/>
      <c r="G97" s="2"/>
      <c r="I97" s="15"/>
      <c r="J97"/>
      <c r="K97" s="2"/>
      <c r="L97" s="15"/>
      <c r="M97" s="2"/>
      <c r="N97" s="2"/>
      <c r="O97" s="15"/>
      <c r="P97" s="2"/>
      <c r="Q97" s="2"/>
      <c r="R97"/>
      <c r="S97" s="15"/>
      <c r="T97" s="15"/>
      <c r="U97" s="15"/>
      <c r="X97" s="15"/>
      <c r="AA97" s="15"/>
      <c r="AC97" s="93"/>
      <c r="AD97"/>
      <c r="AE97"/>
      <c r="AF97"/>
      <c r="AG97"/>
      <c r="AH97"/>
      <c r="AI97"/>
      <c r="AJ97"/>
      <c r="AK97"/>
      <c r="AL97"/>
      <c r="AM97"/>
      <c r="AN97"/>
      <c r="AP97" s="15"/>
      <c r="AT97" s="15"/>
      <c r="AX97" s="15"/>
      <c r="BB97" s="15"/>
      <c r="BE97" s="15"/>
      <c r="BH97" s="15"/>
    </row>
    <row r="98" spans="1:60" s="3" customFormat="1" x14ac:dyDescent="0.3">
      <c r="B98" s="15"/>
      <c r="C98" s="2"/>
      <c r="D98" s="2"/>
      <c r="E98" s="15"/>
      <c r="F98" s="15"/>
      <c r="G98" s="2"/>
      <c r="I98" s="15"/>
      <c r="J98"/>
      <c r="K98" s="2"/>
      <c r="L98" s="15"/>
      <c r="M98" s="2"/>
      <c r="N98" s="2"/>
      <c r="O98" s="15"/>
      <c r="P98" s="2"/>
      <c r="Q98" s="2"/>
      <c r="R98"/>
      <c r="S98" s="15"/>
      <c r="T98" s="15"/>
      <c r="U98" s="15"/>
      <c r="X98" s="15"/>
      <c r="AA98" s="15"/>
      <c r="AC98" s="93"/>
      <c r="AD98"/>
      <c r="AE98"/>
      <c r="AF98"/>
      <c r="AG98"/>
      <c r="AH98"/>
      <c r="AI98"/>
      <c r="AJ98"/>
      <c r="AK98"/>
      <c r="AL98"/>
      <c r="AM98"/>
      <c r="AN98"/>
      <c r="AP98" s="15"/>
      <c r="AT98" s="15"/>
      <c r="AX98" s="15"/>
      <c r="BB98" s="15"/>
      <c r="BE98" s="15"/>
      <c r="BH98" s="15"/>
    </row>
    <row r="99" spans="1:60" s="3" customFormat="1" x14ac:dyDescent="0.3">
      <c r="B99" s="2"/>
      <c r="C99" s="2"/>
      <c r="D99" s="15"/>
      <c r="E99" s="2"/>
      <c r="F99" s="2"/>
      <c r="H99" s="15"/>
      <c r="J99"/>
      <c r="K99" s="15"/>
      <c r="L99" s="2"/>
      <c r="M99" s="2"/>
      <c r="N99" s="15"/>
      <c r="O99" s="2"/>
      <c r="P99" s="2"/>
      <c r="Q99" s="15"/>
      <c r="R99"/>
      <c r="S99" s="15"/>
      <c r="T99" s="15"/>
      <c r="U99" s="15"/>
      <c r="W99" s="15"/>
      <c r="Z99" s="15"/>
      <c r="AC99" s="93"/>
      <c r="AD99"/>
      <c r="AE99"/>
      <c r="AF99"/>
      <c r="AG99"/>
      <c r="AH99"/>
      <c r="AI99"/>
      <c r="AJ99"/>
      <c r="AK99"/>
      <c r="AL99"/>
      <c r="AM99"/>
      <c r="AN99"/>
      <c r="AO99" s="15"/>
      <c r="AR99" s="15"/>
      <c r="AS99" s="15"/>
      <c r="AV99" s="15"/>
      <c r="AW99" s="15"/>
      <c r="AZ99" s="15"/>
      <c r="BA99" s="15"/>
      <c r="BD99" s="15"/>
      <c r="BG99" s="15"/>
    </row>
    <row r="100" spans="1:60" s="3" customFormat="1" x14ac:dyDescent="0.3">
      <c r="B100" s="2"/>
      <c r="C100" s="2"/>
      <c r="D100" s="15"/>
      <c r="E100" s="2"/>
      <c r="F100" s="2"/>
      <c r="H100" s="15"/>
      <c r="J100"/>
      <c r="K100" s="15"/>
      <c r="L100" s="2"/>
      <c r="M100" s="2"/>
      <c r="N100" s="15"/>
      <c r="O100" s="2"/>
      <c r="P100" s="2"/>
      <c r="Q100" s="15"/>
      <c r="R100"/>
      <c r="S100" s="15"/>
      <c r="T100" s="15"/>
      <c r="U100" s="15"/>
      <c r="W100" s="15"/>
      <c r="Z100" s="15"/>
      <c r="AC100" s="93"/>
      <c r="AD100"/>
      <c r="AE100"/>
      <c r="AF100"/>
      <c r="AG100"/>
      <c r="AH100"/>
      <c r="AI100"/>
      <c r="AJ100"/>
      <c r="AK100"/>
      <c r="AL100"/>
      <c r="AM100"/>
      <c r="AN100"/>
      <c r="AO100" s="15"/>
      <c r="AR100" s="15"/>
      <c r="AS100" s="15"/>
      <c r="AV100" s="15"/>
      <c r="AW100" s="15"/>
      <c r="AZ100" s="15"/>
      <c r="BA100" s="15"/>
      <c r="BD100" s="15"/>
      <c r="BG100" s="15"/>
    </row>
    <row r="101" spans="1:60" s="3" customFormat="1" x14ac:dyDescent="0.3">
      <c r="B101" s="2"/>
      <c r="C101" s="2"/>
      <c r="D101" s="15"/>
      <c r="E101" s="2"/>
      <c r="F101" s="2"/>
      <c r="H101" s="15"/>
      <c r="J101"/>
      <c r="K101" s="15"/>
      <c r="L101" s="2"/>
      <c r="M101" s="2"/>
      <c r="N101" s="15"/>
      <c r="O101" s="2"/>
      <c r="P101" s="2"/>
      <c r="Q101" s="15"/>
      <c r="R101"/>
      <c r="S101" s="15"/>
      <c r="T101" s="15"/>
      <c r="U101" s="15"/>
      <c r="W101" s="15"/>
      <c r="Z101" s="15"/>
      <c r="AC101" s="93"/>
      <c r="AD101"/>
      <c r="AE101"/>
      <c r="AF101"/>
      <c r="AG101"/>
      <c r="AH101"/>
      <c r="AI101"/>
      <c r="AJ101"/>
      <c r="AK101"/>
      <c r="AL101"/>
      <c r="AM101"/>
      <c r="AN101"/>
      <c r="AO101" s="15"/>
      <c r="AR101" s="15"/>
      <c r="AS101" s="15"/>
      <c r="AV101" s="15"/>
      <c r="AW101" s="15"/>
      <c r="AZ101" s="15"/>
      <c r="BA101" s="15"/>
      <c r="BD101" s="15"/>
      <c r="BG101" s="15"/>
    </row>
    <row r="102" spans="1:60" s="3" customFormat="1" x14ac:dyDescent="0.3">
      <c r="B102" s="2"/>
      <c r="C102" s="2"/>
      <c r="D102" s="15"/>
      <c r="E102" s="2"/>
      <c r="F102" s="2"/>
      <c r="H102" s="15"/>
      <c r="J102"/>
      <c r="K102" s="15"/>
      <c r="L102" s="2"/>
      <c r="M102" s="2"/>
      <c r="N102" s="15"/>
      <c r="O102" s="2"/>
      <c r="P102" s="2"/>
      <c r="Q102" s="15"/>
      <c r="R102"/>
      <c r="S102" s="15"/>
      <c r="T102" s="15"/>
      <c r="U102" s="15"/>
      <c r="W102" s="15"/>
      <c r="Z102" s="15"/>
      <c r="AC102" s="93"/>
      <c r="AD102"/>
      <c r="AE102"/>
      <c r="AF102"/>
      <c r="AG102"/>
      <c r="AH102"/>
      <c r="AI102"/>
      <c r="AJ102"/>
      <c r="AK102"/>
      <c r="AL102"/>
      <c r="AM102"/>
      <c r="AN102"/>
      <c r="AO102" s="15"/>
      <c r="AR102" s="15"/>
      <c r="AS102" s="15"/>
      <c r="AV102" s="15"/>
      <c r="AW102" s="15"/>
      <c r="AZ102" s="15"/>
      <c r="BA102" s="15"/>
      <c r="BD102" s="15"/>
      <c r="BG102" s="15"/>
    </row>
    <row r="103" spans="1:60" s="3" customFormat="1" x14ac:dyDescent="0.3">
      <c r="B103" s="2"/>
      <c r="C103" s="2"/>
      <c r="D103" s="15"/>
      <c r="E103" s="2"/>
      <c r="F103" s="2"/>
      <c r="H103" s="15"/>
      <c r="J103"/>
      <c r="K103" s="15"/>
      <c r="L103" s="2"/>
      <c r="M103" s="2"/>
      <c r="N103" s="15"/>
      <c r="O103" s="2"/>
      <c r="P103" s="2"/>
      <c r="Q103" s="15"/>
      <c r="R103"/>
      <c r="S103" s="15"/>
      <c r="T103" s="15"/>
      <c r="U103" s="15"/>
      <c r="W103" s="15"/>
      <c r="Z103" s="15"/>
      <c r="AC103" s="93"/>
      <c r="AD103"/>
      <c r="AE103"/>
      <c r="AF103"/>
      <c r="AG103"/>
      <c r="AH103"/>
      <c r="AI103"/>
      <c r="AJ103"/>
      <c r="AK103"/>
      <c r="AL103"/>
      <c r="AM103"/>
      <c r="AN103"/>
      <c r="AO103" s="15"/>
      <c r="AR103" s="15"/>
      <c r="AS103" s="15"/>
      <c r="AV103" s="15"/>
      <c r="AW103" s="15"/>
      <c r="AZ103" s="15"/>
      <c r="BA103" s="15"/>
      <c r="BD103" s="15"/>
      <c r="BG103" s="15"/>
    </row>
    <row r="104" spans="1:60" s="3" customFormat="1" x14ac:dyDescent="0.3">
      <c r="B104" s="2"/>
      <c r="C104" s="2"/>
      <c r="D104" s="15"/>
      <c r="E104" s="2"/>
      <c r="F104" s="2"/>
      <c r="H104" s="15"/>
      <c r="J104"/>
      <c r="K104" s="15"/>
      <c r="L104" s="2"/>
      <c r="M104" s="2"/>
      <c r="N104" s="15"/>
      <c r="O104" s="2"/>
      <c r="P104" s="2"/>
      <c r="Q104" s="15"/>
      <c r="R104"/>
      <c r="S104" s="15"/>
      <c r="T104" s="15"/>
      <c r="U104" s="15"/>
      <c r="W104" s="15"/>
      <c r="Z104" s="15"/>
      <c r="AC104" s="93"/>
      <c r="AD104"/>
      <c r="AE104"/>
      <c r="AF104"/>
      <c r="AG104"/>
      <c r="AH104"/>
      <c r="AI104"/>
      <c r="AJ104"/>
      <c r="AK104"/>
      <c r="AL104"/>
      <c r="AM104"/>
      <c r="AN104"/>
      <c r="AO104" s="15"/>
      <c r="AR104" s="15"/>
      <c r="AS104" s="15"/>
      <c r="AV104" s="15"/>
      <c r="AW104" s="15"/>
      <c r="AZ104" s="15"/>
      <c r="BA104" s="15"/>
      <c r="BD104" s="15"/>
      <c r="BG104" s="15"/>
    </row>
    <row r="105" spans="1:60" s="3" customFormat="1" x14ac:dyDescent="0.3">
      <c r="B105" s="2"/>
      <c r="C105" s="2"/>
      <c r="D105" s="15"/>
      <c r="E105" s="2"/>
      <c r="F105" s="2"/>
      <c r="H105" s="15"/>
      <c r="J105"/>
      <c r="K105" s="15"/>
      <c r="L105" s="2"/>
      <c r="M105" s="2"/>
      <c r="N105" s="15"/>
      <c r="O105" s="2"/>
      <c r="P105" s="2"/>
      <c r="Q105" s="15"/>
      <c r="R105"/>
      <c r="S105" s="15"/>
      <c r="T105" s="15"/>
      <c r="U105" s="15"/>
      <c r="W105" s="15"/>
      <c r="Z105" s="15"/>
      <c r="AC105" s="93"/>
      <c r="AD105"/>
      <c r="AE105"/>
      <c r="AF105"/>
      <c r="AG105"/>
      <c r="AH105"/>
      <c r="AI105"/>
      <c r="AJ105"/>
      <c r="AK105"/>
      <c r="AL105"/>
      <c r="AM105"/>
      <c r="AN105"/>
      <c r="AO105" s="15"/>
      <c r="AR105" s="15"/>
      <c r="AS105" s="15"/>
      <c r="AV105" s="15"/>
      <c r="AW105" s="15"/>
      <c r="AZ105" s="15"/>
      <c r="BA105" s="15"/>
      <c r="BD105" s="15"/>
      <c r="BG105" s="15"/>
    </row>
    <row r="106" spans="1:60" s="3" customFormat="1" x14ac:dyDescent="0.3">
      <c r="B106" s="2"/>
      <c r="C106" s="2"/>
      <c r="D106" s="15"/>
      <c r="E106" s="2"/>
      <c r="F106" s="2"/>
      <c r="H106" s="15"/>
      <c r="J106"/>
      <c r="K106" s="15"/>
      <c r="L106" s="2"/>
      <c r="M106" s="2"/>
      <c r="N106" s="15"/>
      <c r="O106" s="2"/>
      <c r="P106" s="2"/>
      <c r="Q106" s="15"/>
      <c r="R106"/>
      <c r="S106" s="15"/>
      <c r="T106" s="15"/>
      <c r="U106" s="15"/>
      <c r="W106" s="15"/>
      <c r="Z106" s="15"/>
      <c r="AC106" s="93"/>
      <c r="AD106"/>
      <c r="AE106"/>
      <c r="AF106"/>
      <c r="AG106"/>
      <c r="AH106"/>
      <c r="AI106"/>
      <c r="AJ106"/>
      <c r="AK106"/>
      <c r="AL106"/>
      <c r="AM106"/>
      <c r="AN106"/>
      <c r="AO106" s="15"/>
      <c r="AR106" s="15"/>
      <c r="AS106" s="15"/>
      <c r="AV106" s="15"/>
      <c r="AW106" s="15"/>
      <c r="AZ106" s="15"/>
      <c r="BA106" s="15"/>
      <c r="BD106" s="15"/>
      <c r="BG106" s="15"/>
    </row>
    <row r="107" spans="1:60" s="3" customFormat="1" x14ac:dyDescent="0.3">
      <c r="B107" s="2"/>
      <c r="C107" s="2"/>
      <c r="D107" s="15"/>
      <c r="E107" s="2"/>
      <c r="F107" s="2"/>
      <c r="H107" s="15"/>
      <c r="J107"/>
      <c r="K107" s="15"/>
      <c r="L107" s="2"/>
      <c r="M107" s="2"/>
      <c r="N107" s="15"/>
      <c r="O107" s="2"/>
      <c r="P107" s="2"/>
      <c r="Q107" s="15"/>
      <c r="R107"/>
      <c r="S107" s="15"/>
      <c r="T107" s="15"/>
      <c r="U107" s="15"/>
      <c r="W107" s="15"/>
      <c r="Z107" s="15"/>
      <c r="AC107" s="93"/>
      <c r="AD107"/>
      <c r="AE107"/>
      <c r="AF107"/>
      <c r="AG107"/>
      <c r="AH107"/>
      <c r="AI107"/>
      <c r="AJ107"/>
      <c r="AK107"/>
      <c r="AL107"/>
      <c r="AM107"/>
      <c r="AN107"/>
      <c r="AO107" s="15"/>
      <c r="AR107" s="15"/>
      <c r="AS107" s="15"/>
      <c r="AV107" s="15"/>
      <c r="AW107" s="15"/>
      <c r="AZ107" s="15"/>
      <c r="BA107" s="15"/>
      <c r="BD107" s="15"/>
      <c r="BG107" s="15"/>
    </row>
    <row r="108" spans="1:60" s="3" customFormat="1" x14ac:dyDescent="0.3">
      <c r="B108" s="2"/>
      <c r="C108" s="2"/>
      <c r="D108" s="15"/>
      <c r="E108" s="2"/>
      <c r="F108" s="2"/>
      <c r="H108" s="15"/>
      <c r="J108"/>
      <c r="K108" s="15"/>
      <c r="L108" s="2"/>
      <c r="M108" s="2"/>
      <c r="N108" s="15"/>
      <c r="O108" s="2"/>
      <c r="P108" s="2"/>
      <c r="Q108" s="15"/>
      <c r="R108"/>
      <c r="S108" s="15"/>
      <c r="T108" s="15"/>
      <c r="U108" s="15"/>
      <c r="W108" s="15"/>
      <c r="Z108" s="15"/>
      <c r="AC108" s="93"/>
      <c r="AD108"/>
      <c r="AE108"/>
      <c r="AF108"/>
      <c r="AG108"/>
      <c r="AH108"/>
      <c r="AI108"/>
      <c r="AJ108"/>
      <c r="AK108"/>
      <c r="AL108"/>
      <c r="AM108"/>
      <c r="AN108"/>
      <c r="AO108" s="15"/>
      <c r="AR108" s="15"/>
      <c r="AS108" s="15"/>
      <c r="AV108" s="15"/>
      <c r="AW108" s="15"/>
      <c r="AZ108" s="15"/>
      <c r="BA108" s="15"/>
      <c r="BD108" s="15"/>
      <c r="BG108" s="15"/>
    </row>
    <row r="109" spans="1:60" s="3" customFormat="1" x14ac:dyDescent="0.3">
      <c r="B109" s="2"/>
      <c r="C109" s="2"/>
      <c r="D109" s="15"/>
      <c r="E109" s="2"/>
      <c r="F109" s="2"/>
      <c r="H109" s="15"/>
      <c r="J109"/>
      <c r="K109" s="15"/>
      <c r="L109" s="2"/>
      <c r="M109" s="2"/>
      <c r="N109" s="15"/>
      <c r="O109" s="2"/>
      <c r="P109" s="2"/>
      <c r="Q109" s="15"/>
      <c r="R109"/>
      <c r="S109" s="15"/>
      <c r="T109" s="15"/>
      <c r="U109" s="15"/>
      <c r="W109" s="15"/>
      <c r="Z109" s="15"/>
      <c r="AC109" s="93"/>
      <c r="AD109"/>
      <c r="AE109"/>
      <c r="AF109"/>
      <c r="AG109"/>
      <c r="AH109"/>
      <c r="AI109"/>
      <c r="AJ109"/>
      <c r="AK109"/>
      <c r="AL109"/>
      <c r="AM109"/>
      <c r="AN109"/>
      <c r="AO109" s="15"/>
      <c r="AR109" s="15"/>
      <c r="AS109" s="15"/>
      <c r="AV109" s="15"/>
      <c r="AW109" s="15"/>
      <c r="AZ109" s="15"/>
      <c r="BA109" s="15"/>
      <c r="BD109" s="15"/>
      <c r="BG109" s="15"/>
    </row>
    <row r="110" spans="1:60" s="3" customFormat="1" x14ac:dyDescent="0.3">
      <c r="B110" s="2"/>
      <c r="C110" s="2"/>
      <c r="D110" s="15"/>
      <c r="E110" s="2"/>
      <c r="F110" s="2"/>
      <c r="H110" s="15"/>
      <c r="J110"/>
      <c r="K110" s="15"/>
      <c r="L110" s="2"/>
      <c r="M110" s="2"/>
      <c r="N110" s="15"/>
      <c r="O110" s="2"/>
      <c r="P110" s="2"/>
      <c r="Q110" s="15"/>
      <c r="R110"/>
      <c r="S110" s="15"/>
      <c r="T110" s="15"/>
      <c r="U110" s="15"/>
      <c r="W110" s="15"/>
      <c r="Z110" s="15"/>
      <c r="AC110" s="93"/>
      <c r="AD110"/>
      <c r="AE110"/>
      <c r="AF110"/>
      <c r="AG110"/>
      <c r="AH110"/>
      <c r="AI110"/>
      <c r="AJ110"/>
      <c r="AK110"/>
      <c r="AL110"/>
      <c r="AM110"/>
      <c r="AN110"/>
      <c r="AO110" s="15"/>
      <c r="AR110" s="15"/>
      <c r="AS110" s="15"/>
      <c r="AV110" s="15"/>
      <c r="AW110" s="15"/>
      <c r="AZ110" s="15"/>
      <c r="BA110" s="15"/>
      <c r="BD110" s="15"/>
      <c r="BG110" s="15"/>
    </row>
    <row r="111" spans="1:60" s="3" customFormat="1" x14ac:dyDescent="0.3">
      <c r="B111" s="2"/>
      <c r="C111" s="2"/>
      <c r="D111" s="15"/>
      <c r="E111" s="2"/>
      <c r="F111" s="2"/>
      <c r="H111" s="15"/>
      <c r="J111"/>
      <c r="K111" s="15"/>
      <c r="L111" s="2"/>
      <c r="M111" s="2"/>
      <c r="N111" s="15"/>
      <c r="O111" s="2"/>
      <c r="P111" s="2"/>
      <c r="Q111" s="15"/>
      <c r="R111"/>
      <c r="S111" s="15"/>
      <c r="T111" s="15"/>
      <c r="U111" s="15"/>
      <c r="W111" s="15"/>
      <c r="Z111" s="15"/>
      <c r="AC111" s="93"/>
      <c r="AD111"/>
      <c r="AE111"/>
      <c r="AF111"/>
      <c r="AG111"/>
      <c r="AH111"/>
      <c r="AI111"/>
      <c r="AJ111"/>
      <c r="AK111"/>
      <c r="AL111"/>
      <c r="AM111"/>
      <c r="AN111"/>
      <c r="AO111" s="15"/>
      <c r="AR111" s="15"/>
      <c r="AS111" s="15"/>
      <c r="AV111" s="15"/>
      <c r="AW111" s="15"/>
      <c r="AZ111" s="15"/>
      <c r="BA111" s="15"/>
      <c r="BD111" s="15"/>
      <c r="BG111" s="15"/>
    </row>
    <row r="112" spans="1:60" s="3" customFormat="1" x14ac:dyDescent="0.3">
      <c r="A112"/>
      <c r="B112" s="2"/>
      <c r="C112" s="2"/>
      <c r="D112" s="15"/>
      <c r="E112" s="2"/>
      <c r="F112" s="2"/>
      <c r="H112" s="15"/>
      <c r="J112"/>
      <c r="K112" s="15"/>
      <c r="L112" s="2"/>
      <c r="M112" s="2"/>
      <c r="N112" s="15"/>
      <c r="O112" s="2"/>
      <c r="P112" s="2"/>
      <c r="Q112" s="15"/>
      <c r="R112"/>
      <c r="S112" s="15"/>
      <c r="T112" s="15"/>
      <c r="U112" s="15"/>
      <c r="W112" s="15"/>
      <c r="Z112" s="15"/>
      <c r="AC112" s="93"/>
      <c r="AD112"/>
      <c r="AE112"/>
      <c r="AF112"/>
      <c r="AG112"/>
      <c r="AH112"/>
      <c r="AI112"/>
      <c r="AJ112"/>
      <c r="AK112"/>
      <c r="AL112"/>
      <c r="AM112"/>
      <c r="AN112"/>
      <c r="AO112" s="15"/>
      <c r="AR112" s="15"/>
      <c r="AS112" s="15"/>
      <c r="AV112" s="15"/>
      <c r="AW112" s="15"/>
      <c r="AZ112" s="15"/>
      <c r="BA112" s="15"/>
      <c r="BD112" s="15"/>
      <c r="BG112" s="15"/>
    </row>
    <row r="113" spans="1:60" s="3" customFormat="1" x14ac:dyDescent="0.3">
      <c r="A113" s="11"/>
      <c r="B113" s="2"/>
      <c r="C113" s="2"/>
      <c r="D113" s="15"/>
      <c r="E113" s="2"/>
      <c r="F113" s="2"/>
      <c r="H113" s="15"/>
      <c r="J113" s="15"/>
      <c r="K113" s="15"/>
      <c r="L113" s="2"/>
      <c r="M113" s="2"/>
      <c r="N113" s="15"/>
      <c r="O113" s="2"/>
      <c r="P113" s="2"/>
      <c r="Q113" s="15"/>
      <c r="R113" s="15"/>
      <c r="S113"/>
      <c r="T113" s="15"/>
      <c r="U113" s="15"/>
      <c r="W113" s="15"/>
      <c r="Z113" s="15"/>
      <c r="AC113" s="93"/>
      <c r="AD113"/>
      <c r="AE113"/>
      <c r="AF113"/>
      <c r="AG113"/>
      <c r="AH113"/>
      <c r="AI113"/>
      <c r="AJ113"/>
      <c r="AK113"/>
      <c r="AL113"/>
      <c r="AM113"/>
      <c r="AN113"/>
      <c r="AO113" s="15"/>
      <c r="AR113" s="15"/>
      <c r="AS113" s="15"/>
      <c r="AV113" s="15"/>
      <c r="AW113" s="15"/>
      <c r="AZ113" s="15"/>
      <c r="BA113" s="15"/>
      <c r="BD113" s="15"/>
      <c r="BG113" s="15"/>
    </row>
    <row r="114" spans="1:60" s="3" customFormat="1" x14ac:dyDescent="0.3">
      <c r="A114" s="11"/>
      <c r="B114" s="2"/>
      <c r="C114" s="2"/>
      <c r="D114" s="15"/>
      <c r="E114" s="2"/>
      <c r="F114" s="2"/>
      <c r="H114" s="15"/>
      <c r="J114" s="15"/>
      <c r="K114" s="15"/>
      <c r="L114" s="2"/>
      <c r="M114" s="2"/>
      <c r="N114" s="15"/>
      <c r="O114" s="2"/>
      <c r="P114" s="2"/>
      <c r="Q114" s="15"/>
      <c r="R114" s="15"/>
      <c r="S114" s="15"/>
      <c r="T114" s="15"/>
      <c r="U114" s="15"/>
      <c r="W114" s="15"/>
      <c r="Z114" s="15"/>
      <c r="AC114" s="93"/>
      <c r="AD114"/>
      <c r="AE114"/>
      <c r="AF114"/>
      <c r="AG114"/>
      <c r="AH114"/>
      <c r="AI114"/>
      <c r="AJ114"/>
      <c r="AK114"/>
      <c r="AL114"/>
      <c r="AM114"/>
      <c r="AN114"/>
      <c r="AO114" s="15"/>
      <c r="AR114" s="15"/>
      <c r="AS114" s="15"/>
      <c r="AV114" s="15"/>
      <c r="AW114" s="15"/>
      <c r="AZ114" s="15"/>
      <c r="BA114" s="15"/>
      <c r="BD114" s="15"/>
      <c r="BG114" s="15"/>
    </row>
    <row r="115" spans="1:60" s="3" customFormat="1" x14ac:dyDescent="0.3">
      <c r="A115" s="11"/>
      <c r="B115" s="2"/>
      <c r="C115" s="2"/>
      <c r="D115" s="15"/>
      <c r="E115" s="2"/>
      <c r="F115" s="2"/>
      <c r="H115" s="15"/>
      <c r="J115" s="15"/>
      <c r="K115" s="15"/>
      <c r="L115" s="2"/>
      <c r="M115" s="2"/>
      <c r="N115" s="15"/>
      <c r="O115" s="2"/>
      <c r="P115" s="2"/>
      <c r="Q115" s="15"/>
      <c r="R115" s="15"/>
      <c r="S115" s="15"/>
      <c r="T115" s="15"/>
      <c r="U115" s="15"/>
      <c r="W115" s="15"/>
      <c r="Z115" s="15"/>
      <c r="AC115" s="93"/>
      <c r="AD115"/>
      <c r="AE115"/>
      <c r="AF115"/>
      <c r="AG115"/>
      <c r="AH115"/>
      <c r="AI115"/>
      <c r="AJ115"/>
      <c r="AK115"/>
      <c r="AL115"/>
      <c r="AM115"/>
      <c r="AN115"/>
      <c r="AO115" s="15"/>
      <c r="AR115" s="15"/>
      <c r="AS115" s="15"/>
      <c r="AV115" s="15"/>
      <c r="AW115" s="15"/>
      <c r="AZ115" s="15"/>
      <c r="BA115" s="15"/>
      <c r="BD115" s="15"/>
      <c r="BG115" s="15"/>
    </row>
    <row r="116" spans="1:60" s="3" customFormat="1" x14ac:dyDescent="0.3">
      <c r="A116" s="11"/>
      <c r="B116" s="2"/>
      <c r="C116" s="2"/>
      <c r="D116" s="15"/>
      <c r="E116" s="2"/>
      <c r="F116" s="2"/>
      <c r="H116" s="15"/>
      <c r="J116" s="15"/>
      <c r="K116" s="15"/>
      <c r="L116" s="2"/>
      <c r="M116" s="2"/>
      <c r="N116" s="15"/>
      <c r="O116" s="2"/>
      <c r="P116" s="2"/>
      <c r="Q116" s="15"/>
      <c r="R116" s="15"/>
      <c r="S116" s="15"/>
      <c r="T116" s="15"/>
      <c r="U116" s="15"/>
      <c r="W116" s="15"/>
      <c r="Z116" s="15"/>
      <c r="AC116" s="93"/>
      <c r="AD116"/>
      <c r="AE116"/>
      <c r="AF116"/>
      <c r="AG116"/>
      <c r="AH116"/>
      <c r="AI116"/>
      <c r="AJ116"/>
      <c r="AK116"/>
      <c r="AL116"/>
      <c r="AM116"/>
      <c r="AN116"/>
      <c r="AO116" s="15"/>
      <c r="AR116" s="15"/>
      <c r="AS116" s="15"/>
      <c r="AV116" s="15"/>
      <c r="AW116" s="15"/>
      <c r="AZ116" s="15"/>
      <c r="BA116" s="15"/>
      <c r="BD116" s="15"/>
      <c r="BG116" s="15"/>
    </row>
    <row r="117" spans="1:60" s="3" customFormat="1" x14ac:dyDescent="0.3">
      <c r="A117" s="11"/>
      <c r="B117" s="2"/>
      <c r="C117" s="2"/>
      <c r="D117" s="15"/>
      <c r="E117" s="2"/>
      <c r="F117" s="2"/>
      <c r="H117" s="15"/>
      <c r="J117" s="15"/>
      <c r="K117" s="15"/>
      <c r="L117" s="2"/>
      <c r="M117" s="2"/>
      <c r="N117" s="15"/>
      <c r="O117" s="2"/>
      <c r="P117" s="2"/>
      <c r="Q117" s="15"/>
      <c r="R117" s="15"/>
      <c r="S117" s="15"/>
      <c r="T117" s="15"/>
      <c r="U117" s="15"/>
      <c r="W117" s="15"/>
      <c r="Z117" s="15"/>
      <c r="AC117" s="93"/>
      <c r="AD117"/>
      <c r="AE117"/>
      <c r="AF117"/>
      <c r="AG117"/>
      <c r="AH117"/>
      <c r="AI117"/>
      <c r="AJ117"/>
      <c r="AK117"/>
      <c r="AL117"/>
      <c r="AM117"/>
      <c r="AN117"/>
      <c r="AO117" s="15"/>
      <c r="AR117" s="15"/>
      <c r="AS117" s="15"/>
      <c r="AV117" s="15"/>
      <c r="AW117" s="15"/>
      <c r="AZ117" s="15"/>
      <c r="BA117" s="15"/>
      <c r="BD117" s="15"/>
      <c r="BG117" s="15"/>
    </row>
    <row r="118" spans="1:60" s="3" customFormat="1" x14ac:dyDescent="0.3">
      <c r="A118" s="11"/>
      <c r="B118" s="2"/>
      <c r="C118" s="2"/>
      <c r="D118" s="15"/>
      <c r="E118" s="2"/>
      <c r="F118" s="2"/>
      <c r="H118" s="15"/>
      <c r="J118" s="15"/>
      <c r="K118" s="15"/>
      <c r="L118" s="2"/>
      <c r="M118" s="2"/>
      <c r="N118" s="15"/>
      <c r="O118" s="2"/>
      <c r="P118" s="2"/>
      <c r="Q118" s="15"/>
      <c r="R118" s="15"/>
      <c r="S118" s="15"/>
      <c r="T118" s="15"/>
      <c r="U118" s="15"/>
      <c r="W118" s="15"/>
      <c r="Z118" s="15"/>
      <c r="AC118" s="93"/>
      <c r="AD118"/>
      <c r="AE118"/>
      <c r="AF118"/>
      <c r="AG118"/>
      <c r="AH118"/>
      <c r="AI118"/>
      <c r="AJ118"/>
      <c r="AK118"/>
      <c r="AL118"/>
      <c r="AM118"/>
      <c r="AN118"/>
      <c r="AO118" s="15"/>
      <c r="AR118" s="15"/>
      <c r="AS118" s="15"/>
      <c r="AV118" s="15"/>
      <c r="AW118" s="15"/>
      <c r="AZ118" s="15"/>
      <c r="BA118" s="15"/>
      <c r="BD118" s="15"/>
      <c r="BG118" s="15"/>
    </row>
    <row r="119" spans="1:60" s="3" customFormat="1" x14ac:dyDescent="0.3">
      <c r="A119" s="11"/>
      <c r="B119" s="2"/>
      <c r="C119" s="2"/>
      <c r="D119" s="15"/>
      <c r="E119" s="2"/>
      <c r="F119" s="2"/>
      <c r="H119" s="15"/>
      <c r="J119" s="15"/>
      <c r="K119" s="15"/>
      <c r="L119" s="2"/>
      <c r="M119" s="2"/>
      <c r="N119" s="15"/>
      <c r="O119" s="2"/>
      <c r="P119" s="2"/>
      <c r="Q119" s="15"/>
      <c r="R119" s="15"/>
      <c r="S119" s="15"/>
      <c r="T119" s="15"/>
      <c r="U119" s="15"/>
      <c r="W119" s="15"/>
      <c r="Z119" s="15"/>
      <c r="AC119" s="93"/>
      <c r="AD119"/>
      <c r="AE119"/>
      <c r="AF119"/>
      <c r="AG119"/>
      <c r="AH119"/>
      <c r="AI119"/>
      <c r="AJ119"/>
      <c r="AK119"/>
      <c r="AL119"/>
      <c r="AM119"/>
      <c r="AN119"/>
      <c r="AO119" s="15"/>
      <c r="AR119" s="15"/>
      <c r="AS119" s="15"/>
      <c r="AV119" s="15"/>
      <c r="AW119" s="15"/>
      <c r="AZ119" s="15"/>
      <c r="BA119" s="15"/>
      <c r="BD119" s="15"/>
      <c r="BG119" s="15"/>
    </row>
    <row r="120" spans="1:60" s="3" customFormat="1" x14ac:dyDescent="0.3">
      <c r="A120" s="11"/>
      <c r="B120" s="2"/>
      <c r="C120" s="2"/>
      <c r="D120" s="15"/>
      <c r="E120" s="2"/>
      <c r="F120" s="2"/>
      <c r="H120" s="15"/>
      <c r="J120" s="15"/>
      <c r="K120" s="15"/>
      <c r="L120" s="2"/>
      <c r="M120" s="2"/>
      <c r="N120" s="15"/>
      <c r="O120" s="2"/>
      <c r="P120" s="2"/>
      <c r="Q120" s="15"/>
      <c r="R120" s="15"/>
      <c r="S120" s="15"/>
      <c r="T120" s="15"/>
      <c r="U120" s="15"/>
      <c r="W120" s="15"/>
      <c r="Z120" s="15"/>
      <c r="AC120" s="93"/>
      <c r="AD120"/>
      <c r="AE120"/>
      <c r="AF120"/>
      <c r="AG120"/>
      <c r="AH120"/>
      <c r="AI120"/>
      <c r="AJ120"/>
      <c r="AK120"/>
      <c r="AL120"/>
      <c r="AM120"/>
      <c r="AN120"/>
      <c r="AO120" s="15"/>
      <c r="AR120" s="15"/>
      <c r="AS120" s="15"/>
      <c r="AV120" s="15"/>
      <c r="AW120" s="15"/>
      <c r="AZ120" s="15"/>
      <c r="BA120" s="15"/>
      <c r="BD120" s="15"/>
      <c r="BG120" s="15"/>
    </row>
    <row r="121" spans="1:60" s="3" customFormat="1" x14ac:dyDescent="0.3">
      <c r="A121" s="11"/>
      <c r="B121" s="15"/>
      <c r="C121" s="2"/>
      <c r="D121" s="2"/>
      <c r="E121" s="15"/>
      <c r="F121" s="15"/>
      <c r="G121" s="2"/>
      <c r="I121" s="15"/>
      <c r="J121" s="15"/>
      <c r="K121" s="2"/>
      <c r="L121" s="15"/>
      <c r="M121" s="2"/>
      <c r="N121" s="2"/>
      <c r="O121" s="15"/>
      <c r="P121" s="2"/>
      <c r="Q121" s="2"/>
      <c r="R121" s="15"/>
      <c r="S121" s="15"/>
      <c r="T121" s="15"/>
      <c r="U121" s="15"/>
      <c r="X121" s="15"/>
      <c r="AA121" s="15"/>
      <c r="AC121" s="93"/>
      <c r="AD121"/>
      <c r="AE121"/>
      <c r="AF121"/>
      <c r="AG121"/>
      <c r="AH121"/>
      <c r="AI121"/>
      <c r="AJ121"/>
      <c r="AK121"/>
      <c r="AL121"/>
      <c r="AM121"/>
      <c r="AN121"/>
      <c r="AP121" s="15"/>
      <c r="AT121" s="15"/>
      <c r="AX121" s="15"/>
      <c r="BB121" s="15"/>
      <c r="BE121" s="15"/>
      <c r="BH121" s="15"/>
    </row>
    <row r="122" spans="1:60" s="3" customFormat="1" x14ac:dyDescent="0.3">
      <c r="A122" s="11"/>
      <c r="B122" s="15"/>
      <c r="C122" s="2"/>
      <c r="D122" s="2"/>
      <c r="E122" s="15"/>
      <c r="F122" s="15"/>
      <c r="G122" s="2"/>
      <c r="I122" s="15"/>
      <c r="J122" s="15"/>
      <c r="K122" s="2"/>
      <c r="L122" s="15"/>
      <c r="M122" s="2"/>
      <c r="N122" s="2"/>
      <c r="O122" s="15"/>
      <c r="P122" s="2"/>
      <c r="Q122" s="2"/>
      <c r="R122" s="15"/>
      <c r="S122" s="15"/>
      <c r="T122" s="15"/>
      <c r="U122" s="15"/>
      <c r="X122" s="15"/>
      <c r="AA122" s="15"/>
      <c r="AC122" s="93"/>
      <c r="AD122"/>
      <c r="AE122"/>
      <c r="AF122"/>
      <c r="AG122"/>
      <c r="AH122"/>
      <c r="AI122"/>
      <c r="AJ122"/>
      <c r="AK122"/>
      <c r="AL122"/>
      <c r="AM122"/>
      <c r="AN122"/>
      <c r="AP122" s="15"/>
      <c r="AT122" s="15"/>
      <c r="AX122" s="15"/>
      <c r="BB122" s="15"/>
      <c r="BE122" s="15"/>
      <c r="BH122" s="15"/>
    </row>
    <row r="123" spans="1:60" s="3" customFormat="1" x14ac:dyDescent="0.3">
      <c r="A123" s="11"/>
      <c r="B123" s="15"/>
      <c r="C123" s="2"/>
      <c r="D123" s="2"/>
      <c r="E123" s="15"/>
      <c r="F123" s="15"/>
      <c r="G123" s="2"/>
      <c r="I123" s="15"/>
      <c r="J123" s="15"/>
      <c r="K123" s="2"/>
      <c r="L123" s="15"/>
      <c r="M123" s="2"/>
      <c r="N123" s="2"/>
      <c r="O123" s="15"/>
      <c r="P123" s="2"/>
      <c r="Q123" s="2"/>
      <c r="R123" s="15"/>
      <c r="S123" s="15"/>
      <c r="T123" s="15"/>
      <c r="U123" s="15"/>
      <c r="X123" s="15"/>
      <c r="AA123" s="15"/>
      <c r="AC123" s="93"/>
      <c r="AD123"/>
      <c r="AE123"/>
      <c r="AF123"/>
      <c r="AG123"/>
      <c r="AH123"/>
      <c r="AI123"/>
      <c r="AJ123"/>
      <c r="AK123"/>
      <c r="AL123"/>
      <c r="AM123"/>
      <c r="AN123"/>
      <c r="AP123" s="15"/>
      <c r="AT123" s="15"/>
      <c r="AX123" s="15"/>
      <c r="BB123" s="15"/>
      <c r="BE123" s="15"/>
      <c r="BH123" s="15"/>
    </row>
    <row r="124" spans="1:60" s="3" customFormat="1" x14ac:dyDescent="0.3">
      <c r="A124" s="11"/>
      <c r="B124" s="15"/>
      <c r="C124" s="2"/>
      <c r="D124" s="2"/>
      <c r="E124" s="15"/>
      <c r="F124" s="15"/>
      <c r="G124" s="2"/>
      <c r="I124" s="15"/>
      <c r="J124" s="15"/>
      <c r="K124" s="2"/>
      <c r="L124" s="15"/>
      <c r="M124" s="2"/>
      <c r="N124" s="2"/>
      <c r="O124" s="15"/>
      <c r="P124" s="2"/>
      <c r="Q124" s="2"/>
      <c r="R124" s="15"/>
      <c r="S124" s="15"/>
      <c r="T124" s="15"/>
      <c r="U124" s="15"/>
      <c r="X124" s="15"/>
      <c r="AA124" s="15"/>
      <c r="AC124" s="93"/>
      <c r="AD124"/>
      <c r="AE124"/>
      <c r="AF124"/>
      <c r="AG124"/>
      <c r="AH124"/>
      <c r="AI124"/>
      <c r="AJ124"/>
      <c r="AK124"/>
      <c r="AL124"/>
      <c r="AM124"/>
      <c r="AN124"/>
      <c r="AP124" s="15"/>
      <c r="AT124" s="15"/>
      <c r="AX124" s="15"/>
      <c r="BB124" s="15"/>
      <c r="BE124" s="15"/>
      <c r="BH124" s="15"/>
    </row>
    <row r="125" spans="1:60" s="3" customFormat="1" x14ac:dyDescent="0.3">
      <c r="A125" s="11"/>
      <c r="B125" s="15"/>
      <c r="C125" s="2"/>
      <c r="D125" s="2"/>
      <c r="E125" s="15"/>
      <c r="F125" s="15"/>
      <c r="G125" s="2"/>
      <c r="I125" s="15"/>
      <c r="J125" s="15"/>
      <c r="K125" s="2"/>
      <c r="L125" s="15"/>
      <c r="M125" s="2"/>
      <c r="N125" s="2"/>
      <c r="O125" s="15"/>
      <c r="P125" s="2"/>
      <c r="Q125" s="2"/>
      <c r="R125" s="15"/>
      <c r="S125" s="15"/>
      <c r="T125" s="15"/>
      <c r="U125" s="15"/>
      <c r="X125" s="15"/>
      <c r="AA125" s="15"/>
      <c r="AC125" s="93"/>
      <c r="AD125"/>
      <c r="AE125"/>
      <c r="AF125"/>
      <c r="AG125"/>
      <c r="AH125"/>
      <c r="AI125"/>
      <c r="AJ125"/>
      <c r="AK125"/>
      <c r="AL125"/>
      <c r="AM125"/>
      <c r="AN125"/>
      <c r="AP125" s="15"/>
      <c r="AT125" s="15"/>
      <c r="AX125" s="15"/>
      <c r="BB125" s="15"/>
      <c r="BE125" s="15"/>
      <c r="BH125" s="15"/>
    </row>
    <row r="126" spans="1:60" s="3" customFormat="1" x14ac:dyDescent="0.3">
      <c r="A126" s="11"/>
      <c r="B126" s="15"/>
      <c r="E126" s="15"/>
      <c r="F126" s="15"/>
      <c r="I126" s="15"/>
      <c r="J126" s="15"/>
      <c r="L126" s="15"/>
      <c r="O126" s="15"/>
      <c r="R126" s="15"/>
      <c r="S126" s="15"/>
      <c r="T126" s="15"/>
      <c r="U126" s="15"/>
      <c r="X126" s="15"/>
      <c r="AA126" s="15"/>
      <c r="AC126" s="93"/>
      <c r="AD126"/>
      <c r="AE126"/>
      <c r="AF126"/>
      <c r="AG126"/>
      <c r="AH126"/>
      <c r="AI126"/>
      <c r="AJ126"/>
      <c r="AK126"/>
      <c r="AL126"/>
      <c r="AM126"/>
      <c r="AN126"/>
      <c r="AP126" s="15"/>
      <c r="AT126" s="15"/>
      <c r="AX126" s="15"/>
      <c r="BB126" s="15"/>
      <c r="BE126" s="15"/>
      <c r="BH126" s="15"/>
    </row>
    <row r="127" spans="1:60" s="3" customFormat="1" x14ac:dyDescent="0.3">
      <c r="A127" s="11"/>
      <c r="B127" s="15"/>
      <c r="E127" s="15"/>
      <c r="F127" s="15"/>
      <c r="I127" s="15"/>
      <c r="J127" s="15"/>
      <c r="L127" s="15"/>
      <c r="O127" s="15"/>
      <c r="R127" s="15"/>
      <c r="S127" s="15"/>
      <c r="T127" s="15"/>
      <c r="U127" s="15"/>
      <c r="X127" s="15"/>
      <c r="AA127" s="15"/>
      <c r="AC127" s="93"/>
      <c r="AD127"/>
      <c r="AE127"/>
      <c r="AF127"/>
      <c r="AG127"/>
      <c r="AH127"/>
      <c r="AI127"/>
      <c r="AJ127"/>
      <c r="AK127"/>
      <c r="AL127"/>
      <c r="AM127"/>
      <c r="AN127"/>
      <c r="AP127" s="15"/>
      <c r="AT127" s="15"/>
      <c r="AX127" s="15"/>
      <c r="BB127" s="15"/>
      <c r="BE127" s="15"/>
      <c r="BH127" s="15"/>
    </row>
    <row r="128" spans="1:60" s="3" customFormat="1" x14ac:dyDescent="0.3">
      <c r="A128" s="11"/>
      <c r="B128" s="15"/>
      <c r="E128" s="15"/>
      <c r="F128" s="15"/>
      <c r="I128" s="15"/>
      <c r="J128" s="15"/>
      <c r="L128" s="15"/>
      <c r="O128" s="15"/>
      <c r="R128" s="15"/>
      <c r="S128" s="15"/>
      <c r="T128" s="15"/>
      <c r="U128" s="15"/>
      <c r="X128" s="15"/>
      <c r="AA128" s="15"/>
      <c r="AC128" s="93"/>
      <c r="AD128"/>
      <c r="AE128"/>
      <c r="AF128"/>
      <c r="AG128"/>
      <c r="AH128"/>
      <c r="AI128"/>
      <c r="AJ128"/>
      <c r="AK128"/>
      <c r="AL128"/>
      <c r="AM128"/>
      <c r="AN128"/>
      <c r="AP128" s="15"/>
      <c r="AT128" s="15"/>
      <c r="AX128" s="15"/>
      <c r="BB128" s="15"/>
      <c r="BE128" s="15"/>
      <c r="BH128" s="15"/>
    </row>
    <row r="129" spans="1:60" s="3" customFormat="1" x14ac:dyDescent="0.3">
      <c r="A129" s="11"/>
      <c r="B129" s="15"/>
      <c r="E129" s="15"/>
      <c r="F129" s="15"/>
      <c r="I129" s="15"/>
      <c r="J129" s="15"/>
      <c r="L129" s="15"/>
      <c r="O129" s="15"/>
      <c r="R129" s="15"/>
      <c r="S129" s="15"/>
      <c r="T129" s="15"/>
      <c r="U129" s="15"/>
      <c r="X129" s="15"/>
      <c r="AA129" s="15"/>
      <c r="AC129" s="93"/>
      <c r="AD129"/>
      <c r="AE129"/>
      <c r="AF129"/>
      <c r="AG129"/>
      <c r="AH129"/>
      <c r="AI129"/>
      <c r="AJ129"/>
      <c r="AK129"/>
      <c r="AL129"/>
      <c r="AM129"/>
      <c r="AN129"/>
      <c r="AP129" s="15"/>
      <c r="AT129" s="15"/>
      <c r="AX129" s="15"/>
      <c r="BB129" s="15"/>
      <c r="BE129" s="15"/>
      <c r="BH129" s="15"/>
    </row>
    <row r="130" spans="1:60" s="3" customFormat="1" x14ac:dyDescent="0.3">
      <c r="A130" s="11"/>
      <c r="B130" s="15"/>
      <c r="E130" s="15"/>
      <c r="F130" s="15"/>
      <c r="I130" s="15"/>
      <c r="J130" s="15"/>
      <c r="L130" s="15"/>
      <c r="O130" s="15"/>
      <c r="R130" s="15"/>
      <c r="S130" s="15"/>
      <c r="T130" s="15"/>
      <c r="U130" s="15"/>
      <c r="X130" s="15"/>
      <c r="AA130" s="15"/>
      <c r="AC130" s="93"/>
      <c r="AD130"/>
      <c r="AE130"/>
      <c r="AF130"/>
      <c r="AG130"/>
      <c r="AH130"/>
      <c r="AI130"/>
      <c r="AJ130"/>
      <c r="AK130"/>
      <c r="AL130"/>
      <c r="AM130"/>
      <c r="AN130"/>
      <c r="AP130" s="15"/>
      <c r="AT130" s="15"/>
      <c r="AX130" s="15"/>
      <c r="BB130" s="15"/>
      <c r="BE130" s="15"/>
      <c r="BH130" s="15"/>
    </row>
    <row r="131" spans="1:60" s="3" customFormat="1" x14ac:dyDescent="0.3">
      <c r="A131" s="11"/>
      <c r="B131" s="15"/>
      <c r="E131" s="15"/>
      <c r="F131" s="15"/>
      <c r="I131" s="15"/>
      <c r="J131" s="15"/>
      <c r="L131" s="15"/>
      <c r="O131" s="15"/>
      <c r="R131" s="15"/>
      <c r="S131" s="15"/>
      <c r="T131" s="15"/>
      <c r="U131" s="15"/>
      <c r="X131" s="15"/>
      <c r="AA131" s="15"/>
      <c r="AC131" s="93"/>
      <c r="AD131"/>
      <c r="AE131"/>
      <c r="AF131"/>
      <c r="AG131"/>
      <c r="AH131"/>
      <c r="AI131"/>
      <c r="AJ131"/>
      <c r="AK131"/>
      <c r="AL131"/>
      <c r="AM131"/>
      <c r="AN131"/>
      <c r="AP131" s="15"/>
      <c r="AT131" s="15"/>
      <c r="AX131" s="15"/>
      <c r="BB131" s="15"/>
      <c r="BE131" s="15"/>
      <c r="BH131" s="15"/>
    </row>
    <row r="132" spans="1:60" s="3" customFormat="1" x14ac:dyDescent="0.3">
      <c r="A132" s="11"/>
      <c r="B132" s="15"/>
      <c r="E132" s="15"/>
      <c r="F132" s="15"/>
      <c r="I132" s="15"/>
      <c r="J132" s="15"/>
      <c r="L132" s="15"/>
      <c r="O132" s="15"/>
      <c r="R132" s="15"/>
      <c r="S132" s="15"/>
      <c r="T132" s="15"/>
      <c r="U132" s="15"/>
      <c r="X132" s="15"/>
      <c r="AA132" s="15"/>
      <c r="AC132" s="93"/>
      <c r="AD132"/>
      <c r="AE132"/>
      <c r="AF132"/>
      <c r="AG132"/>
      <c r="AH132"/>
      <c r="AI132"/>
      <c r="AJ132"/>
      <c r="AK132"/>
      <c r="AL132"/>
      <c r="AM132"/>
      <c r="AN132"/>
      <c r="AP132" s="15"/>
      <c r="AT132" s="15"/>
      <c r="AX132" s="15"/>
      <c r="BB132" s="15"/>
      <c r="BE132" s="15"/>
      <c r="BH132" s="15"/>
    </row>
    <row r="133" spans="1:60" s="3" customFormat="1" x14ac:dyDescent="0.3">
      <c r="A133" s="11"/>
      <c r="B133" s="15"/>
      <c r="E133" s="15"/>
      <c r="F133" s="15"/>
      <c r="I133" s="15"/>
      <c r="J133" s="15"/>
      <c r="L133" s="15"/>
      <c r="O133" s="15"/>
      <c r="R133" s="15"/>
      <c r="S133" s="15"/>
      <c r="T133" s="15"/>
      <c r="U133" s="15"/>
      <c r="X133" s="15"/>
      <c r="AA133" s="15"/>
      <c r="AC133" s="93"/>
      <c r="AD133"/>
      <c r="AE133"/>
      <c r="AF133"/>
      <c r="AG133"/>
      <c r="AH133"/>
      <c r="AI133"/>
      <c r="AJ133"/>
      <c r="AK133"/>
      <c r="AL133"/>
      <c r="AM133"/>
      <c r="AN133"/>
      <c r="AP133" s="15"/>
      <c r="AT133" s="15"/>
      <c r="AX133" s="15"/>
      <c r="BB133" s="15"/>
      <c r="BE133" s="15"/>
      <c r="BH133" s="15"/>
    </row>
    <row r="134" spans="1:60" s="3" customFormat="1" x14ac:dyDescent="0.3">
      <c r="A134" s="11"/>
      <c r="B134" s="15"/>
      <c r="E134" s="15"/>
      <c r="F134" s="15"/>
      <c r="I134" s="15"/>
      <c r="J134" s="15"/>
      <c r="L134" s="15"/>
      <c r="O134" s="15"/>
      <c r="R134" s="15"/>
      <c r="S134" s="15"/>
      <c r="T134" s="15"/>
      <c r="U134" s="15"/>
      <c r="X134" s="15"/>
      <c r="AA134" s="15"/>
      <c r="AC134" s="93"/>
      <c r="AD134"/>
      <c r="AE134"/>
      <c r="AF134"/>
      <c r="AG134"/>
      <c r="AH134"/>
      <c r="AI134"/>
      <c r="AJ134"/>
      <c r="AK134"/>
      <c r="AL134"/>
      <c r="AM134"/>
      <c r="AN134"/>
      <c r="AP134" s="15"/>
      <c r="AT134" s="15"/>
      <c r="AX134" s="15"/>
      <c r="BB134" s="15"/>
      <c r="BE134" s="15"/>
      <c r="BH134" s="15"/>
    </row>
    <row r="135" spans="1:60" s="3" customFormat="1" x14ac:dyDescent="0.3">
      <c r="A135" s="11"/>
      <c r="B135" s="15"/>
      <c r="E135" s="15"/>
      <c r="F135" s="15"/>
      <c r="I135" s="15"/>
      <c r="J135" s="15"/>
      <c r="L135" s="15"/>
      <c r="O135" s="15"/>
      <c r="R135" s="15"/>
      <c r="S135" s="15"/>
      <c r="T135" s="15"/>
      <c r="U135" s="15"/>
      <c r="X135" s="15"/>
      <c r="AA135" s="15"/>
      <c r="AC135" s="93"/>
      <c r="AD135"/>
      <c r="AE135"/>
      <c r="AF135"/>
      <c r="AG135"/>
      <c r="AH135"/>
      <c r="AI135"/>
      <c r="AJ135"/>
      <c r="AK135"/>
      <c r="AL135"/>
      <c r="AM135"/>
      <c r="AN135"/>
      <c r="AP135" s="15"/>
      <c r="AT135" s="15"/>
      <c r="AX135" s="15"/>
      <c r="BB135" s="15"/>
      <c r="BE135" s="15"/>
      <c r="BH135" s="15"/>
    </row>
    <row r="136" spans="1:60" s="3" customFormat="1" x14ac:dyDescent="0.3">
      <c r="A136" s="11"/>
      <c r="B136" s="15"/>
      <c r="C136" s="2"/>
      <c r="D136" s="2"/>
      <c r="E136" s="15"/>
      <c r="F136" s="15"/>
      <c r="G136" s="2"/>
      <c r="I136" s="15"/>
      <c r="J136" s="15"/>
      <c r="K136" s="2"/>
      <c r="L136" s="15"/>
      <c r="M136" s="2"/>
      <c r="N136" s="2"/>
      <c r="O136" s="15"/>
      <c r="P136" s="2"/>
      <c r="Q136" s="2"/>
      <c r="R136" s="15"/>
      <c r="S136" s="15"/>
      <c r="T136" s="15"/>
      <c r="U136" s="15"/>
      <c r="X136" s="15"/>
      <c r="AA136" s="15"/>
      <c r="AC136" s="93"/>
      <c r="AD136"/>
      <c r="AE136"/>
      <c r="AF136"/>
      <c r="AG136"/>
      <c r="AH136"/>
      <c r="AI136"/>
      <c r="AJ136"/>
      <c r="AK136"/>
      <c r="AL136"/>
      <c r="AM136"/>
      <c r="AN136"/>
      <c r="AP136" s="15"/>
      <c r="AT136" s="15"/>
      <c r="AX136" s="15"/>
      <c r="BB136" s="15"/>
      <c r="BE136" s="15"/>
      <c r="BH136" s="15"/>
    </row>
    <row r="137" spans="1:60" s="3" customFormat="1" x14ac:dyDescent="0.3">
      <c r="A137" s="11"/>
      <c r="B137" s="15"/>
      <c r="C137" s="2"/>
      <c r="D137" s="2"/>
      <c r="E137" s="15"/>
      <c r="F137" s="15"/>
      <c r="G137" s="2"/>
      <c r="I137" s="15"/>
      <c r="J137" s="15"/>
      <c r="K137" s="2"/>
      <c r="L137" s="15"/>
      <c r="M137" s="2"/>
      <c r="N137" s="2"/>
      <c r="O137" s="15"/>
      <c r="P137" s="2"/>
      <c r="Q137" s="2"/>
      <c r="R137" s="15"/>
      <c r="S137" s="15"/>
      <c r="T137" s="15"/>
      <c r="U137" s="15"/>
      <c r="X137" s="15"/>
      <c r="AA137" s="15"/>
      <c r="AC137" s="93"/>
      <c r="AD137"/>
      <c r="AE137"/>
      <c r="AF137"/>
      <c r="AG137"/>
      <c r="AH137"/>
      <c r="AI137"/>
      <c r="AJ137"/>
      <c r="AK137"/>
      <c r="AL137"/>
      <c r="AM137"/>
      <c r="AN137"/>
      <c r="AP137" s="15"/>
      <c r="AT137" s="15"/>
      <c r="AX137" s="15"/>
      <c r="BB137" s="15"/>
      <c r="BE137" s="15"/>
      <c r="BH137" s="15"/>
    </row>
    <row r="138" spans="1:60" s="3" customFormat="1" x14ac:dyDescent="0.3">
      <c r="A138" s="11"/>
      <c r="B138" s="15"/>
      <c r="C138" s="2"/>
      <c r="D138" s="2"/>
      <c r="E138" s="15"/>
      <c r="F138" s="15"/>
      <c r="G138" s="2"/>
      <c r="I138" s="15"/>
      <c r="J138" s="15"/>
      <c r="K138" s="2"/>
      <c r="L138" s="15"/>
      <c r="M138" s="2"/>
      <c r="N138" s="2"/>
      <c r="O138" s="15"/>
      <c r="P138" s="2"/>
      <c r="Q138" s="2"/>
      <c r="R138" s="15"/>
      <c r="S138" s="15"/>
      <c r="T138" s="15"/>
      <c r="U138" s="15"/>
      <c r="X138" s="15"/>
      <c r="AA138" s="15"/>
      <c r="AC138" s="93"/>
      <c r="AD138"/>
      <c r="AE138"/>
      <c r="AF138"/>
      <c r="AG138"/>
      <c r="AH138"/>
      <c r="AI138"/>
      <c r="AJ138"/>
      <c r="AK138"/>
      <c r="AL138"/>
      <c r="AM138"/>
      <c r="AN138"/>
      <c r="AP138" s="15"/>
      <c r="AT138" s="15"/>
      <c r="AX138" s="15"/>
      <c r="BB138" s="15"/>
      <c r="BE138" s="15"/>
      <c r="BH138" s="15"/>
    </row>
    <row r="139" spans="1:60" s="3" customFormat="1" x14ac:dyDescent="0.3">
      <c r="A139" s="11"/>
      <c r="B139" s="15"/>
      <c r="C139" s="2"/>
      <c r="D139" s="2"/>
      <c r="E139" s="15"/>
      <c r="F139" s="15"/>
      <c r="G139" s="2"/>
      <c r="I139" s="15"/>
      <c r="J139" s="15"/>
      <c r="K139" s="2"/>
      <c r="L139" s="15"/>
      <c r="M139" s="2"/>
      <c r="N139" s="2"/>
      <c r="O139" s="15"/>
      <c r="P139" s="2"/>
      <c r="Q139" s="2"/>
      <c r="R139" s="15"/>
      <c r="S139" s="15"/>
      <c r="T139" s="15"/>
      <c r="U139" s="15"/>
      <c r="X139" s="15"/>
      <c r="AA139" s="15"/>
      <c r="AC139" s="93"/>
      <c r="AD139"/>
      <c r="AE139"/>
      <c r="AF139"/>
      <c r="AG139"/>
      <c r="AH139"/>
      <c r="AI139"/>
      <c r="AJ139"/>
      <c r="AK139"/>
      <c r="AL139"/>
      <c r="AM139"/>
      <c r="AN139"/>
      <c r="AP139" s="15"/>
      <c r="AT139" s="15"/>
      <c r="AX139" s="15"/>
      <c r="BB139" s="15"/>
      <c r="BE139" s="15"/>
      <c r="BH139" s="15"/>
    </row>
    <row r="140" spans="1:60" s="3" customFormat="1" x14ac:dyDescent="0.3">
      <c r="A140" s="11"/>
      <c r="B140" s="15"/>
      <c r="C140" s="2"/>
      <c r="D140" s="2"/>
      <c r="E140" s="15"/>
      <c r="F140" s="15"/>
      <c r="G140" s="2"/>
      <c r="I140" s="15"/>
      <c r="J140" s="15"/>
      <c r="K140" s="2"/>
      <c r="L140" s="15"/>
      <c r="M140" s="2"/>
      <c r="N140" s="2"/>
      <c r="O140" s="15"/>
      <c r="P140" s="2"/>
      <c r="Q140" s="2"/>
      <c r="R140" s="15"/>
      <c r="S140" s="15"/>
      <c r="T140" s="15"/>
      <c r="U140" s="15"/>
      <c r="X140" s="15"/>
      <c r="AA140" s="15"/>
      <c r="AC140" s="93"/>
      <c r="AD140"/>
      <c r="AE140"/>
      <c r="AF140"/>
      <c r="AG140"/>
      <c r="AH140"/>
      <c r="AI140"/>
      <c r="AJ140"/>
      <c r="AK140"/>
      <c r="AL140"/>
      <c r="AM140"/>
      <c r="AN140"/>
      <c r="AP140" s="15"/>
      <c r="AT140" s="15"/>
      <c r="AX140" s="15"/>
      <c r="BB140" s="15"/>
      <c r="BE140" s="15"/>
      <c r="BH140" s="15"/>
    </row>
    <row r="141" spans="1:60" s="3" customFormat="1" x14ac:dyDescent="0.3">
      <c r="A141" s="11"/>
      <c r="B141" s="15"/>
      <c r="C141" s="2"/>
      <c r="D141" s="2"/>
      <c r="E141" s="15"/>
      <c r="F141" s="15"/>
      <c r="G141" s="2"/>
      <c r="I141" s="15"/>
      <c r="J141" s="15"/>
      <c r="K141" s="2"/>
      <c r="L141" s="15"/>
      <c r="M141" s="2"/>
      <c r="N141" s="2"/>
      <c r="O141" s="15"/>
      <c r="P141" s="2"/>
      <c r="Q141" s="2"/>
      <c r="R141" s="15"/>
      <c r="S141" s="15"/>
      <c r="T141" s="15"/>
      <c r="U141" s="15"/>
      <c r="X141" s="15"/>
      <c r="AA141" s="15"/>
      <c r="AC141" s="93"/>
      <c r="AD141"/>
      <c r="AE141"/>
      <c r="AF141"/>
      <c r="AG141"/>
      <c r="AH141"/>
      <c r="AI141"/>
      <c r="AJ141"/>
      <c r="AK141"/>
      <c r="AL141"/>
      <c r="AM141"/>
      <c r="AN141"/>
      <c r="AP141" s="15"/>
      <c r="AT141" s="15"/>
      <c r="AX141" s="15"/>
      <c r="BB141" s="15"/>
      <c r="BE141" s="15"/>
      <c r="BH141" s="15"/>
    </row>
    <row r="142" spans="1:60" s="3" customFormat="1" x14ac:dyDescent="0.3">
      <c r="A142" s="11"/>
      <c r="B142" s="15"/>
      <c r="C142" s="2"/>
      <c r="D142" s="2"/>
      <c r="E142" s="15"/>
      <c r="F142" s="15"/>
      <c r="G142" s="2"/>
      <c r="I142" s="15"/>
      <c r="J142" s="15"/>
      <c r="K142" s="2"/>
      <c r="L142" s="15"/>
      <c r="M142" s="2"/>
      <c r="N142" s="2"/>
      <c r="O142" s="15"/>
      <c r="P142" s="2"/>
      <c r="Q142" s="2"/>
      <c r="R142" s="15"/>
      <c r="S142" s="15"/>
      <c r="T142" s="15"/>
      <c r="U142" s="15"/>
      <c r="X142" s="15"/>
      <c r="AA142" s="15"/>
      <c r="AC142" s="93"/>
      <c r="AD142"/>
      <c r="AE142"/>
      <c r="AF142"/>
      <c r="AG142"/>
      <c r="AH142"/>
      <c r="AI142"/>
      <c r="AJ142"/>
      <c r="AK142"/>
      <c r="AL142"/>
      <c r="AM142"/>
      <c r="AN142"/>
      <c r="AP142" s="15"/>
      <c r="AT142" s="15"/>
      <c r="AX142" s="15"/>
      <c r="BB142" s="15"/>
      <c r="BE142" s="15"/>
      <c r="BH142" s="15"/>
    </row>
    <row r="143" spans="1:60" s="3" customFormat="1" x14ac:dyDescent="0.3">
      <c r="A143" s="11"/>
      <c r="B143" s="15"/>
      <c r="C143" s="2"/>
      <c r="D143" s="2"/>
      <c r="E143" s="15"/>
      <c r="F143" s="15"/>
      <c r="G143" s="2"/>
      <c r="I143" s="15"/>
      <c r="J143" s="15"/>
      <c r="K143" s="2"/>
      <c r="L143" s="15"/>
      <c r="M143" s="2"/>
      <c r="N143" s="2"/>
      <c r="O143" s="15"/>
      <c r="P143" s="2"/>
      <c r="Q143" s="2"/>
      <c r="R143" s="15"/>
      <c r="S143" s="15"/>
      <c r="T143" s="15"/>
      <c r="U143" s="15"/>
      <c r="X143" s="15"/>
      <c r="AA143" s="15"/>
      <c r="AC143" s="93"/>
      <c r="AD143"/>
      <c r="AE143"/>
      <c r="AF143"/>
      <c r="AG143"/>
      <c r="AH143"/>
      <c r="AI143"/>
      <c r="AJ143"/>
      <c r="AK143"/>
      <c r="AL143"/>
      <c r="AM143"/>
      <c r="AN143"/>
      <c r="AP143" s="15"/>
      <c r="AT143" s="15"/>
      <c r="AX143" s="15"/>
      <c r="BB143" s="15"/>
      <c r="BE143" s="15"/>
      <c r="BH143" s="15"/>
    </row>
    <row r="144" spans="1:60" s="3" customFormat="1" x14ac:dyDescent="0.3">
      <c r="A144" s="11"/>
      <c r="B144" s="15"/>
      <c r="C144" s="2"/>
      <c r="D144" s="2"/>
      <c r="E144" s="15"/>
      <c r="F144" s="15"/>
      <c r="G144" s="2"/>
      <c r="I144" s="15"/>
      <c r="J144" s="15"/>
      <c r="K144" s="2"/>
      <c r="L144" s="15"/>
      <c r="M144" s="2"/>
      <c r="N144" s="2"/>
      <c r="O144" s="15"/>
      <c r="P144" s="2"/>
      <c r="Q144" s="2"/>
      <c r="R144" s="15"/>
      <c r="S144" s="15"/>
      <c r="T144" s="15"/>
      <c r="U144" s="15"/>
      <c r="X144" s="15"/>
      <c r="AA144" s="15"/>
      <c r="AC144" s="93"/>
      <c r="AD144"/>
      <c r="AE144"/>
      <c r="AF144"/>
      <c r="AG144"/>
      <c r="AH144"/>
      <c r="AI144"/>
      <c r="AJ144"/>
      <c r="AK144"/>
      <c r="AL144"/>
      <c r="AM144"/>
      <c r="AN144"/>
      <c r="AP144" s="15"/>
      <c r="AT144" s="15"/>
      <c r="AX144" s="15"/>
      <c r="BB144" s="15"/>
      <c r="BE144" s="15"/>
      <c r="BH144" s="15"/>
    </row>
    <row r="145" spans="1:60" s="3" customFormat="1" x14ac:dyDescent="0.3">
      <c r="A145" s="11"/>
      <c r="B145" s="15"/>
      <c r="C145" s="2"/>
      <c r="D145" s="2"/>
      <c r="E145" s="15"/>
      <c r="F145" s="15"/>
      <c r="G145" s="2"/>
      <c r="I145" s="15"/>
      <c r="J145" s="15"/>
      <c r="K145" s="2"/>
      <c r="L145" s="15"/>
      <c r="M145" s="2"/>
      <c r="N145" s="2"/>
      <c r="O145" s="15"/>
      <c r="P145" s="2"/>
      <c r="Q145" s="2"/>
      <c r="R145" s="15"/>
      <c r="S145" s="15"/>
      <c r="T145" s="15"/>
      <c r="U145" s="15"/>
      <c r="X145" s="15"/>
      <c r="AA145" s="15"/>
      <c r="AC145" s="93"/>
      <c r="AD145"/>
      <c r="AE145"/>
      <c r="AF145"/>
      <c r="AG145"/>
      <c r="AH145"/>
      <c r="AI145"/>
      <c r="AJ145"/>
      <c r="AK145"/>
      <c r="AL145"/>
      <c r="AM145"/>
      <c r="AN145"/>
      <c r="AP145" s="15"/>
      <c r="AT145" s="15"/>
      <c r="AX145" s="15"/>
      <c r="BB145" s="15"/>
      <c r="BE145" s="15"/>
      <c r="BH145" s="15"/>
    </row>
    <row r="146" spans="1:60" s="3" customFormat="1" x14ac:dyDescent="0.3">
      <c r="A146" s="11"/>
      <c r="B146" s="15"/>
      <c r="C146" s="2"/>
      <c r="D146" s="2"/>
      <c r="E146" s="15"/>
      <c r="F146" s="15"/>
      <c r="G146" s="2"/>
      <c r="I146" s="15"/>
      <c r="J146" s="15"/>
      <c r="K146" s="2"/>
      <c r="L146" s="15"/>
      <c r="M146" s="2"/>
      <c r="N146" s="2"/>
      <c r="O146" s="15"/>
      <c r="P146" s="2"/>
      <c r="Q146" s="2"/>
      <c r="R146" s="15"/>
      <c r="S146" s="15"/>
      <c r="T146" s="15"/>
      <c r="U146" s="15"/>
      <c r="X146" s="15"/>
      <c r="AA146" s="15"/>
      <c r="AC146" s="93"/>
      <c r="AD146"/>
      <c r="AE146"/>
      <c r="AF146"/>
      <c r="AG146"/>
      <c r="AH146"/>
      <c r="AI146"/>
      <c r="AJ146"/>
      <c r="AK146"/>
      <c r="AL146"/>
      <c r="AM146"/>
      <c r="AN146"/>
      <c r="AP146" s="15"/>
      <c r="AT146" s="15"/>
      <c r="AX146" s="15"/>
      <c r="BB146" s="15"/>
      <c r="BE146" s="15"/>
      <c r="BH146" s="15"/>
    </row>
    <row r="147" spans="1:60" s="3" customFormat="1" x14ac:dyDescent="0.3">
      <c r="A147" s="11"/>
      <c r="B147" s="15"/>
      <c r="C147" s="2"/>
      <c r="D147" s="2"/>
      <c r="E147" s="15"/>
      <c r="F147" s="15"/>
      <c r="G147" s="2"/>
      <c r="I147" s="15"/>
      <c r="J147" s="15"/>
      <c r="K147" s="2"/>
      <c r="L147" s="15"/>
      <c r="M147" s="2"/>
      <c r="N147" s="2"/>
      <c r="O147" s="15"/>
      <c r="P147" s="2"/>
      <c r="Q147" s="2"/>
      <c r="R147" s="15"/>
      <c r="S147" s="15"/>
      <c r="T147" s="15"/>
      <c r="U147" s="15"/>
      <c r="X147" s="15"/>
      <c r="AA147" s="15"/>
      <c r="AC147" s="93"/>
      <c r="AD147"/>
      <c r="AE147"/>
      <c r="AF147"/>
      <c r="AG147"/>
      <c r="AH147"/>
      <c r="AI147"/>
      <c r="AJ147"/>
      <c r="AK147"/>
      <c r="AL147"/>
      <c r="AM147"/>
      <c r="AN147"/>
      <c r="AP147" s="15"/>
      <c r="AT147" s="15"/>
      <c r="AX147" s="15"/>
      <c r="BB147" s="15"/>
      <c r="BE147" s="15"/>
      <c r="BH147" s="15"/>
    </row>
    <row r="148" spans="1:60" s="3" customFormat="1" x14ac:dyDescent="0.3">
      <c r="A148" s="11"/>
      <c r="B148" s="15"/>
      <c r="C148" s="2"/>
      <c r="D148" s="2"/>
      <c r="E148" s="15"/>
      <c r="F148" s="15"/>
      <c r="G148" s="2"/>
      <c r="I148" s="15"/>
      <c r="J148" s="15"/>
      <c r="K148" s="2"/>
      <c r="L148" s="15"/>
      <c r="M148" s="2"/>
      <c r="N148" s="2"/>
      <c r="O148" s="15"/>
      <c r="P148" s="2"/>
      <c r="Q148" s="2"/>
      <c r="R148" s="15"/>
      <c r="S148" s="15"/>
      <c r="T148" s="15"/>
      <c r="U148" s="15"/>
      <c r="X148" s="15"/>
      <c r="AA148" s="15"/>
      <c r="AC148" s="93"/>
      <c r="AD148"/>
      <c r="AE148"/>
      <c r="AF148"/>
      <c r="AG148"/>
      <c r="AH148"/>
      <c r="AI148"/>
      <c r="AJ148"/>
      <c r="AK148"/>
      <c r="AL148"/>
      <c r="AM148"/>
      <c r="AN148"/>
      <c r="AP148" s="15"/>
      <c r="AT148" s="15"/>
      <c r="AX148" s="15"/>
      <c r="BB148" s="15"/>
      <c r="BE148" s="15"/>
      <c r="BH148" s="15"/>
    </row>
    <row r="149" spans="1:60" s="3" customFormat="1" x14ac:dyDescent="0.3">
      <c r="A149" s="11"/>
      <c r="B149" s="15"/>
      <c r="E149" s="15"/>
      <c r="F149" s="15"/>
      <c r="I149" s="15"/>
      <c r="J149" s="15"/>
      <c r="L149" s="15"/>
      <c r="O149" s="15"/>
      <c r="R149" s="15"/>
      <c r="S149" s="15"/>
      <c r="T149" s="15"/>
      <c r="U149" s="15"/>
      <c r="X149" s="15"/>
      <c r="AA149" s="15"/>
      <c r="AC149" s="93"/>
      <c r="AD149"/>
      <c r="AE149"/>
      <c r="AF149"/>
      <c r="AG149"/>
      <c r="AH149"/>
      <c r="AI149"/>
      <c r="AJ149"/>
      <c r="AK149"/>
      <c r="AL149"/>
      <c r="AM149"/>
      <c r="AN149"/>
      <c r="AP149" s="15"/>
      <c r="AT149" s="15"/>
      <c r="AX149" s="15"/>
      <c r="BB149" s="15"/>
      <c r="BE149" s="15"/>
      <c r="BH149" s="15"/>
    </row>
    <row r="150" spans="1:60" s="3" customFormat="1" x14ac:dyDescent="0.3">
      <c r="A150" s="11"/>
      <c r="B150" s="15"/>
      <c r="C150" s="2"/>
      <c r="D150" s="2"/>
      <c r="E150" s="15"/>
      <c r="F150" s="15"/>
      <c r="G150" s="2"/>
      <c r="I150" s="15"/>
      <c r="J150" s="15"/>
      <c r="K150" s="2"/>
      <c r="L150" s="15"/>
      <c r="M150" s="2"/>
      <c r="N150" s="2"/>
      <c r="O150" s="15"/>
      <c r="P150" s="2"/>
      <c r="Q150" s="2"/>
      <c r="R150" s="15"/>
      <c r="S150" s="15"/>
      <c r="T150" s="15"/>
      <c r="U150" s="15"/>
      <c r="X150" s="15"/>
      <c r="AA150" s="15"/>
      <c r="AC150" s="93"/>
      <c r="AD150"/>
      <c r="AE150"/>
      <c r="AF150"/>
      <c r="AG150"/>
      <c r="AH150"/>
      <c r="AI150"/>
      <c r="AJ150"/>
      <c r="AK150"/>
      <c r="AL150"/>
      <c r="AM150"/>
      <c r="AN150"/>
      <c r="AP150" s="15"/>
      <c r="AT150" s="15"/>
      <c r="AX150" s="15"/>
      <c r="BB150" s="15"/>
      <c r="BE150" s="15"/>
      <c r="BH150" s="15"/>
    </row>
    <row r="151" spans="1:60" s="3" customFormat="1" x14ac:dyDescent="0.3">
      <c r="A151" s="11"/>
      <c r="B151" s="15"/>
      <c r="C151" s="2"/>
      <c r="D151" s="2"/>
      <c r="E151" s="15"/>
      <c r="F151" s="15"/>
      <c r="G151" s="2"/>
      <c r="I151" s="15"/>
      <c r="J151" s="15"/>
      <c r="K151" s="2"/>
      <c r="L151" s="15"/>
      <c r="M151" s="2"/>
      <c r="N151" s="2"/>
      <c r="O151" s="15"/>
      <c r="P151" s="2"/>
      <c r="Q151" s="2"/>
      <c r="R151" s="15"/>
      <c r="S151" s="15"/>
      <c r="T151" s="15"/>
      <c r="U151" s="15"/>
      <c r="X151" s="15"/>
      <c r="AA151" s="15"/>
      <c r="AC151" s="93"/>
      <c r="AD151"/>
      <c r="AE151"/>
      <c r="AF151"/>
      <c r="AG151"/>
      <c r="AH151"/>
      <c r="AI151"/>
      <c r="AJ151"/>
      <c r="AK151"/>
      <c r="AL151"/>
      <c r="AM151"/>
      <c r="AN151"/>
      <c r="AP151" s="15"/>
      <c r="AT151" s="15"/>
      <c r="AX151" s="15"/>
      <c r="BB151" s="15"/>
      <c r="BE151" s="15"/>
      <c r="BH151" s="15"/>
    </row>
    <row r="152" spans="1:60" s="3" customFormat="1" x14ac:dyDescent="0.3">
      <c r="A152" s="11"/>
      <c r="B152" s="15"/>
      <c r="C152" s="2"/>
      <c r="D152" s="2"/>
      <c r="E152" s="15"/>
      <c r="F152" s="15"/>
      <c r="G152" s="2"/>
      <c r="I152" s="15"/>
      <c r="J152" s="15"/>
      <c r="K152" s="2"/>
      <c r="L152" s="15"/>
      <c r="M152" s="2"/>
      <c r="N152" s="2"/>
      <c r="O152" s="15"/>
      <c r="P152" s="2"/>
      <c r="Q152" s="2"/>
      <c r="R152" s="15"/>
      <c r="S152" s="15"/>
      <c r="T152" s="15"/>
      <c r="U152" s="15"/>
      <c r="X152" s="15"/>
      <c r="AA152" s="15"/>
      <c r="AC152" s="93"/>
      <c r="AD152"/>
      <c r="AE152"/>
      <c r="AF152"/>
      <c r="AG152"/>
      <c r="AH152"/>
      <c r="AI152"/>
      <c r="AJ152"/>
      <c r="AK152"/>
      <c r="AL152"/>
      <c r="AM152"/>
      <c r="AN152"/>
      <c r="AP152" s="15"/>
      <c r="AT152" s="15"/>
      <c r="AX152" s="15"/>
      <c r="BB152" s="15"/>
      <c r="BE152" s="15"/>
      <c r="BH152" s="15"/>
    </row>
    <row r="153" spans="1:60" s="3" customFormat="1" x14ac:dyDescent="0.3">
      <c r="A153" s="11"/>
      <c r="B153" s="15"/>
      <c r="C153" s="2"/>
      <c r="D153" s="2"/>
      <c r="E153" s="15"/>
      <c r="F153" s="15"/>
      <c r="G153" s="2"/>
      <c r="I153" s="15"/>
      <c r="J153" s="15"/>
      <c r="K153" s="2"/>
      <c r="L153" s="15"/>
      <c r="M153" s="2"/>
      <c r="N153" s="2"/>
      <c r="O153" s="15"/>
      <c r="P153" s="2"/>
      <c r="Q153" s="2"/>
      <c r="R153" s="15"/>
      <c r="S153" s="15"/>
      <c r="T153" s="15"/>
      <c r="U153" s="15"/>
      <c r="X153" s="15"/>
      <c r="AA153" s="15"/>
      <c r="AC153" s="93"/>
      <c r="AD153"/>
      <c r="AE153"/>
      <c r="AF153"/>
      <c r="AG153"/>
      <c r="AH153"/>
      <c r="AI153"/>
      <c r="AJ153"/>
      <c r="AK153"/>
      <c r="AL153"/>
      <c r="AM153"/>
      <c r="AN153"/>
      <c r="AP153" s="15"/>
      <c r="AT153" s="15"/>
      <c r="AX153" s="15"/>
      <c r="BB153" s="15"/>
      <c r="BE153" s="15"/>
      <c r="BH153" s="15"/>
    </row>
    <row r="154" spans="1:60" s="3" customFormat="1" x14ac:dyDescent="0.3">
      <c r="A154" s="11"/>
      <c r="B154" s="15"/>
      <c r="C154" s="2"/>
      <c r="D154" s="2"/>
      <c r="E154" s="15"/>
      <c r="F154" s="15"/>
      <c r="G154" s="2"/>
      <c r="I154" s="15"/>
      <c r="J154" s="15"/>
      <c r="K154" s="2"/>
      <c r="L154" s="15"/>
      <c r="M154" s="2"/>
      <c r="N154" s="2"/>
      <c r="O154" s="15"/>
      <c r="P154" s="2"/>
      <c r="Q154" s="2"/>
      <c r="R154" s="15"/>
      <c r="S154" s="15"/>
      <c r="T154" s="15"/>
      <c r="U154" s="15"/>
      <c r="X154" s="15"/>
      <c r="AA154" s="15"/>
      <c r="AC154" s="93"/>
      <c r="AD154"/>
      <c r="AE154"/>
      <c r="AF154"/>
      <c r="AG154"/>
      <c r="AH154"/>
      <c r="AI154"/>
      <c r="AJ154"/>
      <c r="AK154"/>
      <c r="AL154"/>
      <c r="AM154"/>
      <c r="AN154"/>
      <c r="AP154" s="15"/>
      <c r="AT154" s="15"/>
      <c r="AX154" s="15"/>
      <c r="BB154" s="15"/>
      <c r="BE154" s="15"/>
      <c r="BH154" s="15"/>
    </row>
    <row r="155" spans="1:60" s="3" customFormat="1" x14ac:dyDescent="0.3">
      <c r="A155" s="11"/>
      <c r="B155" s="15"/>
      <c r="C155" s="2"/>
      <c r="D155" s="2"/>
      <c r="E155" s="15"/>
      <c r="F155" s="15"/>
      <c r="G155" s="2"/>
      <c r="I155" s="15"/>
      <c r="J155" s="15"/>
      <c r="K155" s="2"/>
      <c r="L155" s="15"/>
      <c r="M155" s="2"/>
      <c r="N155" s="2"/>
      <c r="O155" s="15"/>
      <c r="P155" s="2"/>
      <c r="Q155" s="2"/>
      <c r="R155" s="15"/>
      <c r="S155" s="15"/>
      <c r="T155" s="15"/>
      <c r="U155" s="15"/>
      <c r="X155" s="15"/>
      <c r="AA155" s="15"/>
      <c r="AC155" s="93"/>
      <c r="AD155"/>
      <c r="AE155"/>
      <c r="AF155"/>
      <c r="AG155"/>
      <c r="AH155"/>
      <c r="AI155"/>
      <c r="AJ155"/>
      <c r="AK155"/>
      <c r="AL155"/>
      <c r="AM155"/>
      <c r="AN155"/>
      <c r="AP155" s="15"/>
      <c r="AT155" s="15"/>
      <c r="AX155" s="15"/>
      <c r="BB155" s="15"/>
      <c r="BE155" s="15"/>
      <c r="BH155" s="15"/>
    </row>
    <row r="156" spans="1:60" s="3" customFormat="1" x14ac:dyDescent="0.3">
      <c r="A156" s="11"/>
      <c r="B156" s="15"/>
      <c r="C156" s="2"/>
      <c r="D156" s="2"/>
      <c r="E156" s="15"/>
      <c r="F156" s="15"/>
      <c r="G156" s="2"/>
      <c r="I156" s="15"/>
      <c r="J156" s="15"/>
      <c r="K156" s="2"/>
      <c r="L156" s="15"/>
      <c r="M156" s="2"/>
      <c r="N156" s="2"/>
      <c r="O156" s="15"/>
      <c r="P156" s="2"/>
      <c r="Q156" s="2"/>
      <c r="R156" s="15"/>
      <c r="S156" s="15"/>
      <c r="T156" s="15"/>
      <c r="U156" s="15"/>
      <c r="X156" s="15"/>
      <c r="AA156" s="15"/>
      <c r="AC156" s="93"/>
      <c r="AD156"/>
      <c r="AE156"/>
      <c r="AF156"/>
      <c r="AG156"/>
      <c r="AH156"/>
      <c r="AI156"/>
      <c r="AJ156"/>
      <c r="AK156"/>
      <c r="AL156"/>
      <c r="AM156"/>
      <c r="AN156"/>
      <c r="AP156" s="15"/>
      <c r="AT156" s="15"/>
      <c r="AX156" s="15"/>
      <c r="BB156" s="15"/>
      <c r="BE156" s="15"/>
      <c r="BH156" s="15"/>
    </row>
    <row r="157" spans="1:60" s="3" customFormat="1" x14ac:dyDescent="0.3">
      <c r="A157" s="11"/>
      <c r="B157" s="15"/>
      <c r="C157" s="2"/>
      <c r="D157" s="2"/>
      <c r="E157" s="15"/>
      <c r="F157" s="15"/>
      <c r="G157" s="2"/>
      <c r="I157" s="15"/>
      <c r="J157" s="15"/>
      <c r="K157" s="2"/>
      <c r="L157" s="15"/>
      <c r="M157" s="2"/>
      <c r="N157" s="2"/>
      <c r="O157" s="15"/>
      <c r="P157" s="2"/>
      <c r="Q157" s="2"/>
      <c r="R157" s="15"/>
      <c r="S157" s="15"/>
      <c r="T157" s="15"/>
      <c r="U157" s="15"/>
      <c r="X157" s="15"/>
      <c r="AA157" s="15"/>
      <c r="AC157" s="93"/>
      <c r="AD157"/>
      <c r="AE157"/>
      <c r="AF157"/>
      <c r="AG157"/>
      <c r="AH157"/>
      <c r="AI157"/>
      <c r="AJ157"/>
      <c r="AK157"/>
      <c r="AL157"/>
      <c r="AM157"/>
      <c r="AN157"/>
      <c r="AP157" s="15"/>
      <c r="AT157" s="15"/>
      <c r="AX157" s="15"/>
      <c r="BB157" s="15"/>
      <c r="BE157" s="15"/>
      <c r="BH157" s="15"/>
    </row>
    <row r="158" spans="1:60" s="3" customFormat="1" x14ac:dyDescent="0.3">
      <c r="A158" s="11"/>
      <c r="B158" s="15"/>
      <c r="C158" s="2"/>
      <c r="D158" s="2"/>
      <c r="E158" s="15"/>
      <c r="F158" s="15"/>
      <c r="G158" s="2"/>
      <c r="I158" s="15"/>
      <c r="J158" s="15"/>
      <c r="K158" s="2"/>
      <c r="L158" s="15"/>
      <c r="M158" s="2"/>
      <c r="N158" s="2"/>
      <c r="O158" s="15"/>
      <c r="P158" s="2"/>
      <c r="Q158" s="2"/>
      <c r="R158" s="15"/>
      <c r="S158" s="15"/>
      <c r="T158" s="15"/>
      <c r="U158" s="15"/>
      <c r="X158" s="15"/>
      <c r="AA158" s="15"/>
      <c r="AC158" s="93"/>
      <c r="AD158"/>
      <c r="AE158"/>
      <c r="AF158"/>
      <c r="AG158"/>
      <c r="AH158"/>
      <c r="AI158"/>
      <c r="AJ158"/>
      <c r="AK158"/>
      <c r="AL158"/>
      <c r="AM158"/>
      <c r="AN158"/>
      <c r="AP158" s="15"/>
      <c r="AT158" s="15"/>
      <c r="AX158" s="15"/>
      <c r="BB158" s="15"/>
      <c r="BE158" s="15"/>
      <c r="BH158" s="15"/>
    </row>
    <row r="159" spans="1:60" s="3" customFormat="1" x14ac:dyDescent="0.3">
      <c r="A159" s="11"/>
      <c r="B159" s="15"/>
      <c r="C159" s="2"/>
      <c r="D159" s="2"/>
      <c r="E159" s="15"/>
      <c r="F159" s="15"/>
      <c r="G159" s="2"/>
      <c r="I159" s="15"/>
      <c r="J159" s="15"/>
      <c r="K159" s="2"/>
      <c r="L159" s="15"/>
      <c r="M159" s="2"/>
      <c r="N159" s="2"/>
      <c r="O159" s="15"/>
      <c r="P159" s="2"/>
      <c r="Q159" s="2"/>
      <c r="R159" s="15"/>
      <c r="S159" s="15"/>
      <c r="T159" s="15"/>
      <c r="U159" s="15"/>
      <c r="X159" s="15"/>
      <c r="AA159" s="15"/>
      <c r="AC159" s="93"/>
      <c r="AD159"/>
      <c r="AE159"/>
      <c r="AF159"/>
      <c r="AG159"/>
      <c r="AH159"/>
      <c r="AI159"/>
      <c r="AJ159"/>
      <c r="AK159"/>
      <c r="AL159"/>
      <c r="AM159"/>
      <c r="AN159"/>
      <c r="AP159" s="15"/>
      <c r="AT159" s="15"/>
      <c r="AX159" s="15"/>
      <c r="BB159" s="15"/>
      <c r="BE159" s="15"/>
      <c r="BH159" s="15"/>
    </row>
    <row r="160" spans="1:60" s="3" customFormat="1" x14ac:dyDescent="0.3">
      <c r="A160" s="11"/>
      <c r="B160" s="15"/>
      <c r="C160" s="2"/>
      <c r="D160" s="2"/>
      <c r="E160" s="15"/>
      <c r="F160" s="15"/>
      <c r="G160" s="2"/>
      <c r="I160" s="15"/>
      <c r="J160" s="15"/>
      <c r="K160" s="2"/>
      <c r="L160" s="15"/>
      <c r="M160" s="2"/>
      <c r="N160" s="2"/>
      <c r="O160" s="15"/>
      <c r="P160" s="2"/>
      <c r="Q160" s="2"/>
      <c r="R160" s="15"/>
      <c r="S160" s="15"/>
      <c r="T160" s="15"/>
      <c r="U160" s="15"/>
      <c r="X160" s="15"/>
      <c r="AA160" s="15"/>
      <c r="AC160" s="93"/>
      <c r="AD160"/>
      <c r="AE160"/>
      <c r="AF160"/>
      <c r="AG160"/>
      <c r="AH160"/>
      <c r="AI160"/>
      <c r="AJ160"/>
      <c r="AK160"/>
      <c r="AL160"/>
      <c r="AM160"/>
      <c r="AN160"/>
      <c r="AP160" s="15"/>
      <c r="AT160" s="15"/>
      <c r="AX160" s="15"/>
      <c r="BB160" s="15"/>
      <c r="BE160" s="15"/>
      <c r="BH160" s="15"/>
    </row>
    <row r="161" spans="1:60" s="3" customFormat="1" x14ac:dyDescent="0.3">
      <c r="A161" s="11"/>
      <c r="B161" s="15"/>
      <c r="C161" s="2"/>
      <c r="D161" s="2"/>
      <c r="E161" s="15"/>
      <c r="F161" s="15"/>
      <c r="G161" s="2"/>
      <c r="I161" s="15"/>
      <c r="J161" s="15"/>
      <c r="K161" s="2"/>
      <c r="L161" s="15"/>
      <c r="M161" s="2"/>
      <c r="N161" s="2"/>
      <c r="O161" s="15"/>
      <c r="P161" s="2"/>
      <c r="Q161" s="2"/>
      <c r="R161" s="15"/>
      <c r="S161" s="15"/>
      <c r="T161" s="15"/>
      <c r="U161" s="15"/>
      <c r="X161" s="15"/>
      <c r="AA161" s="15"/>
      <c r="AC161" s="93"/>
      <c r="AD161"/>
      <c r="AE161"/>
      <c r="AF161"/>
      <c r="AG161"/>
      <c r="AH161"/>
      <c r="AI161"/>
      <c r="AJ161"/>
      <c r="AK161"/>
      <c r="AL161"/>
      <c r="AM161"/>
      <c r="AN161"/>
      <c r="AP161" s="15"/>
      <c r="AT161" s="15"/>
      <c r="AX161" s="15"/>
      <c r="BB161" s="15"/>
      <c r="BE161" s="15"/>
      <c r="BH161" s="15"/>
    </row>
    <row r="162" spans="1:60" s="3" customFormat="1" x14ac:dyDescent="0.3">
      <c r="A162" s="11"/>
      <c r="B162" s="15"/>
      <c r="C162" s="2"/>
      <c r="D162" s="2"/>
      <c r="E162" s="15"/>
      <c r="F162" s="15"/>
      <c r="G162" s="2"/>
      <c r="I162" s="15"/>
      <c r="J162" s="15"/>
      <c r="K162" s="2"/>
      <c r="L162" s="15"/>
      <c r="M162" s="2"/>
      <c r="N162" s="2"/>
      <c r="O162" s="15"/>
      <c r="P162" s="2"/>
      <c r="Q162" s="2"/>
      <c r="R162" s="15"/>
      <c r="S162" s="15"/>
      <c r="T162" s="15"/>
      <c r="U162" s="15"/>
      <c r="X162" s="15"/>
      <c r="AA162" s="15"/>
      <c r="AC162" s="93"/>
      <c r="AD162"/>
      <c r="AE162"/>
      <c r="AF162"/>
      <c r="AG162"/>
      <c r="AH162"/>
      <c r="AI162"/>
      <c r="AJ162"/>
      <c r="AK162"/>
      <c r="AL162"/>
      <c r="AM162"/>
      <c r="AN162"/>
      <c r="AP162" s="15"/>
      <c r="AT162" s="15"/>
      <c r="AX162" s="15"/>
      <c r="BB162" s="15"/>
      <c r="BE162" s="15"/>
      <c r="BH162" s="15"/>
    </row>
    <row r="163" spans="1:60" s="3" customFormat="1" x14ac:dyDescent="0.3">
      <c r="A163" s="11"/>
      <c r="B163" s="15"/>
      <c r="C163" s="2"/>
      <c r="D163" s="2"/>
      <c r="E163" s="15"/>
      <c r="F163" s="15"/>
      <c r="G163" s="2"/>
      <c r="I163" s="15"/>
      <c r="J163" s="15"/>
      <c r="K163" s="2"/>
      <c r="L163" s="15"/>
      <c r="M163" s="2"/>
      <c r="N163" s="2"/>
      <c r="O163" s="15"/>
      <c r="P163" s="2"/>
      <c r="Q163" s="2"/>
      <c r="R163" s="15"/>
      <c r="S163" s="15"/>
      <c r="T163" s="15"/>
      <c r="U163" s="15"/>
      <c r="X163" s="15"/>
      <c r="AA163" s="15"/>
      <c r="AC163" s="93"/>
      <c r="AD163"/>
      <c r="AE163"/>
      <c r="AF163"/>
      <c r="AG163"/>
      <c r="AH163"/>
      <c r="AI163"/>
      <c r="AJ163"/>
      <c r="AK163"/>
      <c r="AL163"/>
      <c r="AM163"/>
      <c r="AN163"/>
      <c r="AP163" s="15"/>
      <c r="AT163" s="15"/>
      <c r="AX163" s="15"/>
      <c r="BB163" s="15"/>
      <c r="BE163" s="15"/>
      <c r="BH163" s="15"/>
    </row>
    <row r="164" spans="1:60" s="3" customFormat="1" x14ac:dyDescent="0.3">
      <c r="A164" s="11"/>
      <c r="B164" s="15"/>
      <c r="C164" s="2"/>
      <c r="D164" s="2"/>
      <c r="E164" s="15"/>
      <c r="F164" s="15"/>
      <c r="G164" s="2"/>
      <c r="I164" s="15"/>
      <c r="J164" s="15"/>
      <c r="K164" s="2"/>
      <c r="L164" s="15"/>
      <c r="M164" s="2"/>
      <c r="N164" s="2"/>
      <c r="O164" s="15"/>
      <c r="P164" s="2"/>
      <c r="Q164" s="2"/>
      <c r="R164" s="15"/>
      <c r="S164" s="15"/>
      <c r="T164" s="15"/>
      <c r="U164" s="15"/>
      <c r="X164" s="15"/>
      <c r="AA164" s="15"/>
      <c r="AC164" s="93"/>
      <c r="AD164"/>
      <c r="AE164"/>
      <c r="AF164"/>
      <c r="AG164"/>
      <c r="AH164"/>
      <c r="AI164"/>
      <c r="AJ164"/>
      <c r="AK164"/>
      <c r="AL164"/>
      <c r="AM164"/>
      <c r="AN164"/>
      <c r="AP164" s="15"/>
      <c r="AT164" s="15"/>
      <c r="AX164" s="15"/>
      <c r="BB164" s="15"/>
      <c r="BE164" s="15"/>
      <c r="BH164" s="15"/>
    </row>
    <row r="165" spans="1:60" s="3" customFormat="1" x14ac:dyDescent="0.3">
      <c r="A165" s="11"/>
      <c r="B165" s="15"/>
      <c r="C165" s="2"/>
      <c r="D165" s="2"/>
      <c r="E165" s="15"/>
      <c r="F165" s="15"/>
      <c r="G165" s="2"/>
      <c r="I165" s="15"/>
      <c r="J165" s="15"/>
      <c r="K165" s="2"/>
      <c r="L165" s="15"/>
      <c r="M165" s="2"/>
      <c r="N165" s="2"/>
      <c r="O165" s="15"/>
      <c r="P165" s="2"/>
      <c r="Q165" s="2"/>
      <c r="R165" s="15"/>
      <c r="S165" s="15"/>
      <c r="T165" s="15"/>
      <c r="U165" s="15"/>
      <c r="X165" s="15"/>
      <c r="AA165" s="15"/>
      <c r="AC165" s="93"/>
      <c r="AD165"/>
      <c r="AE165"/>
      <c r="AF165"/>
      <c r="AG165"/>
      <c r="AH165"/>
      <c r="AI165"/>
      <c r="AJ165"/>
      <c r="AK165"/>
      <c r="AL165"/>
      <c r="AM165"/>
      <c r="AN165"/>
      <c r="AP165" s="15"/>
      <c r="AT165" s="15"/>
      <c r="AX165" s="15"/>
      <c r="BB165" s="15"/>
      <c r="BE165" s="15"/>
      <c r="BH165" s="15"/>
    </row>
    <row r="166" spans="1:60" s="3" customFormat="1" x14ac:dyDescent="0.3">
      <c r="A166" s="11"/>
      <c r="B166" s="15"/>
      <c r="C166" s="2"/>
      <c r="D166" s="2"/>
      <c r="E166" s="15"/>
      <c r="F166" s="15"/>
      <c r="G166" s="2"/>
      <c r="I166" s="15"/>
      <c r="J166" s="15"/>
      <c r="K166" s="2"/>
      <c r="L166" s="15"/>
      <c r="M166" s="2"/>
      <c r="N166" s="2"/>
      <c r="O166" s="15"/>
      <c r="P166" s="2"/>
      <c r="Q166" s="2"/>
      <c r="R166" s="15"/>
      <c r="S166" s="15"/>
      <c r="T166" s="15"/>
      <c r="U166" s="15"/>
      <c r="X166" s="15"/>
      <c r="AA166" s="15"/>
      <c r="AC166" s="93"/>
      <c r="AD166"/>
      <c r="AE166"/>
      <c r="AF166"/>
      <c r="AG166"/>
      <c r="AH166"/>
      <c r="AI166"/>
      <c r="AJ166"/>
      <c r="AK166"/>
      <c r="AL166"/>
      <c r="AM166"/>
      <c r="AN166"/>
      <c r="AP166" s="15"/>
      <c r="AT166" s="15"/>
      <c r="AX166" s="15"/>
      <c r="BB166" s="15"/>
      <c r="BE166" s="15"/>
      <c r="BH166" s="15"/>
    </row>
    <row r="167" spans="1:60" s="3" customFormat="1" x14ac:dyDescent="0.3">
      <c r="A167" s="11"/>
      <c r="B167" s="15"/>
      <c r="C167" s="2"/>
      <c r="D167" s="2"/>
      <c r="E167" s="15"/>
      <c r="F167" s="15"/>
      <c r="G167" s="2"/>
      <c r="I167" s="15"/>
      <c r="J167" s="15"/>
      <c r="K167" s="2"/>
      <c r="L167" s="15"/>
      <c r="M167" s="2"/>
      <c r="N167" s="2"/>
      <c r="O167" s="15"/>
      <c r="P167" s="2"/>
      <c r="Q167" s="2"/>
      <c r="R167" s="15"/>
      <c r="S167" s="15"/>
      <c r="T167" s="15"/>
      <c r="U167" s="15"/>
      <c r="X167" s="15"/>
      <c r="AA167" s="15"/>
      <c r="AC167" s="93"/>
      <c r="AD167"/>
      <c r="AE167"/>
      <c r="AF167"/>
      <c r="AG167"/>
      <c r="AH167"/>
      <c r="AI167"/>
      <c r="AJ167"/>
      <c r="AK167"/>
      <c r="AL167"/>
      <c r="AM167"/>
      <c r="AN167"/>
      <c r="AP167" s="15"/>
      <c r="AT167" s="15"/>
      <c r="AX167" s="15"/>
      <c r="BB167" s="15"/>
      <c r="BE167" s="15"/>
      <c r="BH167" s="15"/>
    </row>
    <row r="168" spans="1:60" s="3" customFormat="1" x14ac:dyDescent="0.3">
      <c r="A168" s="11"/>
      <c r="B168" s="15"/>
      <c r="C168" s="2"/>
      <c r="D168" s="2"/>
      <c r="E168" s="15"/>
      <c r="F168" s="15"/>
      <c r="G168" s="2"/>
      <c r="I168" s="15"/>
      <c r="J168" s="15"/>
      <c r="K168" s="2"/>
      <c r="L168" s="15"/>
      <c r="M168" s="2"/>
      <c r="N168" s="2"/>
      <c r="O168" s="15"/>
      <c r="P168" s="2"/>
      <c r="Q168" s="2"/>
      <c r="R168" s="15"/>
      <c r="S168" s="15"/>
      <c r="T168" s="15"/>
      <c r="U168" s="15"/>
      <c r="X168" s="15"/>
      <c r="AA168" s="15"/>
      <c r="AC168" s="93"/>
      <c r="AD168"/>
      <c r="AE168"/>
      <c r="AF168"/>
      <c r="AG168"/>
      <c r="AH168"/>
      <c r="AI168"/>
      <c r="AJ168"/>
      <c r="AK168"/>
      <c r="AL168"/>
      <c r="AM168"/>
      <c r="AN168"/>
      <c r="AP168" s="15"/>
      <c r="AT168" s="15"/>
      <c r="AX168" s="15"/>
      <c r="BB168" s="15"/>
      <c r="BE168" s="15"/>
      <c r="BH168" s="15"/>
    </row>
    <row r="169" spans="1:60" s="3" customFormat="1" x14ac:dyDescent="0.3">
      <c r="A169" s="11"/>
      <c r="B169" s="15"/>
      <c r="C169" s="2"/>
      <c r="D169" s="2"/>
      <c r="E169" s="15"/>
      <c r="F169" s="15"/>
      <c r="G169" s="2"/>
      <c r="I169" s="15"/>
      <c r="J169" s="15"/>
      <c r="K169" s="2"/>
      <c r="L169" s="15"/>
      <c r="M169" s="2"/>
      <c r="N169" s="2"/>
      <c r="O169" s="15"/>
      <c r="P169" s="2"/>
      <c r="Q169" s="2"/>
      <c r="R169" s="15"/>
      <c r="S169" s="15"/>
      <c r="T169" s="15"/>
      <c r="U169" s="15"/>
      <c r="X169" s="15"/>
      <c r="AA169" s="15"/>
      <c r="AC169" s="93"/>
      <c r="AD169"/>
      <c r="AE169"/>
      <c r="AF169"/>
      <c r="AG169"/>
      <c r="AH169"/>
      <c r="AI169"/>
      <c r="AJ169"/>
      <c r="AK169"/>
      <c r="AL169"/>
      <c r="AM169"/>
      <c r="AN169"/>
      <c r="AP169" s="15"/>
      <c r="AT169" s="15"/>
      <c r="AX169" s="15"/>
      <c r="BB169" s="15"/>
      <c r="BE169" s="15"/>
      <c r="BH169" s="15"/>
    </row>
    <row r="170" spans="1:60" s="3" customFormat="1" x14ac:dyDescent="0.3">
      <c r="A170" s="11"/>
      <c r="B170" s="15"/>
      <c r="C170" s="2"/>
      <c r="D170" s="2"/>
      <c r="E170" s="15"/>
      <c r="F170" s="15"/>
      <c r="G170" s="2"/>
      <c r="I170" s="15"/>
      <c r="J170" s="15"/>
      <c r="K170" s="2"/>
      <c r="L170" s="15"/>
      <c r="M170" s="2"/>
      <c r="N170" s="2"/>
      <c r="O170" s="15"/>
      <c r="P170" s="2"/>
      <c r="Q170" s="2"/>
      <c r="R170" s="15"/>
      <c r="S170" s="15"/>
      <c r="T170" s="15"/>
      <c r="U170" s="15"/>
      <c r="X170" s="15"/>
      <c r="AA170" s="15"/>
      <c r="AC170" s="93"/>
      <c r="AD170"/>
      <c r="AE170"/>
      <c r="AF170"/>
      <c r="AG170"/>
      <c r="AH170"/>
      <c r="AI170"/>
      <c r="AJ170"/>
      <c r="AK170"/>
      <c r="AL170"/>
      <c r="AM170"/>
      <c r="AN170"/>
      <c r="AP170" s="15"/>
      <c r="AT170" s="15"/>
      <c r="AX170" s="15"/>
      <c r="BB170" s="15"/>
      <c r="BE170" s="15"/>
      <c r="BH170" s="15"/>
    </row>
    <row r="171" spans="1:60" s="3" customFormat="1" x14ac:dyDescent="0.3">
      <c r="A171" s="11"/>
      <c r="B171" s="15"/>
      <c r="C171" s="2"/>
      <c r="D171" s="2"/>
      <c r="E171" s="15"/>
      <c r="F171" s="15"/>
      <c r="G171" s="2"/>
      <c r="I171" s="15"/>
      <c r="J171" s="15"/>
      <c r="K171" s="2"/>
      <c r="L171" s="15"/>
      <c r="M171" s="2"/>
      <c r="N171" s="2"/>
      <c r="O171" s="15"/>
      <c r="P171" s="2"/>
      <c r="Q171" s="2"/>
      <c r="R171" s="15"/>
      <c r="S171" s="15"/>
      <c r="T171" s="15"/>
      <c r="U171" s="15"/>
      <c r="X171" s="15"/>
      <c r="AA171" s="15"/>
      <c r="AC171" s="93"/>
      <c r="AD171"/>
      <c r="AE171"/>
      <c r="AF171"/>
      <c r="AG171"/>
      <c r="AH171"/>
      <c r="AI171"/>
      <c r="AJ171"/>
      <c r="AK171"/>
      <c r="AL171"/>
      <c r="AM171"/>
      <c r="AN171"/>
      <c r="AP171" s="15"/>
      <c r="AT171" s="15"/>
      <c r="AX171" s="15"/>
      <c r="BB171" s="15"/>
      <c r="BE171" s="15"/>
      <c r="BH171" s="15"/>
    </row>
    <row r="172" spans="1:60" s="3" customFormat="1" x14ac:dyDescent="0.3">
      <c r="A172" s="11"/>
      <c r="B172" s="15"/>
      <c r="C172" s="2"/>
      <c r="D172" s="2"/>
      <c r="E172" s="15"/>
      <c r="F172" s="15"/>
      <c r="G172" s="2"/>
      <c r="I172" s="15"/>
      <c r="J172" s="15"/>
      <c r="K172" s="2"/>
      <c r="L172" s="15"/>
      <c r="M172" s="2"/>
      <c r="N172" s="2"/>
      <c r="O172" s="15"/>
      <c r="P172" s="2"/>
      <c r="Q172" s="2"/>
      <c r="R172" s="15"/>
      <c r="S172" s="15"/>
      <c r="T172" s="15"/>
      <c r="U172" s="15"/>
      <c r="X172" s="15"/>
      <c r="AA172" s="15"/>
      <c r="AC172" s="93"/>
      <c r="AD172"/>
      <c r="AE172"/>
      <c r="AF172"/>
      <c r="AG172"/>
      <c r="AH172"/>
      <c r="AI172"/>
      <c r="AJ172"/>
      <c r="AK172"/>
      <c r="AL172"/>
      <c r="AM172"/>
      <c r="AN172"/>
      <c r="AP172" s="15"/>
      <c r="AT172" s="15"/>
      <c r="AX172" s="15"/>
      <c r="BB172" s="15"/>
      <c r="BE172" s="15"/>
      <c r="BH172" s="15"/>
    </row>
    <row r="173" spans="1:60" s="3" customFormat="1" x14ac:dyDescent="0.3">
      <c r="A173" s="11"/>
      <c r="B173" s="15"/>
      <c r="C173" s="2"/>
      <c r="D173" s="2"/>
      <c r="E173" s="15"/>
      <c r="F173" s="15"/>
      <c r="G173" s="2"/>
      <c r="I173" s="15"/>
      <c r="J173" s="15"/>
      <c r="K173" s="2"/>
      <c r="L173" s="15"/>
      <c r="M173" s="2"/>
      <c r="N173" s="2"/>
      <c r="O173" s="15"/>
      <c r="P173" s="2"/>
      <c r="Q173" s="2"/>
      <c r="R173" s="15"/>
      <c r="S173" s="15"/>
      <c r="T173" s="15"/>
      <c r="U173" s="15"/>
      <c r="X173" s="15"/>
      <c r="AA173" s="15"/>
      <c r="AC173" s="93"/>
      <c r="AD173"/>
      <c r="AE173"/>
      <c r="AF173"/>
      <c r="AG173"/>
      <c r="AH173"/>
      <c r="AI173"/>
      <c r="AJ173"/>
      <c r="AK173"/>
      <c r="AL173"/>
      <c r="AM173"/>
      <c r="AN173"/>
      <c r="AP173" s="15"/>
      <c r="AT173" s="15"/>
      <c r="AX173" s="15"/>
      <c r="BB173" s="15"/>
      <c r="BE173" s="15"/>
      <c r="BH173" s="15"/>
    </row>
    <row r="174" spans="1:60" s="3" customFormat="1" x14ac:dyDescent="0.3">
      <c r="A174" s="11"/>
      <c r="B174" s="15"/>
      <c r="C174" s="2"/>
      <c r="D174" s="2"/>
      <c r="E174" s="15"/>
      <c r="F174" s="15"/>
      <c r="G174" s="2"/>
      <c r="I174" s="15"/>
      <c r="J174" s="15"/>
      <c r="K174" s="2"/>
      <c r="L174" s="15"/>
      <c r="M174" s="2"/>
      <c r="N174" s="2"/>
      <c r="O174" s="15"/>
      <c r="P174" s="2"/>
      <c r="Q174" s="2"/>
      <c r="R174" s="15"/>
      <c r="S174" s="15"/>
      <c r="T174" s="15"/>
      <c r="U174" s="15"/>
      <c r="X174" s="15"/>
      <c r="AA174" s="15"/>
      <c r="AC174" s="93"/>
      <c r="AD174"/>
      <c r="AE174"/>
      <c r="AF174"/>
      <c r="AG174"/>
      <c r="AH174"/>
      <c r="AI174"/>
      <c r="AJ174"/>
      <c r="AK174"/>
      <c r="AL174"/>
      <c r="AM174"/>
      <c r="AN174"/>
      <c r="AP174" s="15"/>
      <c r="AT174" s="15"/>
      <c r="AX174" s="15"/>
      <c r="BB174" s="15"/>
      <c r="BE174" s="15"/>
      <c r="BH174" s="15"/>
    </row>
    <row r="175" spans="1:60" s="3" customFormat="1" x14ac:dyDescent="0.3">
      <c r="A175" s="11"/>
      <c r="B175" s="15"/>
      <c r="C175" s="2"/>
      <c r="D175" s="2"/>
      <c r="E175" s="15"/>
      <c r="F175" s="15"/>
      <c r="G175" s="2"/>
      <c r="I175" s="15"/>
      <c r="J175" s="15"/>
      <c r="K175" s="2"/>
      <c r="L175" s="15"/>
      <c r="M175" s="2"/>
      <c r="N175" s="2"/>
      <c r="O175" s="15"/>
      <c r="P175" s="2"/>
      <c r="Q175" s="2"/>
      <c r="R175" s="15"/>
      <c r="S175" s="15"/>
      <c r="T175" s="15"/>
      <c r="U175" s="15"/>
      <c r="X175" s="15"/>
      <c r="AA175" s="15"/>
      <c r="AC175" s="93"/>
      <c r="AD175"/>
      <c r="AE175"/>
      <c r="AF175"/>
      <c r="AG175"/>
      <c r="AH175"/>
      <c r="AI175"/>
      <c r="AJ175"/>
      <c r="AK175"/>
      <c r="AL175"/>
      <c r="AM175"/>
      <c r="AN175"/>
      <c r="AP175" s="15"/>
      <c r="AT175" s="15"/>
      <c r="AX175" s="15"/>
      <c r="BB175" s="15"/>
      <c r="BE175" s="15"/>
      <c r="BH175" s="15"/>
    </row>
    <row r="176" spans="1:60" s="3" customFormat="1" x14ac:dyDescent="0.3">
      <c r="A176" s="11"/>
      <c r="B176" s="15"/>
      <c r="C176" s="2"/>
      <c r="D176" s="2"/>
      <c r="E176" s="15"/>
      <c r="F176" s="15"/>
      <c r="G176" s="2"/>
      <c r="I176" s="15"/>
      <c r="J176" s="15"/>
      <c r="K176" s="2"/>
      <c r="L176" s="15"/>
      <c r="M176" s="2"/>
      <c r="N176" s="2"/>
      <c r="O176" s="15"/>
      <c r="P176" s="2"/>
      <c r="Q176" s="2"/>
      <c r="R176" s="15"/>
      <c r="S176" s="15"/>
      <c r="T176" s="15"/>
      <c r="U176" s="15"/>
      <c r="X176" s="15"/>
      <c r="AA176" s="15"/>
      <c r="AC176" s="93"/>
      <c r="AD176"/>
      <c r="AE176"/>
      <c r="AF176"/>
      <c r="AG176"/>
      <c r="AH176"/>
      <c r="AI176"/>
      <c r="AJ176"/>
      <c r="AK176"/>
      <c r="AL176"/>
      <c r="AM176"/>
      <c r="AN176"/>
      <c r="AP176" s="15"/>
      <c r="AT176" s="15"/>
      <c r="AX176" s="15"/>
      <c r="BB176" s="15"/>
      <c r="BE176" s="15"/>
      <c r="BH176" s="15"/>
    </row>
    <row r="177" spans="1:60" s="3" customFormat="1" x14ac:dyDescent="0.3">
      <c r="A177" s="11"/>
      <c r="B177" s="15"/>
      <c r="C177" s="2"/>
      <c r="D177" s="2"/>
      <c r="E177" s="15"/>
      <c r="F177" s="15"/>
      <c r="G177" s="2"/>
      <c r="I177" s="15"/>
      <c r="J177" s="15"/>
      <c r="K177" s="2"/>
      <c r="L177" s="15"/>
      <c r="M177" s="2"/>
      <c r="N177" s="2"/>
      <c r="O177" s="15"/>
      <c r="P177" s="2"/>
      <c r="Q177" s="2"/>
      <c r="R177" s="15"/>
      <c r="S177" s="15"/>
      <c r="T177" s="15"/>
      <c r="U177" s="15"/>
      <c r="X177" s="15"/>
      <c r="AA177" s="15"/>
      <c r="AC177" s="93"/>
      <c r="AD177"/>
      <c r="AE177"/>
      <c r="AF177"/>
      <c r="AG177"/>
      <c r="AH177"/>
      <c r="AI177"/>
      <c r="AJ177"/>
      <c r="AK177"/>
      <c r="AL177"/>
      <c r="AM177"/>
      <c r="AN177"/>
      <c r="AP177" s="15"/>
      <c r="AT177" s="15"/>
      <c r="AX177" s="15"/>
      <c r="BB177" s="15"/>
      <c r="BE177" s="15"/>
      <c r="BH177" s="15"/>
    </row>
    <row r="178" spans="1:60" s="3" customFormat="1" x14ac:dyDescent="0.3">
      <c r="A178" s="11"/>
      <c r="B178" s="15"/>
      <c r="C178" s="2"/>
      <c r="D178" s="2"/>
      <c r="E178" s="15"/>
      <c r="F178" s="15"/>
      <c r="G178" s="2"/>
      <c r="I178" s="15"/>
      <c r="J178" s="15"/>
      <c r="K178" s="2"/>
      <c r="L178" s="15"/>
      <c r="M178" s="2"/>
      <c r="N178" s="2"/>
      <c r="O178" s="15"/>
      <c r="P178" s="2"/>
      <c r="Q178" s="2"/>
      <c r="R178" s="15"/>
      <c r="S178" s="15"/>
      <c r="T178" s="15"/>
      <c r="U178" s="15"/>
      <c r="X178" s="15"/>
      <c r="AA178" s="15"/>
      <c r="AC178" s="93"/>
      <c r="AD178"/>
      <c r="AE178"/>
      <c r="AF178"/>
      <c r="AG178"/>
      <c r="AH178"/>
      <c r="AI178"/>
      <c r="AJ178"/>
      <c r="AK178"/>
      <c r="AL178"/>
      <c r="AM178"/>
      <c r="AN178"/>
      <c r="AP178" s="15"/>
      <c r="AT178" s="15"/>
      <c r="AX178" s="15"/>
      <c r="BB178" s="15"/>
      <c r="BE178" s="15"/>
      <c r="BH178" s="15"/>
    </row>
    <row r="179" spans="1:60" s="3" customFormat="1" x14ac:dyDescent="0.3">
      <c r="A179" s="11"/>
      <c r="B179" s="15"/>
      <c r="C179" s="2"/>
      <c r="D179" s="2"/>
      <c r="E179" s="15"/>
      <c r="F179" s="15"/>
      <c r="G179" s="2"/>
      <c r="I179" s="15"/>
      <c r="J179" s="15"/>
      <c r="K179" s="2"/>
      <c r="L179" s="15"/>
      <c r="M179" s="2"/>
      <c r="N179" s="2"/>
      <c r="O179" s="15"/>
      <c r="P179" s="2"/>
      <c r="Q179" s="2"/>
      <c r="R179" s="15"/>
      <c r="S179" s="15"/>
      <c r="T179" s="15"/>
      <c r="U179" s="15"/>
      <c r="X179" s="15"/>
      <c r="AA179" s="15"/>
      <c r="AC179" s="93"/>
      <c r="AD179"/>
      <c r="AE179"/>
      <c r="AF179"/>
      <c r="AG179"/>
      <c r="AH179"/>
      <c r="AI179"/>
      <c r="AJ179"/>
      <c r="AK179"/>
      <c r="AL179"/>
      <c r="AM179"/>
      <c r="AN179"/>
      <c r="AP179" s="15"/>
      <c r="AT179" s="15"/>
      <c r="AX179" s="15"/>
      <c r="BB179" s="15"/>
      <c r="BE179" s="15"/>
      <c r="BH179" s="15"/>
    </row>
    <row r="180" spans="1:60" s="3" customFormat="1" x14ac:dyDescent="0.3">
      <c r="A180" s="11"/>
      <c r="B180" s="15"/>
      <c r="C180" s="2"/>
      <c r="D180" s="2"/>
      <c r="E180" s="15"/>
      <c r="F180" s="15"/>
      <c r="G180" s="2"/>
      <c r="I180" s="15"/>
      <c r="J180" s="15"/>
      <c r="K180" s="2"/>
      <c r="L180" s="15"/>
      <c r="M180" s="2"/>
      <c r="N180" s="2"/>
      <c r="O180" s="15"/>
      <c r="P180" s="2"/>
      <c r="Q180" s="2"/>
      <c r="R180" s="15"/>
      <c r="S180" s="15"/>
      <c r="T180" s="15"/>
      <c r="U180" s="15"/>
      <c r="X180" s="15"/>
      <c r="AA180" s="15"/>
      <c r="AC180" s="93"/>
      <c r="AD180"/>
      <c r="AE180"/>
      <c r="AF180"/>
      <c r="AG180"/>
      <c r="AH180"/>
      <c r="AI180"/>
      <c r="AJ180"/>
      <c r="AK180"/>
      <c r="AL180"/>
      <c r="AM180"/>
      <c r="AN180"/>
      <c r="AP180" s="15"/>
      <c r="AT180" s="15"/>
      <c r="AX180" s="15"/>
      <c r="BB180" s="15"/>
      <c r="BE180" s="15"/>
      <c r="BH180" s="15"/>
    </row>
    <row r="181" spans="1:60" s="3" customFormat="1" x14ac:dyDescent="0.3">
      <c r="A181" s="11"/>
      <c r="B181" s="15"/>
      <c r="C181" s="2"/>
      <c r="D181" s="2"/>
      <c r="E181" s="15"/>
      <c r="F181" s="15"/>
      <c r="G181" s="2"/>
      <c r="I181" s="15"/>
      <c r="J181" s="15"/>
      <c r="K181" s="2"/>
      <c r="L181" s="15"/>
      <c r="M181" s="2"/>
      <c r="N181" s="2"/>
      <c r="O181" s="15"/>
      <c r="P181" s="2"/>
      <c r="Q181" s="2"/>
      <c r="R181" s="15"/>
      <c r="S181" s="15"/>
      <c r="T181" s="15"/>
      <c r="U181" s="15"/>
      <c r="X181" s="15"/>
      <c r="AA181" s="15"/>
      <c r="AC181" s="93"/>
      <c r="AD181"/>
      <c r="AE181"/>
      <c r="AF181"/>
      <c r="AG181"/>
      <c r="AH181"/>
      <c r="AI181"/>
      <c r="AJ181"/>
      <c r="AK181"/>
      <c r="AL181"/>
      <c r="AM181"/>
      <c r="AN181"/>
      <c r="AP181" s="15"/>
      <c r="AT181" s="15"/>
      <c r="AX181" s="15"/>
      <c r="BB181" s="15"/>
      <c r="BE181" s="15"/>
      <c r="BH181" s="15"/>
    </row>
    <row r="182" spans="1:60" s="3" customFormat="1" x14ac:dyDescent="0.3">
      <c r="A182" s="11"/>
      <c r="B182" s="15"/>
      <c r="C182" s="2"/>
      <c r="D182" s="2"/>
      <c r="E182" s="15"/>
      <c r="F182" s="15"/>
      <c r="G182" s="2"/>
      <c r="I182" s="15"/>
      <c r="J182" s="15"/>
      <c r="K182" s="2"/>
      <c r="L182" s="15"/>
      <c r="M182" s="2"/>
      <c r="N182" s="2"/>
      <c r="O182" s="15"/>
      <c r="P182" s="2"/>
      <c r="Q182" s="2"/>
      <c r="R182" s="15"/>
      <c r="S182" s="15"/>
      <c r="T182" s="15"/>
      <c r="U182" s="15"/>
      <c r="X182" s="15"/>
      <c r="AA182" s="15"/>
      <c r="AC182" s="93"/>
      <c r="AD182"/>
      <c r="AE182"/>
      <c r="AF182"/>
      <c r="AG182"/>
      <c r="AH182"/>
      <c r="AI182"/>
      <c r="AJ182"/>
      <c r="AK182"/>
      <c r="AL182"/>
      <c r="AM182"/>
      <c r="AN182"/>
      <c r="AP182" s="15"/>
      <c r="AT182" s="15"/>
      <c r="AX182" s="15"/>
      <c r="BB182" s="15"/>
      <c r="BE182" s="15"/>
      <c r="BH182" s="15"/>
    </row>
    <row r="183" spans="1:60" s="3" customFormat="1" x14ac:dyDescent="0.3">
      <c r="A183" s="11"/>
      <c r="B183" s="15"/>
      <c r="C183" s="2"/>
      <c r="D183" s="2"/>
      <c r="E183" s="15"/>
      <c r="F183" s="15"/>
      <c r="G183" s="2"/>
      <c r="I183" s="15"/>
      <c r="J183" s="15"/>
      <c r="K183" s="2"/>
      <c r="L183" s="15"/>
      <c r="M183" s="2"/>
      <c r="N183" s="2"/>
      <c r="O183" s="15"/>
      <c r="P183" s="2"/>
      <c r="Q183" s="2"/>
      <c r="R183" s="15"/>
      <c r="S183" s="15"/>
      <c r="T183" s="15"/>
      <c r="U183" s="15"/>
      <c r="X183" s="15"/>
      <c r="AA183" s="15"/>
      <c r="AC183" s="93"/>
      <c r="AD183"/>
      <c r="AE183"/>
      <c r="AF183"/>
      <c r="AG183"/>
      <c r="AH183"/>
      <c r="AI183"/>
      <c r="AJ183"/>
      <c r="AK183"/>
      <c r="AL183"/>
      <c r="AM183"/>
      <c r="AN183"/>
      <c r="AP183" s="15"/>
      <c r="AT183" s="15"/>
      <c r="AX183" s="15"/>
      <c r="BB183" s="15"/>
      <c r="BE183" s="15"/>
      <c r="BH183" s="15"/>
    </row>
    <row r="184" spans="1:60" s="3" customFormat="1" x14ac:dyDescent="0.3">
      <c r="A184" s="11"/>
      <c r="B184" s="15"/>
      <c r="C184" s="2"/>
      <c r="D184" s="2"/>
      <c r="E184" s="15"/>
      <c r="F184" s="15"/>
      <c r="G184" s="2"/>
      <c r="I184" s="15"/>
      <c r="J184" s="15"/>
      <c r="K184" s="2"/>
      <c r="L184" s="15"/>
      <c r="M184" s="2"/>
      <c r="N184" s="2"/>
      <c r="O184" s="15"/>
      <c r="P184" s="2"/>
      <c r="Q184" s="2"/>
      <c r="R184" s="15"/>
      <c r="S184" s="15"/>
      <c r="T184" s="15"/>
      <c r="U184" s="15"/>
      <c r="X184" s="15"/>
      <c r="AA184" s="15"/>
      <c r="AC184" s="93"/>
      <c r="AD184"/>
      <c r="AE184"/>
      <c r="AF184"/>
      <c r="AG184"/>
      <c r="AH184"/>
      <c r="AI184"/>
      <c r="AJ184"/>
      <c r="AK184"/>
      <c r="AL184"/>
      <c r="AM184"/>
      <c r="AN184"/>
      <c r="AP184" s="15"/>
      <c r="AT184" s="15"/>
      <c r="AX184" s="15"/>
      <c r="BB184" s="15"/>
      <c r="BE184" s="15"/>
      <c r="BH184" s="15"/>
    </row>
    <row r="185" spans="1:60" s="3" customFormat="1" x14ac:dyDescent="0.3">
      <c r="A185" s="11"/>
      <c r="B185" s="15"/>
      <c r="C185" s="2"/>
      <c r="D185" s="2"/>
      <c r="E185" s="15"/>
      <c r="F185" s="15"/>
      <c r="G185" s="2"/>
      <c r="I185" s="15"/>
      <c r="J185" s="15"/>
      <c r="K185" s="2"/>
      <c r="L185" s="15"/>
      <c r="M185" s="2"/>
      <c r="N185" s="2"/>
      <c r="O185" s="15"/>
      <c r="P185" s="2"/>
      <c r="Q185" s="2"/>
      <c r="R185" s="15"/>
      <c r="S185" s="15"/>
      <c r="T185" s="15"/>
      <c r="U185" s="15"/>
      <c r="X185" s="15"/>
      <c r="AA185" s="15"/>
      <c r="AC185" s="93"/>
      <c r="AD185"/>
      <c r="AE185"/>
      <c r="AF185"/>
      <c r="AG185"/>
      <c r="AH185"/>
      <c r="AI185"/>
      <c r="AJ185"/>
      <c r="AK185"/>
      <c r="AL185"/>
      <c r="AM185"/>
      <c r="AN185"/>
      <c r="AP185" s="15"/>
      <c r="AT185" s="15"/>
      <c r="AX185" s="15"/>
      <c r="BB185" s="15"/>
      <c r="BE185" s="15"/>
      <c r="BH185" s="15"/>
    </row>
    <row r="186" spans="1:60" s="3" customFormat="1" x14ac:dyDescent="0.3">
      <c r="A186" s="11"/>
      <c r="B186" s="15"/>
      <c r="C186" s="2"/>
      <c r="D186" s="2"/>
      <c r="E186" s="15"/>
      <c r="F186" s="15"/>
      <c r="G186" s="2"/>
      <c r="I186" s="15"/>
      <c r="J186" s="15"/>
      <c r="K186" s="2"/>
      <c r="L186" s="15"/>
      <c r="M186" s="2"/>
      <c r="N186" s="2"/>
      <c r="O186" s="15"/>
      <c r="P186" s="2"/>
      <c r="Q186" s="2"/>
      <c r="R186" s="15"/>
      <c r="S186" s="15"/>
      <c r="T186" s="15"/>
      <c r="U186" s="15"/>
      <c r="X186" s="15"/>
      <c r="AA186" s="15"/>
      <c r="AC186" s="93"/>
      <c r="AD186"/>
      <c r="AE186"/>
      <c r="AF186"/>
      <c r="AG186"/>
      <c r="AH186"/>
      <c r="AI186"/>
      <c r="AJ186"/>
      <c r="AK186"/>
      <c r="AL186"/>
      <c r="AM186"/>
      <c r="AN186"/>
      <c r="AP186" s="15"/>
      <c r="AT186" s="15"/>
      <c r="AX186" s="15"/>
      <c r="BB186" s="15"/>
      <c r="BE186" s="15"/>
      <c r="BH186" s="15"/>
    </row>
    <row r="187" spans="1:60" s="3" customFormat="1" x14ac:dyDescent="0.3">
      <c r="A187" s="11"/>
      <c r="B187" s="15"/>
      <c r="C187" s="2"/>
      <c r="D187" s="2"/>
      <c r="E187" s="15"/>
      <c r="F187" s="15"/>
      <c r="G187" s="2"/>
      <c r="I187" s="15"/>
      <c r="J187" s="15"/>
      <c r="K187" s="2"/>
      <c r="L187" s="15"/>
      <c r="M187" s="2"/>
      <c r="N187" s="2"/>
      <c r="O187" s="15"/>
      <c r="P187" s="2"/>
      <c r="Q187" s="2"/>
      <c r="R187" s="15"/>
      <c r="S187" s="15"/>
      <c r="T187" s="15"/>
      <c r="U187" s="15"/>
      <c r="X187" s="15"/>
      <c r="AA187" s="15"/>
      <c r="AC187" s="93"/>
      <c r="AD187"/>
      <c r="AE187"/>
      <c r="AF187"/>
      <c r="AG187"/>
      <c r="AH187"/>
      <c r="AI187"/>
      <c r="AJ187"/>
      <c r="AK187"/>
      <c r="AL187"/>
      <c r="AM187"/>
      <c r="AN187"/>
      <c r="AP187" s="15"/>
      <c r="AT187" s="15"/>
      <c r="AX187" s="15"/>
      <c r="BB187" s="15"/>
      <c r="BE187" s="15"/>
      <c r="BH187" s="15"/>
    </row>
    <row r="188" spans="1:60" s="3" customFormat="1" x14ac:dyDescent="0.3">
      <c r="A188" s="11"/>
      <c r="B188" s="15"/>
      <c r="C188" s="2"/>
      <c r="D188" s="2"/>
      <c r="E188" s="15"/>
      <c r="F188" s="15"/>
      <c r="G188" s="2"/>
      <c r="I188" s="15"/>
      <c r="J188" s="15"/>
      <c r="K188" s="2"/>
      <c r="L188" s="15"/>
      <c r="M188" s="2"/>
      <c r="N188" s="2"/>
      <c r="O188" s="15"/>
      <c r="P188" s="2"/>
      <c r="Q188" s="2"/>
      <c r="R188" s="15"/>
      <c r="S188" s="15"/>
      <c r="T188" s="15"/>
      <c r="U188" s="15"/>
      <c r="X188" s="15"/>
      <c r="AA188" s="15"/>
      <c r="AC188" s="93"/>
      <c r="AD188"/>
      <c r="AE188"/>
      <c r="AF188"/>
      <c r="AG188"/>
      <c r="AH188"/>
      <c r="AI188"/>
      <c r="AJ188"/>
      <c r="AK188"/>
      <c r="AL188"/>
      <c r="AM188"/>
      <c r="AN188"/>
      <c r="AP188" s="15"/>
      <c r="AT188" s="15"/>
      <c r="AX188" s="15"/>
      <c r="BB188" s="15"/>
      <c r="BE188" s="15"/>
      <c r="BH188" s="15"/>
    </row>
    <row r="189" spans="1:60" s="3" customFormat="1" x14ac:dyDescent="0.3">
      <c r="A189" s="11"/>
      <c r="B189" s="15"/>
      <c r="C189" s="2"/>
      <c r="D189" s="2"/>
      <c r="E189" s="15"/>
      <c r="F189" s="15"/>
      <c r="G189" s="2"/>
      <c r="I189" s="15"/>
      <c r="J189" s="15"/>
      <c r="K189" s="2"/>
      <c r="L189" s="15"/>
      <c r="M189" s="2"/>
      <c r="N189" s="2"/>
      <c r="O189" s="15"/>
      <c r="P189" s="2"/>
      <c r="Q189" s="2"/>
      <c r="R189" s="15"/>
      <c r="S189" s="15"/>
      <c r="T189" s="15"/>
      <c r="U189" s="15"/>
      <c r="X189" s="15"/>
      <c r="AA189" s="15"/>
      <c r="AC189" s="93"/>
      <c r="AD189"/>
      <c r="AE189"/>
      <c r="AF189"/>
      <c r="AG189"/>
      <c r="AH189"/>
      <c r="AI189"/>
      <c r="AJ189"/>
      <c r="AK189"/>
      <c r="AL189"/>
      <c r="AM189"/>
      <c r="AN189"/>
      <c r="AP189" s="15"/>
      <c r="AT189" s="15"/>
      <c r="AX189" s="15"/>
      <c r="BB189" s="15"/>
      <c r="BE189" s="15"/>
      <c r="BH189" s="15"/>
    </row>
    <row r="190" spans="1:60" s="3" customFormat="1" x14ac:dyDescent="0.3">
      <c r="A190" s="11"/>
      <c r="B190" s="15"/>
      <c r="C190" s="2"/>
      <c r="D190" s="2"/>
      <c r="E190" s="15"/>
      <c r="F190" s="15"/>
      <c r="G190" s="2"/>
      <c r="I190" s="15"/>
      <c r="J190" s="15"/>
      <c r="K190" s="2"/>
      <c r="L190" s="15"/>
      <c r="M190" s="2"/>
      <c r="N190" s="2"/>
      <c r="O190" s="15"/>
      <c r="P190" s="2"/>
      <c r="Q190" s="2"/>
      <c r="R190" s="15"/>
      <c r="S190" s="15"/>
      <c r="T190" s="15"/>
      <c r="U190" s="15"/>
      <c r="X190" s="15"/>
      <c r="AA190" s="15"/>
      <c r="AC190" s="93"/>
      <c r="AD190"/>
      <c r="AE190"/>
      <c r="AF190"/>
      <c r="AG190"/>
      <c r="AH190"/>
      <c r="AI190"/>
      <c r="AJ190"/>
      <c r="AK190"/>
      <c r="AL190"/>
      <c r="AM190"/>
      <c r="AN190"/>
      <c r="AP190" s="15"/>
      <c r="AT190" s="15"/>
      <c r="AX190" s="15"/>
      <c r="BB190" s="15"/>
      <c r="BE190" s="15"/>
      <c r="BH190" s="15"/>
    </row>
    <row r="191" spans="1:60" s="3" customFormat="1" x14ac:dyDescent="0.3">
      <c r="A191" s="11"/>
      <c r="B191" s="15"/>
      <c r="C191" s="2"/>
      <c r="D191" s="2"/>
      <c r="E191" s="15"/>
      <c r="F191" s="15"/>
      <c r="G191" s="2"/>
      <c r="I191" s="15"/>
      <c r="J191" s="15"/>
      <c r="K191" s="2"/>
      <c r="L191" s="15"/>
      <c r="M191" s="2"/>
      <c r="N191" s="2"/>
      <c r="O191" s="15"/>
      <c r="P191" s="2"/>
      <c r="Q191" s="2"/>
      <c r="R191" s="15"/>
      <c r="S191" s="15"/>
      <c r="T191" s="15"/>
      <c r="U191" s="15"/>
      <c r="X191" s="15"/>
      <c r="AA191" s="15"/>
      <c r="AC191" s="93"/>
      <c r="AD191"/>
      <c r="AE191"/>
      <c r="AF191"/>
      <c r="AG191"/>
      <c r="AH191"/>
      <c r="AI191"/>
      <c r="AJ191"/>
      <c r="AK191"/>
      <c r="AL191"/>
      <c r="AM191"/>
      <c r="AN191"/>
      <c r="AP191" s="15"/>
      <c r="AT191" s="15"/>
      <c r="AX191" s="15"/>
      <c r="BB191" s="15"/>
      <c r="BE191" s="15"/>
      <c r="BH191" s="15"/>
    </row>
    <row r="192" spans="1:60" s="3" customFormat="1" x14ac:dyDescent="0.3">
      <c r="A192" s="11"/>
      <c r="B192" s="15"/>
      <c r="C192" s="2"/>
      <c r="D192" s="2"/>
      <c r="E192" s="15"/>
      <c r="F192" s="15"/>
      <c r="G192" s="2"/>
      <c r="I192" s="15"/>
      <c r="J192" s="15"/>
      <c r="K192" s="2"/>
      <c r="L192" s="15"/>
      <c r="M192" s="2"/>
      <c r="N192" s="2"/>
      <c r="O192" s="15"/>
      <c r="P192" s="2"/>
      <c r="Q192" s="2"/>
      <c r="R192" s="15"/>
      <c r="S192" s="15"/>
      <c r="T192" s="15"/>
      <c r="U192" s="15"/>
      <c r="X192" s="15"/>
      <c r="AA192" s="15"/>
      <c r="AC192" s="93"/>
      <c r="AD192"/>
      <c r="AE192"/>
      <c r="AF192"/>
      <c r="AG192"/>
      <c r="AH192"/>
      <c r="AI192"/>
      <c r="AJ192"/>
      <c r="AK192"/>
      <c r="AL192"/>
      <c r="AM192"/>
      <c r="AN192"/>
      <c r="AP192" s="15"/>
      <c r="AT192" s="15"/>
      <c r="AX192" s="15"/>
      <c r="BB192" s="15"/>
      <c r="BE192" s="15"/>
      <c r="BH192" s="15"/>
    </row>
    <row r="193" spans="1:60" s="3" customFormat="1" x14ac:dyDescent="0.3">
      <c r="A193" s="11"/>
      <c r="B193" s="15"/>
      <c r="C193" s="2"/>
      <c r="D193" s="2"/>
      <c r="E193" s="15"/>
      <c r="F193" s="15"/>
      <c r="G193" s="2"/>
      <c r="I193" s="15"/>
      <c r="J193" s="15"/>
      <c r="K193" s="2"/>
      <c r="L193" s="15"/>
      <c r="M193" s="2"/>
      <c r="N193" s="2"/>
      <c r="O193" s="15"/>
      <c r="P193" s="2"/>
      <c r="Q193" s="2"/>
      <c r="R193" s="15"/>
      <c r="S193" s="15"/>
      <c r="T193" s="15"/>
      <c r="U193" s="15"/>
      <c r="X193" s="15"/>
      <c r="AA193" s="15"/>
      <c r="AC193" s="93"/>
      <c r="AD193"/>
      <c r="AE193"/>
      <c r="AF193"/>
      <c r="AG193"/>
      <c r="AH193"/>
      <c r="AI193"/>
      <c r="AJ193"/>
      <c r="AK193"/>
      <c r="AL193"/>
      <c r="AM193"/>
      <c r="AN193"/>
      <c r="AP193" s="15"/>
      <c r="AT193" s="15"/>
      <c r="AX193" s="15"/>
      <c r="BB193" s="15"/>
      <c r="BE193" s="15"/>
      <c r="BH193" s="15"/>
    </row>
    <row r="194" spans="1:60" s="3" customFormat="1" x14ac:dyDescent="0.3">
      <c r="A194" s="11"/>
      <c r="B194" s="15"/>
      <c r="C194" s="2"/>
      <c r="D194" s="2"/>
      <c r="E194" s="15"/>
      <c r="F194" s="15"/>
      <c r="G194" s="2"/>
      <c r="I194" s="15"/>
      <c r="J194" s="15"/>
      <c r="K194" s="2"/>
      <c r="L194" s="15"/>
      <c r="M194" s="2"/>
      <c r="N194" s="2"/>
      <c r="O194" s="15"/>
      <c r="P194" s="2"/>
      <c r="Q194" s="2"/>
      <c r="R194" s="15"/>
      <c r="S194" s="15"/>
      <c r="T194" s="15"/>
      <c r="U194" s="15"/>
      <c r="X194" s="15"/>
      <c r="AA194" s="15"/>
      <c r="AC194" s="93"/>
      <c r="AD194"/>
      <c r="AE194"/>
      <c r="AF194"/>
      <c r="AG194"/>
      <c r="AH194"/>
      <c r="AI194"/>
      <c r="AJ194"/>
      <c r="AK194"/>
      <c r="AL194"/>
      <c r="AM194"/>
      <c r="AN194"/>
      <c r="AP194" s="15"/>
      <c r="AT194" s="15"/>
      <c r="AX194" s="15"/>
      <c r="BB194" s="15"/>
      <c r="BE194" s="15"/>
      <c r="BH194" s="15"/>
    </row>
    <row r="195" spans="1:60" s="3" customFormat="1" x14ac:dyDescent="0.3">
      <c r="A195" s="11"/>
      <c r="B195" s="15"/>
      <c r="C195" s="2"/>
      <c r="D195" s="2"/>
      <c r="E195" s="15"/>
      <c r="F195" s="15"/>
      <c r="G195" s="2"/>
      <c r="I195" s="15"/>
      <c r="J195" s="15"/>
      <c r="K195" s="2"/>
      <c r="L195" s="15"/>
      <c r="M195" s="2"/>
      <c r="N195" s="2"/>
      <c r="O195" s="15"/>
      <c r="P195" s="2"/>
      <c r="Q195" s="2"/>
      <c r="R195" s="15"/>
      <c r="S195" s="15"/>
      <c r="T195" s="15"/>
      <c r="U195" s="15"/>
      <c r="X195" s="15"/>
      <c r="AA195" s="15"/>
      <c r="AC195" s="93"/>
      <c r="AD195"/>
      <c r="AE195"/>
      <c r="AF195"/>
      <c r="AG195"/>
      <c r="AH195"/>
      <c r="AI195"/>
      <c r="AJ195"/>
      <c r="AK195"/>
      <c r="AL195"/>
      <c r="AM195"/>
      <c r="AN195"/>
      <c r="AP195" s="15"/>
      <c r="AT195" s="15"/>
      <c r="AX195" s="15"/>
      <c r="BB195" s="15"/>
      <c r="BE195" s="15"/>
      <c r="BH195" s="15"/>
    </row>
    <row r="196" spans="1:60" s="3" customFormat="1" x14ac:dyDescent="0.3">
      <c r="A196" s="11"/>
      <c r="B196" s="15"/>
      <c r="C196" s="2"/>
      <c r="D196" s="2"/>
      <c r="E196" s="15"/>
      <c r="F196" s="15"/>
      <c r="G196" s="2"/>
      <c r="I196" s="15"/>
      <c r="J196" s="15"/>
      <c r="K196" s="2"/>
      <c r="L196" s="15"/>
      <c r="M196" s="2"/>
      <c r="N196" s="2"/>
      <c r="O196" s="15"/>
      <c r="P196" s="2"/>
      <c r="Q196" s="2"/>
      <c r="R196" s="15"/>
      <c r="S196" s="15"/>
      <c r="T196" s="15"/>
      <c r="U196" s="15"/>
      <c r="X196" s="15"/>
      <c r="AA196" s="15"/>
      <c r="AC196" s="93"/>
      <c r="AD196"/>
      <c r="AE196"/>
      <c r="AF196"/>
      <c r="AG196"/>
      <c r="AH196"/>
      <c r="AI196"/>
      <c r="AJ196"/>
      <c r="AK196"/>
      <c r="AL196"/>
      <c r="AM196"/>
      <c r="AN196"/>
      <c r="AP196" s="15"/>
      <c r="AT196" s="15"/>
      <c r="AX196" s="15"/>
      <c r="BB196" s="15"/>
      <c r="BE196" s="15"/>
      <c r="BH196" s="15"/>
    </row>
    <row r="197" spans="1:60" s="3" customFormat="1" x14ac:dyDescent="0.3">
      <c r="A197" s="11"/>
      <c r="B197" s="15"/>
      <c r="C197" s="2"/>
      <c r="D197" s="2"/>
      <c r="E197" s="15"/>
      <c r="F197" s="15"/>
      <c r="G197" s="2"/>
      <c r="I197" s="15"/>
      <c r="J197" s="15"/>
      <c r="K197" s="2"/>
      <c r="L197" s="15"/>
      <c r="M197" s="2"/>
      <c r="N197" s="2"/>
      <c r="O197" s="15"/>
      <c r="P197" s="2"/>
      <c r="Q197" s="2"/>
      <c r="R197" s="15"/>
      <c r="S197" s="15"/>
      <c r="T197" s="15"/>
      <c r="U197" s="15"/>
      <c r="X197" s="15"/>
      <c r="AA197" s="15"/>
      <c r="AC197" s="93"/>
      <c r="AD197"/>
      <c r="AE197"/>
      <c r="AF197"/>
      <c r="AG197"/>
      <c r="AH197"/>
      <c r="AI197"/>
      <c r="AJ197"/>
      <c r="AK197"/>
      <c r="AL197"/>
      <c r="AM197"/>
      <c r="AN197"/>
      <c r="AP197" s="15"/>
      <c r="AT197" s="15"/>
      <c r="AX197" s="15"/>
      <c r="BB197" s="15"/>
      <c r="BE197" s="15"/>
      <c r="BH197" s="15"/>
    </row>
    <row r="198" spans="1:60" s="3" customFormat="1" x14ac:dyDescent="0.3">
      <c r="A198" s="11"/>
      <c r="B198" s="15"/>
      <c r="C198" s="2"/>
      <c r="D198" s="2"/>
      <c r="E198" s="15"/>
      <c r="F198" s="15"/>
      <c r="G198" s="2"/>
      <c r="I198" s="15"/>
      <c r="J198" s="15"/>
      <c r="K198" s="2"/>
      <c r="L198" s="15"/>
      <c r="M198" s="2"/>
      <c r="N198" s="2"/>
      <c r="O198" s="15"/>
      <c r="P198" s="2"/>
      <c r="Q198" s="2"/>
      <c r="R198" s="15"/>
      <c r="S198" s="15"/>
      <c r="T198" s="15"/>
      <c r="U198" s="15"/>
      <c r="X198" s="15"/>
      <c r="AA198" s="15"/>
      <c r="AC198" s="93"/>
      <c r="AD198"/>
      <c r="AE198"/>
      <c r="AF198"/>
      <c r="AG198"/>
      <c r="AH198"/>
      <c r="AI198"/>
      <c r="AJ198"/>
      <c r="AK198"/>
      <c r="AL198"/>
      <c r="AM198"/>
      <c r="AN198"/>
      <c r="AP198" s="15"/>
      <c r="AT198" s="15"/>
      <c r="AX198" s="15"/>
      <c r="BB198" s="15"/>
      <c r="BE198" s="15"/>
      <c r="BH198" s="15"/>
    </row>
    <row r="199" spans="1:60" s="3" customFormat="1" x14ac:dyDescent="0.3">
      <c r="A199" s="11"/>
      <c r="B199" s="15"/>
      <c r="C199" s="2"/>
      <c r="D199" s="2"/>
      <c r="E199" s="15"/>
      <c r="F199" s="15"/>
      <c r="G199" s="2"/>
      <c r="I199" s="15"/>
      <c r="J199" s="15"/>
      <c r="K199" s="2"/>
      <c r="L199" s="15"/>
      <c r="M199" s="2"/>
      <c r="N199" s="2"/>
      <c r="O199" s="15"/>
      <c r="P199" s="2"/>
      <c r="Q199" s="2"/>
      <c r="R199" s="15"/>
      <c r="S199" s="15"/>
      <c r="T199" s="15"/>
      <c r="U199" s="15"/>
      <c r="X199" s="15"/>
      <c r="AA199" s="15"/>
      <c r="AC199" s="93"/>
      <c r="AD199"/>
      <c r="AE199"/>
      <c r="AF199"/>
      <c r="AG199"/>
      <c r="AH199"/>
      <c r="AI199"/>
      <c r="AJ199"/>
      <c r="AK199"/>
      <c r="AL199"/>
      <c r="AM199"/>
      <c r="AN199"/>
      <c r="AP199" s="15"/>
      <c r="AT199" s="15"/>
      <c r="AX199" s="15"/>
      <c r="BB199" s="15"/>
      <c r="BE199" s="15"/>
      <c r="BH199" s="15"/>
    </row>
    <row r="200" spans="1:60" s="3" customFormat="1" x14ac:dyDescent="0.3">
      <c r="A200" s="11"/>
      <c r="B200" s="15"/>
      <c r="C200" s="2"/>
      <c r="D200" s="2"/>
      <c r="E200" s="15"/>
      <c r="F200" s="15"/>
      <c r="G200" s="2"/>
      <c r="I200" s="15"/>
      <c r="J200" s="15"/>
      <c r="K200" s="2"/>
      <c r="L200" s="15"/>
      <c r="M200" s="2"/>
      <c r="N200" s="2"/>
      <c r="O200" s="15"/>
      <c r="P200" s="2"/>
      <c r="Q200" s="2"/>
      <c r="R200" s="15"/>
      <c r="S200" s="15"/>
      <c r="T200" s="15"/>
      <c r="U200" s="15"/>
      <c r="X200" s="15"/>
      <c r="AA200" s="15"/>
      <c r="AC200" s="93"/>
      <c r="AD200"/>
      <c r="AE200"/>
      <c r="AF200"/>
      <c r="AG200"/>
      <c r="AH200"/>
      <c r="AI200"/>
      <c r="AJ200"/>
      <c r="AK200"/>
      <c r="AL200"/>
      <c r="AM200"/>
      <c r="AN200"/>
      <c r="AP200" s="15"/>
      <c r="AT200" s="15"/>
      <c r="AX200" s="15"/>
      <c r="BB200" s="15"/>
      <c r="BE200" s="15"/>
      <c r="BH200" s="15"/>
    </row>
    <row r="201" spans="1:60" s="3" customFormat="1" x14ac:dyDescent="0.3">
      <c r="A201" s="11"/>
      <c r="B201" s="15"/>
      <c r="C201" s="1"/>
      <c r="D201" s="1"/>
      <c r="E201" s="15"/>
      <c r="F201" s="15"/>
      <c r="G201" s="1"/>
      <c r="I201" s="15"/>
      <c r="J201" s="15"/>
      <c r="K201" s="1"/>
      <c r="L201" s="15"/>
      <c r="M201" s="1"/>
      <c r="N201" s="1"/>
      <c r="O201" s="15"/>
      <c r="P201" s="1"/>
      <c r="Q201" s="1"/>
      <c r="R201" s="15"/>
      <c r="S201" s="15"/>
      <c r="T201" s="15"/>
      <c r="U201" s="15"/>
      <c r="X201" s="15"/>
      <c r="AA201" s="15"/>
      <c r="AC201" s="93"/>
      <c r="AD201"/>
      <c r="AE201"/>
      <c r="AF201"/>
      <c r="AG201"/>
      <c r="AH201"/>
      <c r="AI201"/>
      <c r="AJ201"/>
      <c r="AK201"/>
      <c r="AL201"/>
      <c r="AM201"/>
      <c r="AN201"/>
      <c r="AP201" s="15"/>
      <c r="AT201" s="15"/>
      <c r="AX201" s="15"/>
      <c r="BB201" s="15"/>
      <c r="BE201" s="15"/>
      <c r="BH201" s="15"/>
    </row>
    <row r="202" spans="1:60" s="3" customFormat="1" x14ac:dyDescent="0.3">
      <c r="A202" s="11"/>
      <c r="B202" s="15"/>
      <c r="C202" s="1"/>
      <c r="D202" s="1"/>
      <c r="E202" s="15"/>
      <c r="F202" s="15"/>
      <c r="G202" s="1"/>
      <c r="I202" s="15"/>
      <c r="J202" s="15"/>
      <c r="K202" s="1"/>
      <c r="L202" s="15"/>
      <c r="M202" s="1"/>
      <c r="N202" s="1"/>
      <c r="O202" s="15"/>
      <c r="P202" s="1"/>
      <c r="Q202" s="1"/>
      <c r="R202" s="15"/>
      <c r="S202" s="15"/>
      <c r="T202" s="15"/>
      <c r="U202" s="15"/>
      <c r="X202" s="15"/>
      <c r="AA202" s="15"/>
      <c r="AC202" s="93"/>
      <c r="AD202"/>
      <c r="AE202"/>
      <c r="AF202"/>
      <c r="AG202"/>
      <c r="AH202"/>
      <c r="AI202"/>
      <c r="AJ202"/>
      <c r="AK202"/>
      <c r="AL202"/>
      <c r="AM202"/>
      <c r="AN202"/>
      <c r="AP202" s="15"/>
      <c r="AT202" s="15"/>
      <c r="AX202" s="15"/>
      <c r="BB202" s="15"/>
      <c r="BE202" s="15"/>
      <c r="BH202" s="15"/>
    </row>
    <row r="203" spans="1:60" s="3" customFormat="1" x14ac:dyDescent="0.3">
      <c r="A203" s="11"/>
      <c r="B203" s="15"/>
      <c r="C203" s="1"/>
      <c r="D203" s="1"/>
      <c r="E203" s="15"/>
      <c r="F203" s="15"/>
      <c r="G203" s="1"/>
      <c r="I203" s="15"/>
      <c r="J203" s="15"/>
      <c r="K203" s="1"/>
      <c r="L203" s="15"/>
      <c r="M203" s="1"/>
      <c r="N203" s="1"/>
      <c r="O203" s="15"/>
      <c r="P203" s="1"/>
      <c r="Q203" s="1"/>
      <c r="R203" s="15"/>
      <c r="S203" s="15"/>
      <c r="T203" s="15"/>
      <c r="U203" s="15"/>
      <c r="X203" s="15"/>
      <c r="AA203" s="15"/>
      <c r="AC203" s="93"/>
      <c r="AD203"/>
      <c r="AE203"/>
      <c r="AF203"/>
      <c r="AG203"/>
      <c r="AH203"/>
      <c r="AI203"/>
      <c r="AJ203"/>
      <c r="AK203"/>
      <c r="AL203"/>
      <c r="AM203"/>
      <c r="AN203"/>
      <c r="AP203" s="15"/>
      <c r="AT203" s="15"/>
      <c r="AX203" s="15"/>
      <c r="BB203" s="15"/>
      <c r="BE203" s="15"/>
      <c r="BH203" s="15"/>
    </row>
    <row r="204" spans="1:60" s="3" customFormat="1" x14ac:dyDescent="0.3">
      <c r="A204" s="11"/>
      <c r="B204" s="15"/>
      <c r="C204" s="1"/>
      <c r="D204" s="1"/>
      <c r="E204" s="15"/>
      <c r="F204" s="15"/>
      <c r="G204" s="1"/>
      <c r="I204" s="15"/>
      <c r="J204" s="15"/>
      <c r="K204" s="1"/>
      <c r="L204" s="15"/>
      <c r="M204" s="1"/>
      <c r="N204" s="1"/>
      <c r="O204" s="15"/>
      <c r="P204" s="1"/>
      <c r="Q204" s="1"/>
      <c r="R204" s="15"/>
      <c r="S204" s="15"/>
      <c r="T204" s="15"/>
      <c r="U204" s="15"/>
      <c r="X204" s="15"/>
      <c r="AA204" s="15"/>
      <c r="AC204" s="93"/>
      <c r="AD204"/>
      <c r="AE204"/>
      <c r="AF204"/>
      <c r="AG204"/>
      <c r="AH204"/>
      <c r="AI204"/>
      <c r="AJ204"/>
      <c r="AK204"/>
      <c r="AL204"/>
      <c r="AM204"/>
      <c r="AN204"/>
      <c r="AP204" s="15"/>
      <c r="AT204" s="15"/>
      <c r="AX204" s="15"/>
      <c r="BB204" s="15"/>
      <c r="BE204" s="15"/>
      <c r="BH204" s="15"/>
    </row>
    <row r="205" spans="1:60" s="3" customFormat="1" x14ac:dyDescent="0.3">
      <c r="A205" s="11"/>
      <c r="B205" s="15"/>
      <c r="C205" s="1"/>
      <c r="D205" s="1"/>
      <c r="E205" s="15"/>
      <c r="F205" s="15"/>
      <c r="G205" s="1"/>
      <c r="I205" s="15"/>
      <c r="J205" s="15"/>
      <c r="K205" s="1"/>
      <c r="L205" s="15"/>
      <c r="M205" s="1"/>
      <c r="N205" s="1"/>
      <c r="O205" s="15"/>
      <c r="P205" s="1"/>
      <c r="Q205" s="1"/>
      <c r="R205" s="15"/>
      <c r="S205" s="15"/>
      <c r="T205" s="15"/>
      <c r="U205" s="15"/>
      <c r="X205" s="15"/>
      <c r="AA205" s="15"/>
      <c r="AC205" s="93"/>
      <c r="AD205"/>
      <c r="AE205"/>
      <c r="AF205"/>
      <c r="AG205"/>
      <c r="AH205"/>
      <c r="AI205"/>
      <c r="AJ205"/>
      <c r="AK205"/>
      <c r="AL205"/>
      <c r="AM205"/>
      <c r="AN205"/>
      <c r="AP205" s="15"/>
      <c r="AT205" s="15"/>
      <c r="AX205" s="15"/>
      <c r="BB205" s="15"/>
      <c r="BE205" s="15"/>
      <c r="BH205" s="15"/>
    </row>
    <row r="206" spans="1:60" s="3" customFormat="1" x14ac:dyDescent="0.3">
      <c r="A206" s="11"/>
      <c r="B206" s="15"/>
      <c r="C206" s="1"/>
      <c r="D206" s="1"/>
      <c r="E206" s="15"/>
      <c r="F206" s="15"/>
      <c r="G206" s="1"/>
      <c r="I206" s="15"/>
      <c r="J206" s="15"/>
      <c r="K206" s="1"/>
      <c r="L206" s="15"/>
      <c r="M206" s="1"/>
      <c r="N206" s="1"/>
      <c r="O206" s="15"/>
      <c r="P206" s="1"/>
      <c r="Q206" s="1"/>
      <c r="R206" s="15"/>
      <c r="S206" s="15"/>
      <c r="T206" s="15"/>
      <c r="U206" s="15"/>
      <c r="X206" s="15"/>
      <c r="AA206" s="15"/>
      <c r="AC206" s="93"/>
      <c r="AD206"/>
      <c r="AE206"/>
      <c r="AF206"/>
      <c r="AG206"/>
      <c r="AH206"/>
      <c r="AI206"/>
      <c r="AJ206"/>
      <c r="AK206"/>
      <c r="AL206"/>
      <c r="AM206"/>
      <c r="AN206"/>
      <c r="AP206" s="15"/>
      <c r="AT206" s="15"/>
      <c r="AX206" s="15"/>
      <c r="BB206" s="15"/>
      <c r="BE206" s="15"/>
      <c r="BH206" s="15"/>
    </row>
    <row r="207" spans="1:60" s="3" customFormat="1" x14ac:dyDescent="0.3">
      <c r="A207" s="11"/>
      <c r="B207" s="15"/>
      <c r="C207" s="1"/>
      <c r="D207" s="1"/>
      <c r="E207" s="15"/>
      <c r="F207" s="15"/>
      <c r="G207" s="1"/>
      <c r="I207" s="15"/>
      <c r="J207" s="15"/>
      <c r="K207" s="1"/>
      <c r="L207" s="15"/>
      <c r="M207" s="1"/>
      <c r="N207" s="1"/>
      <c r="O207" s="15"/>
      <c r="P207" s="1"/>
      <c r="Q207" s="1"/>
      <c r="R207" s="15"/>
      <c r="S207" s="15"/>
      <c r="T207" s="15"/>
      <c r="U207" s="15"/>
      <c r="X207" s="15"/>
      <c r="AA207" s="15"/>
      <c r="AC207" s="93"/>
      <c r="AD207"/>
      <c r="AE207"/>
      <c r="AF207"/>
      <c r="AG207"/>
      <c r="AH207"/>
      <c r="AI207"/>
      <c r="AJ207"/>
      <c r="AK207"/>
      <c r="AL207"/>
      <c r="AM207"/>
      <c r="AN207"/>
      <c r="AP207" s="15"/>
      <c r="AT207" s="15"/>
      <c r="AX207" s="15"/>
      <c r="BB207" s="15"/>
      <c r="BE207" s="15"/>
      <c r="BH207" s="15"/>
    </row>
    <row r="208" spans="1:60" s="3" customFormat="1" x14ac:dyDescent="0.3">
      <c r="A208" s="11"/>
      <c r="B208" s="15"/>
      <c r="C208" s="1"/>
      <c r="D208" s="1"/>
      <c r="E208" s="15"/>
      <c r="F208" s="15"/>
      <c r="G208" s="1"/>
      <c r="I208" s="15"/>
      <c r="J208" s="15"/>
      <c r="K208" s="1"/>
      <c r="L208" s="15"/>
      <c r="M208" s="1"/>
      <c r="N208" s="1"/>
      <c r="O208" s="15"/>
      <c r="P208" s="1"/>
      <c r="Q208" s="1"/>
      <c r="R208" s="15"/>
      <c r="S208" s="15"/>
      <c r="T208" s="15"/>
      <c r="U208" s="15"/>
      <c r="X208" s="15"/>
      <c r="AA208" s="15"/>
      <c r="AC208" s="93"/>
      <c r="AD208"/>
      <c r="AE208"/>
      <c r="AF208"/>
      <c r="AG208"/>
      <c r="AH208"/>
      <c r="AI208"/>
      <c r="AJ208"/>
      <c r="AK208"/>
      <c r="AL208"/>
      <c r="AM208"/>
      <c r="AN208"/>
      <c r="AP208" s="15"/>
      <c r="AT208" s="15"/>
      <c r="AX208" s="15"/>
      <c r="BB208" s="15"/>
      <c r="BE208" s="15"/>
      <c r="BH208" s="15"/>
    </row>
    <row r="209" spans="1:60" s="3" customFormat="1" x14ac:dyDescent="0.3">
      <c r="A209" s="11"/>
      <c r="B209" s="15"/>
      <c r="C209" s="1"/>
      <c r="D209" s="1"/>
      <c r="E209" s="15"/>
      <c r="F209" s="15"/>
      <c r="G209" s="1"/>
      <c r="I209" s="15"/>
      <c r="J209" s="15"/>
      <c r="K209" s="1"/>
      <c r="L209" s="15"/>
      <c r="M209" s="1"/>
      <c r="N209" s="1"/>
      <c r="O209" s="15"/>
      <c r="P209" s="1"/>
      <c r="Q209" s="1"/>
      <c r="R209" s="15"/>
      <c r="S209" s="15"/>
      <c r="T209" s="15"/>
      <c r="U209" s="15"/>
      <c r="X209" s="15"/>
      <c r="AA209" s="15"/>
      <c r="AC209" s="93"/>
      <c r="AD209"/>
      <c r="AE209"/>
      <c r="AF209"/>
      <c r="AG209"/>
      <c r="AH209"/>
      <c r="AI209"/>
      <c r="AJ209"/>
      <c r="AK209"/>
      <c r="AL209"/>
      <c r="AM209"/>
      <c r="AN209"/>
      <c r="AP209" s="15"/>
      <c r="AT209" s="15"/>
      <c r="AX209" s="15"/>
      <c r="BB209" s="15"/>
      <c r="BE209" s="15"/>
      <c r="BH209" s="15"/>
    </row>
    <row r="210" spans="1:60" s="3" customFormat="1" x14ac:dyDescent="0.3">
      <c r="A210" s="11"/>
      <c r="B210" s="15"/>
      <c r="C210" s="1"/>
      <c r="D210" s="1"/>
      <c r="E210" s="15"/>
      <c r="F210" s="15"/>
      <c r="G210" s="1"/>
      <c r="I210" s="15"/>
      <c r="J210" s="15"/>
      <c r="K210" s="1"/>
      <c r="L210" s="15"/>
      <c r="M210" s="1"/>
      <c r="N210" s="1"/>
      <c r="O210" s="15"/>
      <c r="P210" s="1"/>
      <c r="Q210" s="1"/>
      <c r="R210" s="15"/>
      <c r="S210" s="15"/>
      <c r="T210" s="15"/>
      <c r="U210" s="15"/>
      <c r="X210" s="15"/>
      <c r="AA210" s="15"/>
      <c r="AC210" s="93"/>
      <c r="AD210"/>
      <c r="AE210"/>
      <c r="AF210"/>
      <c r="AG210"/>
      <c r="AH210"/>
      <c r="AI210"/>
      <c r="AJ210"/>
      <c r="AK210"/>
      <c r="AL210"/>
      <c r="AM210"/>
      <c r="AN210"/>
      <c r="AP210" s="15"/>
      <c r="AT210" s="15"/>
      <c r="AX210" s="15"/>
      <c r="BB210" s="15"/>
      <c r="BE210" s="15"/>
      <c r="BH210" s="15"/>
    </row>
    <row r="211" spans="1:60" s="3" customFormat="1" x14ac:dyDescent="0.3">
      <c r="A211" s="11"/>
      <c r="B211" s="15"/>
      <c r="C211" s="1"/>
      <c r="D211" s="1"/>
      <c r="E211" s="15"/>
      <c r="F211" s="15"/>
      <c r="G211" s="1"/>
      <c r="I211" s="15"/>
      <c r="J211" s="15"/>
      <c r="K211" s="1"/>
      <c r="L211" s="15"/>
      <c r="M211" s="1"/>
      <c r="N211" s="1"/>
      <c r="O211" s="15"/>
      <c r="P211" s="1"/>
      <c r="Q211" s="1"/>
      <c r="R211" s="15"/>
      <c r="S211" s="15"/>
      <c r="T211" s="15"/>
      <c r="U211" s="15"/>
      <c r="X211" s="15"/>
      <c r="AA211" s="15"/>
      <c r="AC211" s="93"/>
      <c r="AD211"/>
      <c r="AE211"/>
      <c r="AF211"/>
      <c r="AG211"/>
      <c r="AH211"/>
      <c r="AI211"/>
      <c r="AJ211"/>
      <c r="AK211"/>
      <c r="AL211"/>
      <c r="AM211"/>
      <c r="AN211"/>
      <c r="AP211" s="15"/>
      <c r="AT211" s="15"/>
      <c r="AX211" s="15"/>
      <c r="BB211" s="15"/>
      <c r="BE211" s="15"/>
      <c r="BH211" s="15"/>
    </row>
    <row r="212" spans="1:60" s="3" customFormat="1" x14ac:dyDescent="0.3">
      <c r="A212" s="11"/>
      <c r="B212" s="15"/>
      <c r="C212" s="1"/>
      <c r="D212" s="1"/>
      <c r="E212" s="15"/>
      <c r="F212" s="15"/>
      <c r="G212" s="1"/>
      <c r="I212" s="15"/>
      <c r="J212" s="15"/>
      <c r="K212" s="1"/>
      <c r="L212" s="15"/>
      <c r="M212" s="1"/>
      <c r="N212" s="1"/>
      <c r="O212" s="15"/>
      <c r="P212" s="1"/>
      <c r="Q212" s="1"/>
      <c r="R212" s="15"/>
      <c r="S212" s="15"/>
      <c r="T212" s="15"/>
      <c r="U212" s="15"/>
      <c r="X212" s="15"/>
      <c r="AA212" s="15"/>
      <c r="AC212" s="93"/>
      <c r="AD212"/>
      <c r="AE212"/>
      <c r="AF212"/>
      <c r="AG212"/>
      <c r="AH212"/>
      <c r="AI212"/>
      <c r="AJ212"/>
      <c r="AK212"/>
      <c r="AL212"/>
      <c r="AM212"/>
      <c r="AN212"/>
      <c r="AP212" s="15"/>
      <c r="AT212" s="15"/>
      <c r="AX212" s="15"/>
      <c r="BB212" s="15"/>
      <c r="BE212" s="15"/>
      <c r="BH212" s="15"/>
    </row>
    <row r="213" spans="1:60" s="3" customFormat="1" x14ac:dyDescent="0.3">
      <c r="A213" s="11"/>
      <c r="B213" s="15"/>
      <c r="C213" s="1"/>
      <c r="D213" s="1"/>
      <c r="E213" s="15"/>
      <c r="F213" s="15"/>
      <c r="G213" s="1"/>
      <c r="I213" s="15"/>
      <c r="J213" s="15"/>
      <c r="K213" s="1"/>
      <c r="L213" s="15"/>
      <c r="M213" s="1"/>
      <c r="N213" s="1"/>
      <c r="O213" s="15"/>
      <c r="P213" s="1"/>
      <c r="Q213" s="1"/>
      <c r="R213" s="15"/>
      <c r="S213" s="15"/>
      <c r="T213" s="15"/>
      <c r="U213" s="15"/>
      <c r="X213" s="15"/>
      <c r="AA213" s="15"/>
      <c r="AC213" s="93"/>
      <c r="AD213"/>
      <c r="AE213"/>
      <c r="AF213"/>
      <c r="AG213"/>
      <c r="AH213"/>
      <c r="AI213"/>
      <c r="AJ213"/>
      <c r="AK213"/>
      <c r="AL213"/>
      <c r="AM213"/>
      <c r="AN213"/>
      <c r="AP213" s="15"/>
      <c r="AT213" s="15"/>
      <c r="AX213" s="15"/>
      <c r="BB213" s="15"/>
      <c r="BE213" s="15"/>
      <c r="BH213" s="15"/>
    </row>
    <row r="214" spans="1:60" s="3" customFormat="1" x14ac:dyDescent="0.3">
      <c r="A214" s="11"/>
      <c r="B214" s="15"/>
      <c r="C214" s="1"/>
      <c r="D214" s="1"/>
      <c r="E214" s="15"/>
      <c r="F214" s="15"/>
      <c r="G214" s="1"/>
      <c r="I214" s="15"/>
      <c r="J214" s="15"/>
      <c r="K214" s="1"/>
      <c r="L214" s="15"/>
      <c r="M214" s="1"/>
      <c r="N214" s="1"/>
      <c r="O214" s="15"/>
      <c r="P214" s="1"/>
      <c r="Q214" s="1"/>
      <c r="R214" s="15"/>
      <c r="S214" s="15"/>
      <c r="T214" s="15"/>
      <c r="U214" s="15"/>
      <c r="X214" s="15"/>
      <c r="AA214" s="15"/>
      <c r="AC214" s="93"/>
      <c r="AD214"/>
      <c r="AE214"/>
      <c r="AF214"/>
      <c r="AG214"/>
      <c r="AH214"/>
      <c r="AI214"/>
      <c r="AJ214"/>
      <c r="AK214"/>
      <c r="AL214"/>
      <c r="AM214"/>
      <c r="AN214"/>
      <c r="AP214" s="15"/>
      <c r="AT214" s="15"/>
      <c r="AX214" s="15"/>
      <c r="BB214" s="15"/>
      <c r="BE214" s="15"/>
      <c r="BH214" s="15"/>
    </row>
    <row r="215" spans="1:60" s="3" customFormat="1" x14ac:dyDescent="0.3">
      <c r="A215" s="11"/>
      <c r="B215" s="15"/>
      <c r="C215" s="1"/>
      <c r="D215" s="1"/>
      <c r="E215" s="15"/>
      <c r="F215" s="15"/>
      <c r="G215" s="1"/>
      <c r="I215" s="15"/>
      <c r="J215" s="15"/>
      <c r="K215" s="1"/>
      <c r="L215" s="15"/>
      <c r="M215" s="1"/>
      <c r="N215" s="1"/>
      <c r="O215" s="15"/>
      <c r="P215" s="1"/>
      <c r="Q215" s="1"/>
      <c r="R215" s="15"/>
      <c r="S215" s="15"/>
      <c r="T215" s="15"/>
      <c r="U215" s="15"/>
      <c r="X215" s="15"/>
      <c r="AA215" s="15"/>
      <c r="AC215" s="93"/>
      <c r="AD215"/>
      <c r="AE215"/>
      <c r="AF215"/>
      <c r="AG215"/>
      <c r="AH215"/>
      <c r="AI215"/>
      <c r="AJ215"/>
      <c r="AK215"/>
      <c r="AL215"/>
      <c r="AM215"/>
      <c r="AN215"/>
      <c r="AP215" s="15"/>
      <c r="AT215" s="15"/>
      <c r="AX215" s="15"/>
      <c r="BB215" s="15"/>
      <c r="BE215" s="15"/>
      <c r="BH215" s="15"/>
    </row>
    <row r="216" spans="1:60" s="3" customFormat="1" x14ac:dyDescent="0.3">
      <c r="A216" s="11"/>
      <c r="B216" s="15"/>
      <c r="C216" s="1"/>
      <c r="D216" s="1"/>
      <c r="E216" s="15"/>
      <c r="F216" s="15"/>
      <c r="G216" s="1"/>
      <c r="I216" s="15"/>
      <c r="J216" s="15"/>
      <c r="K216" s="1"/>
      <c r="L216" s="15"/>
      <c r="M216" s="1"/>
      <c r="N216" s="1"/>
      <c r="O216" s="15"/>
      <c r="P216" s="1"/>
      <c r="Q216" s="1"/>
      <c r="R216" s="15"/>
      <c r="S216" s="15"/>
      <c r="T216" s="15"/>
      <c r="U216" s="15"/>
      <c r="X216" s="15"/>
      <c r="AA216" s="15"/>
      <c r="AC216" s="93"/>
      <c r="AD216"/>
      <c r="AE216"/>
      <c r="AF216"/>
      <c r="AG216"/>
      <c r="AH216"/>
      <c r="AI216"/>
      <c r="AJ216"/>
      <c r="AK216"/>
      <c r="AL216"/>
      <c r="AM216"/>
      <c r="AN216"/>
      <c r="AP216" s="15"/>
      <c r="AT216" s="15"/>
      <c r="AX216" s="15"/>
      <c r="BB216" s="15"/>
      <c r="BE216" s="15"/>
      <c r="BH216" s="15"/>
    </row>
    <row r="217" spans="1:60" s="3" customFormat="1" x14ac:dyDescent="0.3">
      <c r="A217" s="11"/>
      <c r="B217" s="15"/>
      <c r="C217" s="1"/>
      <c r="D217" s="1"/>
      <c r="E217" s="15"/>
      <c r="F217" s="15"/>
      <c r="G217" s="1"/>
      <c r="I217" s="15"/>
      <c r="J217" s="15"/>
      <c r="K217" s="1"/>
      <c r="L217" s="15"/>
      <c r="M217" s="1"/>
      <c r="N217" s="1"/>
      <c r="O217" s="15"/>
      <c r="P217" s="1"/>
      <c r="Q217" s="1"/>
      <c r="R217" s="15"/>
      <c r="S217" s="15"/>
      <c r="T217" s="15"/>
      <c r="U217" s="15"/>
      <c r="X217" s="15"/>
      <c r="AA217" s="15"/>
      <c r="AC217" s="93"/>
      <c r="AD217"/>
      <c r="AE217"/>
      <c r="AF217"/>
      <c r="AG217"/>
      <c r="AH217"/>
      <c r="AI217"/>
      <c r="AJ217"/>
      <c r="AK217"/>
      <c r="AL217"/>
      <c r="AM217"/>
      <c r="AN217"/>
      <c r="AP217" s="15"/>
      <c r="AT217" s="15"/>
      <c r="AX217" s="15"/>
      <c r="BB217" s="15"/>
      <c r="BE217" s="15"/>
      <c r="BH217" s="15"/>
    </row>
    <row r="218" spans="1:60" s="3" customFormat="1" x14ac:dyDescent="0.3">
      <c r="A218" s="11"/>
      <c r="B218" s="15"/>
      <c r="C218" s="1"/>
      <c r="D218" s="1"/>
      <c r="E218" s="15"/>
      <c r="F218" s="15"/>
      <c r="G218" s="1"/>
      <c r="I218" s="15"/>
      <c r="J218" s="15"/>
      <c r="K218" s="1"/>
      <c r="L218" s="15"/>
      <c r="M218" s="1"/>
      <c r="N218" s="1"/>
      <c r="O218" s="15"/>
      <c r="P218" s="1"/>
      <c r="Q218" s="1"/>
      <c r="R218" s="15"/>
      <c r="S218" s="15"/>
      <c r="T218" s="15"/>
      <c r="U218" s="15"/>
      <c r="X218" s="15"/>
      <c r="AA218" s="15"/>
      <c r="AC218" s="93"/>
      <c r="AD218"/>
      <c r="AE218"/>
      <c r="AF218"/>
      <c r="AG218"/>
      <c r="AH218"/>
      <c r="AI218"/>
      <c r="AJ218"/>
      <c r="AK218"/>
      <c r="AL218"/>
      <c r="AM218"/>
      <c r="AN218"/>
      <c r="AP218" s="15"/>
      <c r="AT218" s="15"/>
      <c r="AX218" s="15"/>
      <c r="BB218" s="15"/>
      <c r="BE218" s="15"/>
      <c r="BH218" s="15"/>
    </row>
    <row r="219" spans="1:60" s="3" customFormat="1" x14ac:dyDescent="0.3">
      <c r="A219" s="11"/>
      <c r="B219" s="15"/>
      <c r="C219" s="1"/>
      <c r="D219" s="1"/>
      <c r="E219" s="15"/>
      <c r="F219" s="15"/>
      <c r="G219" s="1"/>
      <c r="I219" s="15"/>
      <c r="J219" s="15"/>
      <c r="K219" s="1"/>
      <c r="L219" s="15"/>
      <c r="M219" s="1"/>
      <c r="N219" s="1"/>
      <c r="O219" s="15"/>
      <c r="P219" s="1"/>
      <c r="Q219" s="1"/>
      <c r="R219" s="15"/>
      <c r="S219" s="15"/>
      <c r="T219" s="15"/>
      <c r="U219" s="15"/>
      <c r="X219" s="15"/>
      <c r="AA219" s="15"/>
      <c r="AC219" s="93"/>
      <c r="AD219"/>
      <c r="AE219"/>
      <c r="AF219"/>
      <c r="AG219"/>
      <c r="AH219"/>
      <c r="AI219"/>
      <c r="AJ219"/>
      <c r="AK219"/>
      <c r="AL219"/>
      <c r="AM219"/>
      <c r="AN219"/>
      <c r="AP219" s="15"/>
      <c r="AT219" s="15"/>
      <c r="AX219" s="15"/>
      <c r="BB219" s="15"/>
      <c r="BE219" s="15"/>
      <c r="BH219" s="15"/>
    </row>
    <row r="220" spans="1:60" s="3" customFormat="1" x14ac:dyDescent="0.3">
      <c r="A220" s="11"/>
      <c r="B220" s="15"/>
      <c r="C220" s="1"/>
      <c r="D220" s="1"/>
      <c r="E220" s="15"/>
      <c r="F220" s="15"/>
      <c r="G220" s="1"/>
      <c r="I220" s="15"/>
      <c r="J220" s="15"/>
      <c r="K220" s="1"/>
      <c r="L220" s="15"/>
      <c r="M220" s="1"/>
      <c r="N220" s="1"/>
      <c r="O220" s="15"/>
      <c r="P220" s="1"/>
      <c r="Q220" s="1"/>
      <c r="R220" s="15"/>
      <c r="S220" s="15"/>
      <c r="T220" s="15"/>
      <c r="U220" s="15"/>
      <c r="X220" s="15"/>
      <c r="AA220" s="15"/>
      <c r="AC220" s="93"/>
      <c r="AD220"/>
      <c r="AE220"/>
      <c r="AF220"/>
      <c r="AG220"/>
      <c r="AH220"/>
      <c r="AI220"/>
      <c r="AJ220"/>
      <c r="AK220"/>
      <c r="AL220"/>
      <c r="AM220"/>
      <c r="AN220"/>
      <c r="AP220" s="15"/>
      <c r="AT220" s="15"/>
      <c r="AX220" s="15"/>
      <c r="BB220" s="15"/>
      <c r="BE220" s="15"/>
      <c r="BH220" s="15"/>
    </row>
    <row r="221" spans="1:60" s="3" customFormat="1" x14ac:dyDescent="0.3">
      <c r="A221" s="11"/>
      <c r="B221" s="15"/>
      <c r="C221" s="1"/>
      <c r="D221" s="1"/>
      <c r="E221" s="15"/>
      <c r="F221" s="15"/>
      <c r="G221" s="1"/>
      <c r="I221" s="15"/>
      <c r="J221" s="15"/>
      <c r="K221" s="1"/>
      <c r="L221" s="15"/>
      <c r="M221" s="1"/>
      <c r="N221" s="1"/>
      <c r="O221" s="15"/>
      <c r="P221" s="1"/>
      <c r="Q221" s="1"/>
      <c r="R221" s="15"/>
      <c r="S221" s="15"/>
      <c r="T221" s="15"/>
      <c r="U221" s="15"/>
      <c r="X221" s="15"/>
      <c r="AA221" s="15"/>
      <c r="AC221" s="93"/>
      <c r="AD221"/>
      <c r="AE221"/>
      <c r="AF221"/>
      <c r="AG221"/>
      <c r="AH221"/>
      <c r="AI221"/>
      <c r="AJ221"/>
      <c r="AK221"/>
      <c r="AL221"/>
      <c r="AM221"/>
      <c r="AN221"/>
      <c r="AP221" s="15"/>
      <c r="AT221" s="15"/>
      <c r="AX221" s="15"/>
      <c r="BB221" s="15"/>
      <c r="BE221" s="15"/>
      <c r="BH221" s="15"/>
    </row>
    <row r="222" spans="1:60" s="3" customFormat="1" x14ac:dyDescent="0.3">
      <c r="A222" s="11"/>
      <c r="B222" s="15"/>
      <c r="C222" s="1"/>
      <c r="D222" s="1"/>
      <c r="E222" s="15"/>
      <c r="F222" s="15"/>
      <c r="G222" s="1"/>
      <c r="I222" s="15"/>
      <c r="J222" s="15"/>
      <c r="K222" s="1"/>
      <c r="L222" s="15"/>
      <c r="M222" s="1"/>
      <c r="N222" s="1"/>
      <c r="O222" s="15"/>
      <c r="P222" s="1"/>
      <c r="Q222" s="1"/>
      <c r="R222" s="15"/>
      <c r="S222" s="15"/>
      <c r="T222" s="15"/>
      <c r="U222" s="15"/>
      <c r="X222" s="15"/>
      <c r="AA222" s="15"/>
      <c r="AC222" s="93"/>
      <c r="AD222"/>
      <c r="AE222"/>
      <c r="AF222"/>
      <c r="AG222"/>
      <c r="AH222"/>
      <c r="AI222"/>
      <c r="AJ222"/>
      <c r="AK222"/>
      <c r="AL222"/>
      <c r="AM222"/>
      <c r="AN222"/>
      <c r="AP222" s="15"/>
      <c r="AT222" s="15"/>
      <c r="AX222" s="15"/>
      <c r="BB222" s="15"/>
      <c r="BE222" s="15"/>
      <c r="BH222" s="15"/>
    </row>
    <row r="223" spans="1:60" s="3" customFormat="1" x14ac:dyDescent="0.3">
      <c r="A223" s="11"/>
      <c r="B223" s="15"/>
      <c r="C223" s="1"/>
      <c r="D223" s="1"/>
      <c r="E223" s="15"/>
      <c r="F223" s="15"/>
      <c r="G223" s="1"/>
      <c r="I223" s="15"/>
      <c r="J223" s="15"/>
      <c r="K223" s="1"/>
      <c r="L223" s="15"/>
      <c r="M223" s="1"/>
      <c r="N223" s="1"/>
      <c r="O223" s="15"/>
      <c r="P223" s="1"/>
      <c r="Q223" s="1"/>
      <c r="R223" s="15"/>
      <c r="S223" s="15"/>
      <c r="T223" s="15"/>
      <c r="U223" s="15"/>
      <c r="X223" s="15"/>
      <c r="AA223" s="15"/>
      <c r="AC223" s="93"/>
      <c r="AD223"/>
      <c r="AE223"/>
      <c r="AF223"/>
      <c r="AG223"/>
      <c r="AH223"/>
      <c r="AI223"/>
      <c r="AJ223"/>
      <c r="AK223"/>
      <c r="AL223"/>
      <c r="AM223"/>
      <c r="AN223"/>
      <c r="AP223" s="15"/>
      <c r="AT223" s="15"/>
      <c r="AX223" s="15"/>
      <c r="BB223" s="15"/>
      <c r="BE223" s="15"/>
      <c r="BH223" s="15"/>
    </row>
    <row r="224" spans="1:60" s="3" customFormat="1" x14ac:dyDescent="0.3">
      <c r="A224" s="11"/>
      <c r="B224" s="15"/>
      <c r="C224" s="1"/>
      <c r="D224" s="1"/>
      <c r="E224" s="15"/>
      <c r="F224" s="15"/>
      <c r="G224" s="1"/>
      <c r="I224" s="15"/>
      <c r="J224" s="15"/>
      <c r="K224" s="1"/>
      <c r="L224" s="15"/>
      <c r="M224" s="1"/>
      <c r="N224" s="1"/>
      <c r="O224" s="15"/>
      <c r="P224" s="1"/>
      <c r="Q224" s="1"/>
      <c r="R224" s="15"/>
      <c r="S224" s="15"/>
      <c r="T224" s="15"/>
      <c r="U224" s="15"/>
      <c r="X224" s="15"/>
      <c r="AA224" s="15"/>
      <c r="AC224" s="93"/>
      <c r="AD224"/>
      <c r="AE224"/>
      <c r="AF224"/>
      <c r="AG224"/>
      <c r="AH224"/>
      <c r="AI224"/>
      <c r="AJ224"/>
      <c r="AK224"/>
      <c r="AL224"/>
      <c r="AM224"/>
      <c r="AN224"/>
      <c r="AP224" s="15"/>
      <c r="AT224" s="15"/>
      <c r="AX224" s="15"/>
      <c r="BB224" s="15"/>
      <c r="BE224" s="15"/>
      <c r="BH224" s="15"/>
    </row>
    <row r="225" spans="1:60" s="3" customFormat="1" x14ac:dyDescent="0.3">
      <c r="A225" s="11"/>
      <c r="B225" s="15"/>
      <c r="C225" s="1"/>
      <c r="D225" s="1"/>
      <c r="E225" s="15"/>
      <c r="F225" s="15"/>
      <c r="G225" s="1"/>
      <c r="I225" s="15"/>
      <c r="J225" s="15"/>
      <c r="K225" s="1"/>
      <c r="L225" s="15"/>
      <c r="M225" s="1"/>
      <c r="N225" s="1"/>
      <c r="O225" s="15"/>
      <c r="P225" s="1"/>
      <c r="Q225" s="1"/>
      <c r="R225" s="15"/>
      <c r="S225" s="15"/>
      <c r="T225" s="15"/>
      <c r="U225" s="15"/>
      <c r="X225" s="15"/>
      <c r="AA225" s="15"/>
      <c r="AC225" s="93"/>
      <c r="AD225"/>
      <c r="AE225"/>
      <c r="AF225"/>
      <c r="AG225"/>
      <c r="AH225"/>
      <c r="AI225"/>
      <c r="AJ225"/>
      <c r="AK225"/>
      <c r="AL225"/>
      <c r="AM225"/>
      <c r="AN225"/>
      <c r="AP225" s="15"/>
      <c r="AT225" s="15"/>
      <c r="AX225" s="15"/>
      <c r="BB225" s="15"/>
      <c r="BE225" s="15"/>
      <c r="BH225" s="15"/>
    </row>
    <row r="226" spans="1:60" s="3" customFormat="1" x14ac:dyDescent="0.3">
      <c r="A226" s="11"/>
      <c r="B226" s="15"/>
      <c r="C226" s="1"/>
      <c r="D226" s="1"/>
      <c r="E226" s="15"/>
      <c r="F226" s="15"/>
      <c r="G226" s="1"/>
      <c r="I226" s="15"/>
      <c r="J226" s="15"/>
      <c r="K226" s="1"/>
      <c r="L226" s="15"/>
      <c r="M226" s="1"/>
      <c r="N226" s="1"/>
      <c r="O226" s="15"/>
      <c r="P226" s="1"/>
      <c r="Q226" s="1"/>
      <c r="R226" s="15"/>
      <c r="S226" s="15"/>
      <c r="T226" s="15"/>
      <c r="U226" s="15"/>
      <c r="X226" s="15"/>
      <c r="AA226" s="15"/>
      <c r="AC226" s="93"/>
      <c r="AD226"/>
      <c r="AE226"/>
      <c r="AF226"/>
      <c r="AG226"/>
      <c r="AH226"/>
      <c r="AI226"/>
      <c r="AJ226"/>
      <c r="AK226"/>
      <c r="AL226"/>
      <c r="AM226"/>
      <c r="AN226"/>
      <c r="AP226" s="15"/>
      <c r="AT226" s="15"/>
      <c r="AX226" s="15"/>
      <c r="BB226" s="15"/>
      <c r="BE226" s="15"/>
      <c r="BH226" s="15"/>
    </row>
    <row r="227" spans="1:60" s="3" customFormat="1" x14ac:dyDescent="0.3">
      <c r="A227" s="11"/>
      <c r="B227" s="15"/>
      <c r="C227" s="1"/>
      <c r="D227" s="1"/>
      <c r="E227" s="15"/>
      <c r="F227" s="15"/>
      <c r="G227" s="1"/>
      <c r="I227" s="15"/>
      <c r="J227" s="15"/>
      <c r="K227" s="1"/>
      <c r="L227" s="15"/>
      <c r="M227" s="1"/>
      <c r="N227" s="1"/>
      <c r="O227" s="15"/>
      <c r="P227" s="1"/>
      <c r="Q227" s="1"/>
      <c r="R227" s="15"/>
      <c r="S227" s="15"/>
      <c r="T227" s="15"/>
      <c r="U227" s="15"/>
      <c r="X227" s="15"/>
      <c r="AA227" s="15"/>
      <c r="AC227" s="93"/>
      <c r="AD227"/>
      <c r="AE227"/>
      <c r="AF227"/>
      <c r="AG227"/>
      <c r="AH227"/>
      <c r="AI227"/>
      <c r="AJ227"/>
      <c r="AK227"/>
      <c r="AL227"/>
      <c r="AM227"/>
      <c r="AN227"/>
      <c r="AP227" s="15"/>
      <c r="AT227" s="15"/>
      <c r="AX227" s="15"/>
      <c r="BB227" s="15"/>
      <c r="BE227" s="15"/>
      <c r="BH227" s="15"/>
    </row>
    <row r="228" spans="1:60" s="3" customFormat="1" x14ac:dyDescent="0.3">
      <c r="A228" s="11"/>
      <c r="B228" s="15"/>
      <c r="C228" s="1"/>
      <c r="D228" s="1"/>
      <c r="E228" s="15"/>
      <c r="F228" s="15"/>
      <c r="G228" s="1"/>
      <c r="I228" s="15"/>
      <c r="J228" s="15"/>
      <c r="K228" s="1"/>
      <c r="L228" s="15"/>
      <c r="M228" s="1"/>
      <c r="N228" s="1"/>
      <c r="O228" s="15"/>
      <c r="P228" s="1"/>
      <c r="Q228" s="1"/>
      <c r="R228" s="15"/>
      <c r="S228" s="15"/>
      <c r="T228" s="15"/>
      <c r="U228" s="15"/>
      <c r="X228" s="15"/>
      <c r="AA228" s="15"/>
      <c r="AC228" s="93"/>
      <c r="AD228"/>
      <c r="AE228"/>
      <c r="AF228"/>
      <c r="AG228"/>
      <c r="AH228"/>
      <c r="AI228"/>
      <c r="AJ228"/>
      <c r="AK228"/>
      <c r="AL228"/>
      <c r="AM228"/>
      <c r="AN228"/>
      <c r="AP228" s="15"/>
      <c r="AT228" s="15"/>
      <c r="AX228" s="15"/>
      <c r="BB228" s="15"/>
      <c r="BE228" s="15"/>
      <c r="BH228" s="15"/>
    </row>
    <row r="229" spans="1:60" s="3" customFormat="1" x14ac:dyDescent="0.3">
      <c r="A229" s="11"/>
      <c r="B229" s="15"/>
      <c r="C229" s="1"/>
      <c r="D229" s="1"/>
      <c r="E229" s="15"/>
      <c r="F229" s="15"/>
      <c r="G229" s="1"/>
      <c r="I229" s="15"/>
      <c r="J229" s="15"/>
      <c r="K229" s="1"/>
      <c r="L229" s="15"/>
      <c r="M229" s="1"/>
      <c r="N229" s="1"/>
      <c r="O229" s="15"/>
      <c r="P229" s="1"/>
      <c r="Q229" s="1"/>
      <c r="R229" s="15"/>
      <c r="S229" s="15"/>
      <c r="T229" s="15"/>
      <c r="U229" s="15"/>
      <c r="X229" s="15"/>
      <c r="AA229" s="15"/>
      <c r="AC229" s="93"/>
      <c r="AD229"/>
      <c r="AE229"/>
      <c r="AF229"/>
      <c r="AG229"/>
      <c r="AH229"/>
      <c r="AI229"/>
      <c r="AJ229"/>
      <c r="AK229"/>
      <c r="AL229"/>
      <c r="AM229"/>
      <c r="AN229"/>
      <c r="AP229" s="15"/>
      <c r="AT229" s="15"/>
      <c r="AX229" s="15"/>
      <c r="BB229" s="15"/>
      <c r="BE229" s="15"/>
      <c r="BH229" s="15"/>
    </row>
    <row r="230" spans="1:60" s="3" customFormat="1" x14ac:dyDescent="0.3">
      <c r="A230" s="5"/>
      <c r="B230" s="15"/>
      <c r="C230" s="1"/>
      <c r="D230" s="1"/>
      <c r="E230" s="15"/>
      <c r="F230" s="15"/>
      <c r="G230" s="1"/>
      <c r="I230" s="15"/>
      <c r="J230" s="15"/>
      <c r="K230" s="1"/>
      <c r="L230" s="15"/>
      <c r="M230" s="1"/>
      <c r="N230" s="1"/>
      <c r="O230" s="15"/>
      <c r="P230" s="1"/>
      <c r="Q230" s="1"/>
      <c r="R230" s="15"/>
      <c r="S230" s="15"/>
      <c r="T230" s="15"/>
      <c r="U230" s="15"/>
      <c r="X230" s="15"/>
      <c r="AA230" s="15"/>
      <c r="AC230" s="93"/>
      <c r="AD230"/>
      <c r="AE230"/>
      <c r="AF230"/>
      <c r="AG230"/>
      <c r="AH230"/>
      <c r="AI230"/>
      <c r="AJ230"/>
      <c r="AK230"/>
      <c r="AL230"/>
      <c r="AM230"/>
      <c r="AN230"/>
      <c r="AP230" s="15"/>
      <c r="AT230" s="15"/>
      <c r="AX230" s="15"/>
      <c r="BB230" s="15"/>
      <c r="BE230" s="15"/>
      <c r="BH230" s="15"/>
    </row>
    <row r="231" spans="1:60" s="3" customFormat="1" x14ac:dyDescent="0.3">
      <c r="A231" s="5"/>
      <c r="B231" s="15"/>
      <c r="C231" s="1"/>
      <c r="D231" s="1"/>
      <c r="E231" s="15"/>
      <c r="F231" s="15"/>
      <c r="G231" s="1"/>
      <c r="I231" s="15"/>
      <c r="J231" s="15"/>
      <c r="K231" s="1"/>
      <c r="L231" s="15"/>
      <c r="M231" s="1"/>
      <c r="N231" s="1"/>
      <c r="O231" s="15"/>
      <c r="P231" s="1"/>
      <c r="Q231" s="1"/>
      <c r="R231" s="15"/>
      <c r="S231" s="15"/>
      <c r="T231" s="15"/>
      <c r="U231" s="15"/>
      <c r="X231" s="15"/>
      <c r="AA231" s="15"/>
      <c r="AC231" s="93"/>
      <c r="AD231"/>
      <c r="AE231"/>
      <c r="AF231"/>
      <c r="AG231"/>
      <c r="AH231"/>
      <c r="AI231"/>
      <c r="AJ231"/>
      <c r="AK231"/>
      <c r="AL231"/>
      <c r="AM231"/>
      <c r="AN231"/>
      <c r="AP231" s="15"/>
      <c r="AT231" s="15"/>
      <c r="AX231" s="15"/>
      <c r="BB231" s="15"/>
      <c r="BE231" s="15"/>
      <c r="BH231" s="15"/>
    </row>
    <row r="232" spans="1:60" s="3" customFormat="1" x14ac:dyDescent="0.3">
      <c r="A232" s="5"/>
      <c r="B232" s="15"/>
      <c r="C232" s="1"/>
      <c r="D232" s="1"/>
      <c r="E232" s="15"/>
      <c r="F232" s="15"/>
      <c r="G232" s="1"/>
      <c r="I232" s="15"/>
      <c r="J232" s="15"/>
      <c r="K232" s="1"/>
      <c r="L232" s="15"/>
      <c r="M232" s="1"/>
      <c r="N232" s="1"/>
      <c r="O232" s="15"/>
      <c r="P232" s="1"/>
      <c r="Q232" s="1"/>
      <c r="R232" s="15"/>
      <c r="S232" s="15"/>
      <c r="T232" s="15"/>
      <c r="U232" s="15"/>
      <c r="X232" s="15"/>
      <c r="AA232" s="15"/>
      <c r="AC232" s="93"/>
      <c r="AD232"/>
      <c r="AE232"/>
      <c r="AF232"/>
      <c r="AG232"/>
      <c r="AH232"/>
      <c r="AI232"/>
      <c r="AJ232"/>
      <c r="AK232"/>
      <c r="AL232"/>
      <c r="AM232"/>
      <c r="AN232"/>
      <c r="AP232" s="15"/>
      <c r="AT232" s="15"/>
      <c r="AX232" s="15"/>
      <c r="BB232" s="15"/>
      <c r="BE232" s="15"/>
      <c r="BH232" s="15"/>
    </row>
    <row r="233" spans="1:60" s="3" customFormat="1" x14ac:dyDescent="0.3">
      <c r="A233" s="5"/>
      <c r="B233" s="15"/>
      <c r="C233" s="1"/>
      <c r="D233" s="1"/>
      <c r="E233" s="15"/>
      <c r="F233" s="15"/>
      <c r="G233" s="1"/>
      <c r="I233" s="15"/>
      <c r="J233" s="15"/>
      <c r="K233" s="1"/>
      <c r="L233" s="15"/>
      <c r="M233" s="1"/>
      <c r="N233" s="1"/>
      <c r="O233" s="15"/>
      <c r="P233" s="1"/>
      <c r="Q233" s="1"/>
      <c r="R233" s="15"/>
      <c r="S233" s="15"/>
      <c r="T233" s="15"/>
      <c r="U233" s="15"/>
      <c r="X233" s="15"/>
      <c r="AA233" s="15"/>
      <c r="AC233" s="93"/>
      <c r="AD233"/>
      <c r="AE233"/>
      <c r="AF233"/>
      <c r="AG233"/>
      <c r="AH233"/>
      <c r="AI233"/>
      <c r="AJ233"/>
      <c r="AK233"/>
      <c r="AL233"/>
      <c r="AM233"/>
      <c r="AN233"/>
      <c r="AP233" s="15"/>
      <c r="AT233" s="15"/>
      <c r="AX233" s="15"/>
      <c r="BB233" s="15"/>
      <c r="BE233" s="15"/>
      <c r="BH233" s="15"/>
    </row>
    <row r="234" spans="1:60" s="3" customFormat="1" x14ac:dyDescent="0.3">
      <c r="A234" s="5"/>
      <c r="B234" s="15"/>
      <c r="C234" s="1"/>
      <c r="D234" s="1"/>
      <c r="E234" s="15"/>
      <c r="F234" s="15"/>
      <c r="G234" s="1"/>
      <c r="I234" s="15"/>
      <c r="J234" s="15"/>
      <c r="K234" s="1"/>
      <c r="L234" s="15"/>
      <c r="M234" s="1"/>
      <c r="N234" s="1"/>
      <c r="O234" s="15"/>
      <c r="P234" s="1"/>
      <c r="Q234" s="1"/>
      <c r="R234" s="15"/>
      <c r="S234" s="15"/>
      <c r="T234" s="15"/>
      <c r="U234" s="15"/>
      <c r="X234" s="15"/>
      <c r="AA234" s="15"/>
      <c r="AC234" s="93"/>
      <c r="AD234"/>
      <c r="AE234"/>
      <c r="AF234"/>
      <c r="AG234"/>
      <c r="AH234"/>
      <c r="AI234"/>
      <c r="AJ234"/>
      <c r="AK234"/>
      <c r="AL234"/>
      <c r="AM234"/>
      <c r="AN234"/>
      <c r="AP234" s="15"/>
      <c r="AT234" s="15"/>
      <c r="AX234" s="15"/>
      <c r="BB234" s="15"/>
      <c r="BE234" s="15"/>
      <c r="BH234" s="15"/>
    </row>
    <row r="235" spans="1:60" s="3" customFormat="1" x14ac:dyDescent="0.3">
      <c r="A235" s="5"/>
      <c r="B235" s="15"/>
      <c r="C235" s="1"/>
      <c r="D235" s="1"/>
      <c r="E235" s="15"/>
      <c r="F235" s="15"/>
      <c r="G235" s="1"/>
      <c r="I235" s="15"/>
      <c r="J235" s="15"/>
      <c r="K235" s="1"/>
      <c r="L235" s="15"/>
      <c r="M235" s="1"/>
      <c r="N235" s="1"/>
      <c r="O235" s="15"/>
      <c r="P235" s="1"/>
      <c r="Q235" s="1"/>
      <c r="R235" s="15"/>
      <c r="S235" s="15"/>
      <c r="T235" s="15"/>
      <c r="U235" s="15"/>
      <c r="X235" s="15"/>
      <c r="AA235" s="15"/>
      <c r="AC235" s="93"/>
      <c r="AD235"/>
      <c r="AE235"/>
      <c r="AF235"/>
      <c r="AG235"/>
      <c r="AH235"/>
      <c r="AI235"/>
      <c r="AJ235"/>
      <c r="AK235"/>
      <c r="AL235"/>
      <c r="AM235"/>
      <c r="AN235"/>
      <c r="AP235" s="15"/>
      <c r="AT235" s="15"/>
      <c r="AX235" s="15"/>
      <c r="BB235" s="15"/>
      <c r="BE235" s="15"/>
      <c r="BH235" s="15"/>
    </row>
    <row r="236" spans="1:60" s="3" customFormat="1" x14ac:dyDescent="0.3">
      <c r="A236" s="5"/>
      <c r="B236" s="15"/>
      <c r="C236" s="1"/>
      <c r="D236" s="1"/>
      <c r="E236" s="15"/>
      <c r="F236" s="15"/>
      <c r="G236" s="1"/>
      <c r="I236" s="15"/>
      <c r="J236" s="15"/>
      <c r="K236" s="1"/>
      <c r="L236" s="15"/>
      <c r="M236" s="1"/>
      <c r="N236" s="1"/>
      <c r="O236" s="15"/>
      <c r="P236" s="1"/>
      <c r="Q236" s="1"/>
      <c r="R236" s="15"/>
      <c r="S236" s="15"/>
      <c r="T236" s="15"/>
      <c r="U236" s="15"/>
      <c r="X236" s="15"/>
      <c r="AA236" s="15"/>
      <c r="AC236" s="93"/>
      <c r="AD236"/>
      <c r="AE236"/>
      <c r="AF236"/>
      <c r="AG236"/>
      <c r="AH236"/>
      <c r="AI236"/>
      <c r="AJ236"/>
      <c r="AK236"/>
      <c r="AL236"/>
      <c r="AM236"/>
      <c r="AN236"/>
      <c r="AP236" s="15"/>
      <c r="AT236" s="15"/>
      <c r="AX236" s="15"/>
      <c r="BB236" s="15"/>
      <c r="BE236" s="15"/>
      <c r="BH236" s="15"/>
    </row>
    <row r="237" spans="1:60" s="3" customFormat="1" x14ac:dyDescent="0.3">
      <c r="A237" s="5"/>
      <c r="B237" s="15"/>
      <c r="C237" s="1"/>
      <c r="D237" s="1"/>
      <c r="E237" s="15"/>
      <c r="F237" s="15"/>
      <c r="G237" s="1"/>
      <c r="I237" s="15"/>
      <c r="J237" s="15"/>
      <c r="K237" s="1"/>
      <c r="L237" s="15"/>
      <c r="M237" s="1"/>
      <c r="N237" s="1"/>
      <c r="O237" s="15"/>
      <c r="P237" s="1"/>
      <c r="Q237" s="1"/>
      <c r="R237" s="15"/>
      <c r="S237" s="15"/>
      <c r="T237" s="15"/>
      <c r="U237" s="15"/>
      <c r="X237" s="15"/>
      <c r="AA237" s="15"/>
      <c r="AC237" s="93"/>
      <c r="AD237"/>
      <c r="AE237"/>
      <c r="AF237"/>
      <c r="AG237"/>
      <c r="AH237"/>
      <c r="AI237"/>
      <c r="AJ237"/>
      <c r="AK237"/>
      <c r="AL237"/>
      <c r="AM237"/>
      <c r="AN237"/>
      <c r="AP237" s="15"/>
      <c r="AT237" s="15"/>
      <c r="AX237" s="15"/>
      <c r="BB237" s="15"/>
      <c r="BE237" s="15"/>
      <c r="BH237" s="15"/>
    </row>
    <row r="238" spans="1:60" s="3" customFormat="1" x14ac:dyDescent="0.3">
      <c r="A238" s="5"/>
      <c r="B238" s="15"/>
      <c r="C238" s="1"/>
      <c r="D238" s="1"/>
      <c r="E238" s="15"/>
      <c r="F238" s="15"/>
      <c r="G238" s="1"/>
      <c r="I238" s="15"/>
      <c r="J238" s="15"/>
      <c r="K238" s="1"/>
      <c r="L238" s="15"/>
      <c r="M238" s="1"/>
      <c r="N238" s="1"/>
      <c r="O238" s="15"/>
      <c r="P238" s="1"/>
      <c r="Q238" s="1"/>
      <c r="R238" s="15"/>
      <c r="S238" s="15"/>
      <c r="T238" s="15"/>
      <c r="U238" s="15"/>
      <c r="X238" s="15"/>
      <c r="AA238" s="15"/>
      <c r="AC238" s="93"/>
      <c r="AD238"/>
      <c r="AE238"/>
      <c r="AF238"/>
      <c r="AG238"/>
      <c r="AH238"/>
      <c r="AI238"/>
      <c r="AJ238"/>
      <c r="AK238"/>
      <c r="AL238"/>
      <c r="AM238"/>
      <c r="AN238"/>
      <c r="AP238" s="15"/>
      <c r="AT238" s="15"/>
      <c r="AX238" s="15"/>
      <c r="BB238" s="15"/>
      <c r="BE238" s="15"/>
      <c r="BH238" s="15"/>
    </row>
    <row r="239" spans="1:60" x14ac:dyDescent="0.3">
      <c r="C239" s="1"/>
      <c r="D239" s="1"/>
      <c r="G239" s="1"/>
      <c r="K239" s="1"/>
      <c r="M239" s="1"/>
      <c r="N239" s="1"/>
      <c r="P239" s="1"/>
      <c r="Q239" s="1"/>
    </row>
    <row r="240" spans="1:60" x14ac:dyDescent="0.3">
      <c r="C240" s="1"/>
      <c r="D240" s="1"/>
      <c r="G240" s="1"/>
      <c r="K240" s="1"/>
      <c r="M240" s="1"/>
      <c r="N240" s="1"/>
      <c r="P240" s="1"/>
      <c r="Q240" s="1"/>
    </row>
    <row r="241" spans="3:17" x14ac:dyDescent="0.3">
      <c r="C241" s="1"/>
      <c r="D241" s="1"/>
      <c r="G241" s="1"/>
      <c r="K241" s="1"/>
      <c r="M241" s="1"/>
      <c r="N241" s="1"/>
      <c r="P241" s="1"/>
      <c r="Q241" s="1"/>
    </row>
    <row r="242" spans="3:17" x14ac:dyDescent="0.3">
      <c r="C242" s="1"/>
      <c r="D242" s="1"/>
      <c r="G242" s="1"/>
      <c r="K242" s="1"/>
      <c r="M242" s="1"/>
      <c r="N242" s="1"/>
      <c r="P242" s="1"/>
      <c r="Q242" s="1"/>
    </row>
    <row r="243" spans="3:17" x14ac:dyDescent="0.3">
      <c r="C243" s="1"/>
      <c r="D243" s="1"/>
      <c r="G243" s="1"/>
      <c r="K243" s="1"/>
      <c r="M243" s="1"/>
      <c r="N243" s="1"/>
      <c r="P243" s="1"/>
      <c r="Q243" s="1"/>
    </row>
    <row r="244" spans="3:17" x14ac:dyDescent="0.3">
      <c r="C244" s="1"/>
      <c r="D244" s="1"/>
      <c r="G244" s="1"/>
      <c r="K244" s="1"/>
      <c r="M244" s="1"/>
      <c r="N244" s="1"/>
      <c r="P244" s="1"/>
      <c r="Q244" s="1"/>
    </row>
    <row r="245" spans="3:17" x14ac:dyDescent="0.3">
      <c r="C245" s="1"/>
      <c r="D245" s="1"/>
      <c r="G245" s="1"/>
      <c r="K245" s="1"/>
      <c r="M245" s="1"/>
      <c r="N245" s="1"/>
      <c r="P245" s="1"/>
      <c r="Q245" s="1"/>
    </row>
    <row r="246" spans="3:17" x14ac:dyDescent="0.3">
      <c r="C246" s="1"/>
      <c r="D246" s="1"/>
      <c r="G246" s="1"/>
      <c r="K246" s="1"/>
      <c r="M246" s="1"/>
      <c r="N246" s="1"/>
      <c r="P246" s="1"/>
      <c r="Q246" s="1"/>
    </row>
    <row r="247" spans="3:17" x14ac:dyDescent="0.3">
      <c r="C247" s="1"/>
      <c r="D247" s="1"/>
      <c r="G247" s="1"/>
      <c r="K247" s="1"/>
      <c r="M247" s="1"/>
      <c r="N247" s="1"/>
      <c r="P247" s="1"/>
      <c r="Q247" s="1"/>
    </row>
    <row r="248" spans="3:17" x14ac:dyDescent="0.3">
      <c r="C248" s="1"/>
      <c r="D248" s="1"/>
      <c r="G248" s="1"/>
      <c r="K248" s="1"/>
      <c r="M248" s="1"/>
      <c r="N248" s="1"/>
      <c r="P248" s="1"/>
      <c r="Q248" s="1"/>
    </row>
    <row r="249" spans="3:17" x14ac:dyDescent="0.3">
      <c r="C249" s="1"/>
      <c r="D249" s="1"/>
      <c r="G249" s="1"/>
      <c r="K249" s="1"/>
      <c r="M249" s="1"/>
      <c r="N249" s="1"/>
      <c r="P249" s="1"/>
      <c r="Q249" s="1"/>
    </row>
    <row r="250" spans="3:17" x14ac:dyDescent="0.3">
      <c r="C250" s="1"/>
      <c r="D250" s="1"/>
      <c r="G250" s="1"/>
      <c r="K250" s="1"/>
      <c r="M250" s="1"/>
      <c r="N250" s="1"/>
      <c r="P250" s="1"/>
      <c r="Q250" s="1"/>
    </row>
    <row r="251" spans="3:17" x14ac:dyDescent="0.3">
      <c r="C251" s="1"/>
      <c r="D251" s="1"/>
      <c r="G251" s="1"/>
      <c r="K251" s="1"/>
      <c r="M251" s="1"/>
      <c r="N251" s="1"/>
      <c r="P251" s="1"/>
      <c r="Q251" s="1"/>
    </row>
    <row r="252" spans="3:17" x14ac:dyDescent="0.3">
      <c r="C252" s="1"/>
      <c r="D252" s="1"/>
      <c r="G252" s="1"/>
      <c r="K252" s="1"/>
      <c r="M252" s="1"/>
      <c r="N252" s="1"/>
      <c r="P252" s="1"/>
      <c r="Q252" s="1"/>
    </row>
    <row r="253" spans="3:17" x14ac:dyDescent="0.3">
      <c r="C253" s="1"/>
      <c r="D253" s="1"/>
      <c r="G253" s="1"/>
      <c r="K253" s="1"/>
      <c r="M253" s="1"/>
      <c r="N253" s="1"/>
      <c r="P253" s="1"/>
      <c r="Q253" s="1"/>
    </row>
    <row r="254" spans="3:17" x14ac:dyDescent="0.3">
      <c r="C254" s="1"/>
      <c r="D254" s="1"/>
      <c r="G254" s="1"/>
      <c r="K254" s="1"/>
      <c r="M254" s="1"/>
      <c r="N254" s="1"/>
      <c r="P254" s="1"/>
      <c r="Q254" s="1"/>
    </row>
    <row r="255" spans="3:17" x14ac:dyDescent="0.3">
      <c r="C255" s="1"/>
      <c r="D255" s="1"/>
      <c r="G255" s="1"/>
      <c r="K255" s="1"/>
      <c r="M255" s="1"/>
      <c r="N255" s="1"/>
      <c r="P255" s="1"/>
      <c r="Q255" s="1"/>
    </row>
    <row r="256" spans="3:17" x14ac:dyDescent="0.3">
      <c r="C256" s="1"/>
      <c r="D256" s="1"/>
      <c r="G256" s="1"/>
      <c r="K256" s="1"/>
      <c r="M256" s="1"/>
      <c r="N256" s="1"/>
      <c r="P256" s="1"/>
      <c r="Q256" s="1"/>
    </row>
    <row r="257" spans="3:17" x14ac:dyDescent="0.3">
      <c r="C257" s="1"/>
      <c r="D257" s="1"/>
      <c r="G257" s="1"/>
      <c r="K257" s="1"/>
      <c r="M257" s="1"/>
      <c r="N257" s="1"/>
      <c r="P257" s="1"/>
      <c r="Q257" s="1"/>
    </row>
    <row r="258" spans="3:17" x14ac:dyDescent="0.3">
      <c r="C258" s="1"/>
      <c r="D258" s="1"/>
      <c r="G258" s="1"/>
      <c r="K258" s="1"/>
      <c r="M258" s="1"/>
      <c r="N258" s="1"/>
      <c r="P258" s="1"/>
      <c r="Q258" s="1"/>
    </row>
    <row r="259" spans="3:17" x14ac:dyDescent="0.3">
      <c r="C259" s="1"/>
      <c r="D259" s="1"/>
      <c r="G259" s="1"/>
      <c r="K259" s="1"/>
      <c r="M259" s="1"/>
      <c r="N259" s="1"/>
      <c r="P259" s="1"/>
      <c r="Q259" s="1"/>
    </row>
    <row r="260" spans="3:17" x14ac:dyDescent="0.3">
      <c r="C260" s="1"/>
      <c r="D260" s="1"/>
      <c r="G260" s="1"/>
      <c r="K260" s="1"/>
      <c r="M260" s="1"/>
      <c r="N260" s="1"/>
      <c r="P260" s="1"/>
      <c r="Q260" s="1"/>
    </row>
    <row r="261" spans="3:17" x14ac:dyDescent="0.3">
      <c r="C261" s="1"/>
      <c r="D261" s="1"/>
      <c r="G261" s="1"/>
      <c r="K261" s="1"/>
      <c r="M261" s="1"/>
      <c r="N261" s="1"/>
      <c r="P261" s="1"/>
      <c r="Q261" s="1"/>
    </row>
    <row r="262" spans="3:17" x14ac:dyDescent="0.3">
      <c r="C262" s="1"/>
      <c r="D262" s="1"/>
      <c r="G262" s="1"/>
      <c r="K262" s="1"/>
      <c r="M262" s="1"/>
      <c r="N262" s="1"/>
      <c r="P262" s="1"/>
      <c r="Q262" s="1"/>
    </row>
    <row r="263" spans="3:17" x14ac:dyDescent="0.3">
      <c r="C263" s="1"/>
      <c r="D263" s="1"/>
      <c r="G263" s="1"/>
      <c r="K263" s="1"/>
      <c r="M263" s="1"/>
      <c r="N263" s="1"/>
      <c r="P263" s="1"/>
      <c r="Q263" s="1"/>
    </row>
    <row r="264" spans="3:17" x14ac:dyDescent="0.3">
      <c r="C264" s="1"/>
      <c r="D264" s="1"/>
      <c r="G264" s="1"/>
      <c r="K264" s="1"/>
      <c r="M264" s="1"/>
      <c r="N264" s="1"/>
      <c r="P264" s="1"/>
      <c r="Q264" s="1"/>
    </row>
    <row r="265" spans="3:17" x14ac:dyDescent="0.3">
      <c r="C265" s="1"/>
      <c r="D265" s="1"/>
      <c r="G265" s="1"/>
      <c r="K265" s="1"/>
      <c r="M265" s="1"/>
      <c r="N265" s="1"/>
      <c r="P265" s="1"/>
      <c r="Q265" s="1"/>
    </row>
    <row r="266" spans="3:17" x14ac:dyDescent="0.3">
      <c r="C266" s="1"/>
      <c r="D266" s="1"/>
      <c r="G266" s="1"/>
      <c r="K266" s="1"/>
      <c r="M266" s="1"/>
      <c r="N266" s="1"/>
      <c r="P266" s="1"/>
      <c r="Q266" s="1"/>
    </row>
    <row r="267" spans="3:17" x14ac:dyDescent="0.3">
      <c r="C267" s="1"/>
      <c r="D267" s="1"/>
      <c r="G267" s="1"/>
      <c r="K267" s="1"/>
      <c r="M267" s="1"/>
      <c r="N267" s="1"/>
      <c r="P267" s="1"/>
      <c r="Q267" s="1"/>
    </row>
    <row r="268" spans="3:17" x14ac:dyDescent="0.3">
      <c r="C268" s="1"/>
      <c r="D268" s="1"/>
      <c r="G268" s="1"/>
      <c r="K268" s="1"/>
      <c r="M268" s="1"/>
      <c r="N268" s="1"/>
      <c r="P268" s="1"/>
      <c r="Q268" s="1"/>
    </row>
    <row r="269" spans="3:17" x14ac:dyDescent="0.3">
      <c r="C269" s="1"/>
      <c r="D269" s="1"/>
      <c r="G269" s="1"/>
      <c r="K269" s="1"/>
      <c r="M269" s="1"/>
      <c r="N269" s="1"/>
      <c r="P269" s="1"/>
      <c r="Q269" s="1"/>
    </row>
    <row r="270" spans="3:17" x14ac:dyDescent="0.3">
      <c r="C270" s="1"/>
      <c r="D270" s="1"/>
      <c r="G270" s="1"/>
      <c r="K270" s="1"/>
      <c r="M270" s="1"/>
      <c r="N270" s="1"/>
      <c r="P270" s="1"/>
      <c r="Q270" s="1"/>
    </row>
    <row r="271" spans="3:17" x14ac:dyDescent="0.3">
      <c r="C271" s="1"/>
      <c r="D271" s="1"/>
      <c r="G271" s="1"/>
      <c r="K271" s="1"/>
      <c r="M271" s="1"/>
      <c r="N271" s="1"/>
      <c r="P271" s="1"/>
      <c r="Q271" s="1"/>
    </row>
    <row r="272" spans="3:17" x14ac:dyDescent="0.3">
      <c r="C272" s="1"/>
      <c r="D272" s="1"/>
      <c r="G272" s="1"/>
      <c r="K272" s="1"/>
      <c r="M272" s="1"/>
      <c r="N272" s="1"/>
      <c r="P272" s="1"/>
      <c r="Q272" s="1"/>
    </row>
    <row r="273" spans="3:17" x14ac:dyDescent="0.3">
      <c r="C273" s="1"/>
      <c r="D273" s="1"/>
      <c r="G273" s="1"/>
      <c r="K273" s="1"/>
      <c r="M273" s="1"/>
      <c r="N273" s="1"/>
      <c r="P273" s="1"/>
      <c r="Q273" s="1"/>
    </row>
    <row r="274" spans="3:17" x14ac:dyDescent="0.3">
      <c r="C274" s="1"/>
      <c r="D274" s="1"/>
      <c r="G274" s="1"/>
      <c r="K274" s="1"/>
      <c r="M274" s="1"/>
      <c r="N274" s="1"/>
      <c r="P274" s="1"/>
      <c r="Q274" s="1"/>
    </row>
    <row r="275" spans="3:17" x14ac:dyDescent="0.3">
      <c r="C275" s="1"/>
      <c r="D275" s="1"/>
      <c r="G275" s="1"/>
      <c r="K275" s="1"/>
      <c r="M275" s="1"/>
      <c r="N275" s="1"/>
      <c r="P275" s="1"/>
      <c r="Q275" s="1"/>
    </row>
    <row r="276" spans="3:17" x14ac:dyDescent="0.3">
      <c r="C276" s="1"/>
      <c r="D276" s="1"/>
      <c r="G276" s="1"/>
      <c r="K276" s="1"/>
      <c r="M276" s="1"/>
      <c r="N276" s="1"/>
      <c r="P276" s="1"/>
      <c r="Q276" s="1"/>
    </row>
  </sheetData>
  <mergeCells count="28">
    <mergeCell ref="BF2:BH2"/>
    <mergeCell ref="AD2:AF2"/>
    <mergeCell ref="AH2:AJ2"/>
    <mergeCell ref="AL2:AN2"/>
    <mergeCell ref="AC2:AC3"/>
    <mergeCell ref="AG2:AG3"/>
    <mergeCell ref="AK2:AK3"/>
    <mergeCell ref="AP2:AR2"/>
    <mergeCell ref="AT2:AV2"/>
    <mergeCell ref="AX2:AZ2"/>
    <mergeCell ref="BB2:BD2"/>
    <mergeCell ref="B43:B44"/>
    <mergeCell ref="C43:C44"/>
    <mergeCell ref="D43:D44"/>
    <mergeCell ref="E43:E44"/>
    <mergeCell ref="R2:R3"/>
    <mergeCell ref="F2:F3"/>
    <mergeCell ref="S2:U2"/>
    <mergeCell ref="N2:N3"/>
    <mergeCell ref="J2:J3"/>
    <mergeCell ref="Z2:AB2"/>
    <mergeCell ref="B2:B3"/>
    <mergeCell ref="W2:Y2"/>
    <mergeCell ref="G2:I2"/>
    <mergeCell ref="C2:E2"/>
    <mergeCell ref="O2:Q2"/>
    <mergeCell ref="K2:M2"/>
    <mergeCell ref="V2:V3"/>
  </mergeCells>
  <pageMargins left="0.7" right="0.7" top="0.75" bottom="0.75" header="0.3" footer="0.3"/>
  <pageSetup paperSize="9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3"/>
  <sheetViews>
    <sheetView workbookViewId="0">
      <selection activeCell="C11" sqref="C11"/>
    </sheetView>
  </sheetViews>
  <sheetFormatPr defaultRowHeight="14.4" x14ac:dyDescent="0.3"/>
  <sheetData>
    <row r="3" spans="1:2" x14ac:dyDescent="0.3">
      <c r="A3" s="50"/>
      <c r="B3" s="4" t="s">
        <v>227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Intro</vt:lpstr>
      <vt:lpstr>Shiraz - Prices (Imports)</vt:lpstr>
      <vt:lpstr>Shiraz - Prices (Exports)</vt:lpstr>
      <vt:lpstr>Imports - Data (Raw &amp; Adjusted)</vt:lpstr>
      <vt:lpstr>Exports - Data (Raw &amp; Adjusted)</vt:lpstr>
      <vt:lpstr>Imports - Data (Raw)</vt:lpstr>
      <vt:lpstr>Exports - Data (Raw)</vt:lpstr>
      <vt:lpstr>Color Legend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2018-11-10T19:41:33Z</dcterms:modified>
</cp:coreProperties>
</file>