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gm12\Dropbox\REFdata\20180215 Files added by Mustafa\Price Calculations + Raw Data\Price Calculations + Raw Data with Standardized Product Names\Updated\"/>
    </mc:Choice>
  </mc:AlternateContent>
  <bookViews>
    <workbookView xWindow="0" yWindow="0" windowWidth="23040" windowHeight="9396" tabRatio="603"/>
  </bookViews>
  <sheets>
    <sheet name="Intro" sheetId="4" r:id="rId1"/>
    <sheet name="Mohammerah - Prices (Imports)" sheetId="5" r:id="rId2"/>
    <sheet name="Mohammerah - Prices (Exports)" sheetId="6" r:id="rId3"/>
    <sheet name="Imports - Data (Raw)" sheetId="7" r:id="rId4"/>
    <sheet name="Imports - Data (Adjusted)" sheetId="1" r:id="rId5"/>
    <sheet name="Exports - Data (Raw)" sheetId="2" r:id="rId6"/>
    <sheet name="Exports - Data (Adjusted)" sheetId="9" r:id="rId7"/>
    <sheet name="Color Legend" sheetId="8" r:id="rId8"/>
  </sheets>
  <definedNames>
    <definedName name="_xlnm._FilterDatabase" localSheetId="6" hidden="1">'Exports - Data (Adjusted)'!$A$3:$A$36</definedName>
    <definedName name="_xlnm._FilterDatabase" localSheetId="5" hidden="1">'Exports - Data (Raw)'!#REF!</definedName>
    <definedName name="_xlnm._FilterDatabase" localSheetId="4" hidden="1">'Imports - Data (Adjusted)'!$A$3:$A$88</definedName>
    <definedName name="_xlnm._FilterDatabase" localSheetId="3" hidden="1">'Imports - Data (Raw)'!#REF!</definedName>
  </definedNames>
  <calcPr calcId="152511"/>
</workbook>
</file>

<file path=xl/calcChain.xml><?xml version="1.0" encoding="utf-8"?>
<calcChain xmlns="http://schemas.openxmlformats.org/spreadsheetml/2006/main">
  <c r="D73" i="1" l="1"/>
  <c r="H73" i="1"/>
  <c r="N73" i="1"/>
  <c r="BY52" i="1" l="1"/>
  <c r="BO73" i="1" l="1"/>
  <c r="BV73" i="1"/>
  <c r="AC35" i="9"/>
  <c r="AC33" i="9"/>
  <c r="AC32" i="9"/>
  <c r="AC30" i="9"/>
  <c r="AC29" i="9"/>
  <c r="AC26" i="9"/>
  <c r="AC25" i="9"/>
  <c r="AC24" i="9"/>
  <c r="AC23" i="9"/>
  <c r="AC22" i="9"/>
  <c r="AC21" i="9"/>
  <c r="AC18" i="9"/>
  <c r="AC17" i="9"/>
  <c r="AC16" i="9"/>
  <c r="AC15" i="9"/>
  <c r="AC14" i="9"/>
  <c r="AC13" i="9"/>
  <c r="AC12" i="9"/>
  <c r="AC9" i="9"/>
  <c r="AC7" i="9"/>
  <c r="AC6" i="9"/>
  <c r="AC5" i="9"/>
  <c r="AC4" i="9"/>
  <c r="W35" i="9"/>
  <c r="W33" i="9"/>
  <c r="W32" i="9"/>
  <c r="W30" i="9"/>
  <c r="W29" i="9"/>
  <c r="W26" i="9"/>
  <c r="W25" i="9"/>
  <c r="W24" i="9"/>
  <c r="W23" i="9"/>
  <c r="W22" i="9"/>
  <c r="W21" i="9"/>
  <c r="W18" i="9"/>
  <c r="W17" i="9"/>
  <c r="W16" i="9"/>
  <c r="W15" i="9"/>
  <c r="W14" i="9"/>
  <c r="W13" i="9"/>
  <c r="W12" i="9"/>
  <c r="W9" i="9"/>
  <c r="W7" i="9"/>
  <c r="W6" i="9"/>
  <c r="W5" i="9"/>
  <c r="W4" i="9"/>
  <c r="Q33" i="9"/>
  <c r="Q32" i="9"/>
  <c r="Q29" i="9"/>
  <c r="Q26" i="9"/>
  <c r="Q25" i="9"/>
  <c r="Q23" i="9"/>
  <c r="Q22" i="9"/>
  <c r="Q18" i="9"/>
  <c r="Q17" i="9"/>
  <c r="Q16" i="9"/>
  <c r="Q14" i="9"/>
  <c r="Q11" i="9"/>
  <c r="Q10" i="9"/>
  <c r="Q5" i="9"/>
  <c r="Q4" i="9"/>
  <c r="L5" i="9"/>
  <c r="L10" i="9"/>
  <c r="L11" i="9"/>
  <c r="L13" i="9"/>
  <c r="L14" i="9"/>
  <c r="L15" i="9"/>
  <c r="L16" i="9"/>
  <c r="L17" i="9"/>
  <c r="L18" i="9"/>
  <c r="L20" i="9"/>
  <c r="L22" i="9"/>
  <c r="L23" i="9"/>
  <c r="L24" i="9"/>
  <c r="L25" i="9"/>
  <c r="L26" i="9"/>
  <c r="L27" i="9"/>
  <c r="L30" i="9"/>
  <c r="L32" i="9"/>
  <c r="L33" i="9"/>
  <c r="L4" i="9"/>
  <c r="BE36" i="9"/>
  <c r="BE35" i="9"/>
  <c r="BE34" i="9"/>
  <c r="BE33" i="9"/>
  <c r="BE32" i="9"/>
  <c r="BE31" i="9"/>
  <c r="BE30" i="9"/>
  <c r="BE29" i="9"/>
  <c r="BE28" i="9"/>
  <c r="BE26" i="9"/>
  <c r="BE25" i="9"/>
  <c r="BE24" i="9"/>
  <c r="BE23" i="9"/>
  <c r="BE22" i="9"/>
  <c r="BE21" i="9"/>
  <c r="BE20" i="9"/>
  <c r="BE19" i="9"/>
  <c r="BE18" i="9"/>
  <c r="BE17" i="9"/>
  <c r="BE16" i="9"/>
  <c r="BE15" i="9"/>
  <c r="BE14" i="9"/>
  <c r="BE13" i="9"/>
  <c r="BE12" i="9"/>
  <c r="BE11" i="9"/>
  <c r="BE10" i="9"/>
  <c r="BE9" i="9"/>
  <c r="BE8" i="9"/>
  <c r="BE7" i="9"/>
  <c r="BE6" i="9"/>
  <c r="BE5" i="9"/>
  <c r="BE4" i="9"/>
  <c r="BB36" i="9"/>
  <c r="BB35" i="9"/>
  <c r="BB34" i="9"/>
  <c r="BB33" i="9"/>
  <c r="BB32" i="9"/>
  <c r="BB31" i="9"/>
  <c r="BB30" i="9"/>
  <c r="BB29" i="9"/>
  <c r="BB28" i="9"/>
  <c r="BB26" i="9"/>
  <c r="BB25" i="9"/>
  <c r="BB24" i="9"/>
  <c r="BB23" i="9"/>
  <c r="BB22" i="9"/>
  <c r="BB21" i="9"/>
  <c r="BB20" i="9"/>
  <c r="BB19" i="9"/>
  <c r="BB18" i="9"/>
  <c r="BB17" i="9"/>
  <c r="BB16" i="9"/>
  <c r="BB15" i="9"/>
  <c r="BB14" i="9"/>
  <c r="BB13" i="9"/>
  <c r="BB12" i="9"/>
  <c r="BB11" i="9"/>
  <c r="BB10" i="9"/>
  <c r="BB9" i="9"/>
  <c r="BB8" i="9"/>
  <c r="BB7" i="9"/>
  <c r="BB6" i="9"/>
  <c r="BB5" i="9"/>
  <c r="BB4" i="9"/>
  <c r="AX36" i="9"/>
  <c r="AX35" i="9"/>
  <c r="AX34" i="9"/>
  <c r="AX33" i="9"/>
  <c r="AX32" i="9"/>
  <c r="AX31" i="9"/>
  <c r="AX30" i="9"/>
  <c r="AX29" i="9"/>
  <c r="AX28" i="9"/>
  <c r="AX26" i="9"/>
  <c r="AX25" i="9"/>
  <c r="AX24" i="9"/>
  <c r="AX23" i="9"/>
  <c r="AX22" i="9"/>
  <c r="AX21" i="9"/>
  <c r="AX20" i="9"/>
  <c r="AX19" i="9"/>
  <c r="AX18" i="9"/>
  <c r="AX17" i="9"/>
  <c r="AX16" i="9"/>
  <c r="AX15" i="9"/>
  <c r="AX14" i="9"/>
  <c r="AX13" i="9"/>
  <c r="AX12" i="9"/>
  <c r="AX11" i="9"/>
  <c r="AX10" i="9"/>
  <c r="AX9" i="9"/>
  <c r="AX8" i="9"/>
  <c r="AX7" i="9"/>
  <c r="AX6" i="9"/>
  <c r="AX5" i="9"/>
  <c r="AX4" i="9"/>
  <c r="AT36" i="9"/>
  <c r="AT35" i="9"/>
  <c r="AT34" i="9"/>
  <c r="AT33" i="9"/>
  <c r="AT32" i="9"/>
  <c r="AT31" i="9"/>
  <c r="AT30" i="9"/>
  <c r="AT29" i="9"/>
  <c r="AT28" i="9"/>
  <c r="AT27" i="9"/>
  <c r="AT26" i="9"/>
  <c r="AT25" i="9"/>
  <c r="AT24" i="9"/>
  <c r="AT23" i="9"/>
  <c r="AT22" i="9"/>
  <c r="AT21" i="9"/>
  <c r="AT20" i="9"/>
  <c r="AT19" i="9"/>
  <c r="AT18" i="9"/>
  <c r="AT17" i="9"/>
  <c r="AT16" i="9"/>
  <c r="AT15" i="9"/>
  <c r="AT14" i="9"/>
  <c r="AT13" i="9"/>
  <c r="AT12" i="9"/>
  <c r="AT11" i="9"/>
  <c r="AT10" i="9"/>
  <c r="AT9" i="9"/>
  <c r="AT8" i="9"/>
  <c r="AT7" i="9"/>
  <c r="AT6" i="9"/>
  <c r="AT5" i="9"/>
  <c r="AT4" i="9"/>
  <c r="AQ36" i="9"/>
  <c r="AQ35" i="9"/>
  <c r="AQ34" i="9"/>
  <c r="AQ33" i="9"/>
  <c r="AQ32" i="9"/>
  <c r="AQ31" i="9"/>
  <c r="AQ30" i="9"/>
  <c r="AQ29" i="9"/>
  <c r="AQ28" i="9"/>
  <c r="AQ26" i="9"/>
  <c r="AQ25" i="9"/>
  <c r="AQ24" i="9"/>
  <c r="AQ23" i="9"/>
  <c r="AQ22" i="9"/>
  <c r="AQ21" i="9"/>
  <c r="AQ20" i="9"/>
  <c r="AQ19" i="9"/>
  <c r="AQ18" i="9"/>
  <c r="AQ17" i="9"/>
  <c r="AQ16" i="9"/>
  <c r="AQ15" i="9"/>
  <c r="AQ14" i="9"/>
  <c r="AQ13" i="9"/>
  <c r="AQ12" i="9"/>
  <c r="AQ11" i="9"/>
  <c r="AQ10" i="9"/>
  <c r="AQ9" i="9"/>
  <c r="AQ8" i="9"/>
  <c r="AQ7" i="9"/>
  <c r="AQ6" i="9"/>
  <c r="AQ5" i="9"/>
  <c r="AQ4" i="9"/>
  <c r="AM36" i="9"/>
  <c r="AM35" i="9"/>
  <c r="AM34" i="9"/>
  <c r="AM33" i="9"/>
  <c r="AM32" i="9"/>
  <c r="AM31" i="9"/>
  <c r="AM30" i="9"/>
  <c r="AM29" i="9"/>
  <c r="AM28" i="9"/>
  <c r="AM26" i="9"/>
  <c r="AM25" i="9"/>
  <c r="AM24" i="9"/>
  <c r="AM23" i="9"/>
  <c r="AM22" i="9"/>
  <c r="AM21" i="9"/>
  <c r="AM20" i="9"/>
  <c r="AM19" i="9"/>
  <c r="AM18" i="9"/>
  <c r="AM17" i="9"/>
  <c r="AM16" i="9"/>
  <c r="AM15" i="9"/>
  <c r="AM14" i="9"/>
  <c r="AM13" i="9"/>
  <c r="AM12" i="9"/>
  <c r="AM11" i="9"/>
  <c r="AM10" i="9"/>
  <c r="AM9" i="9"/>
  <c r="AM8" i="9"/>
  <c r="AM7" i="9"/>
  <c r="AM6" i="9"/>
  <c r="AM5" i="9"/>
  <c r="AM4" i="9"/>
  <c r="AJ36" i="9"/>
  <c r="AJ35" i="9"/>
  <c r="AJ34" i="9"/>
  <c r="AJ33" i="9"/>
  <c r="AJ32" i="9"/>
  <c r="AJ31" i="9"/>
  <c r="AJ30" i="9"/>
  <c r="AJ29" i="9"/>
  <c r="AJ28" i="9"/>
  <c r="AJ26" i="9"/>
  <c r="AJ25" i="9"/>
  <c r="AJ24" i="9"/>
  <c r="AJ23" i="9"/>
  <c r="AJ22" i="9"/>
  <c r="AJ21" i="9"/>
  <c r="AJ20" i="9"/>
  <c r="AJ19" i="9"/>
  <c r="AJ18" i="9"/>
  <c r="AJ17" i="9"/>
  <c r="AJ16" i="9"/>
  <c r="AJ15" i="9"/>
  <c r="AJ14" i="9"/>
  <c r="AJ13" i="9"/>
  <c r="AJ12" i="9"/>
  <c r="AJ11" i="9"/>
  <c r="AJ10" i="9"/>
  <c r="AJ9" i="9"/>
  <c r="AJ8" i="9"/>
  <c r="AJ7" i="9"/>
  <c r="AJ6" i="9"/>
  <c r="AJ5" i="9"/>
  <c r="AJ4" i="9"/>
  <c r="AG36" i="9"/>
  <c r="AG35" i="9"/>
  <c r="AG34" i="9"/>
  <c r="AG33" i="9"/>
  <c r="AG32" i="9"/>
  <c r="AG31" i="9"/>
  <c r="AG30" i="9"/>
  <c r="AG29" i="9"/>
  <c r="AG28" i="9"/>
  <c r="AG26" i="9"/>
  <c r="AG25" i="9"/>
  <c r="AG24" i="9"/>
  <c r="AG23" i="9"/>
  <c r="AG22" i="9"/>
  <c r="AG21" i="9"/>
  <c r="AG20" i="9"/>
  <c r="AG19" i="9"/>
  <c r="AG18" i="9"/>
  <c r="AG17" i="9"/>
  <c r="AG16" i="9"/>
  <c r="AG15" i="9"/>
  <c r="AG14" i="9"/>
  <c r="AG13" i="9"/>
  <c r="AG12" i="9"/>
  <c r="AG11" i="9"/>
  <c r="AG10" i="9"/>
  <c r="AG9" i="9"/>
  <c r="AG8" i="9"/>
  <c r="AG7" i="9"/>
  <c r="AG6" i="9"/>
  <c r="AG5" i="9"/>
  <c r="AG4" i="9"/>
  <c r="F5" i="9"/>
  <c r="F6" i="9"/>
  <c r="F7" i="9"/>
  <c r="F8" i="9"/>
  <c r="F9" i="9"/>
  <c r="F10" i="9"/>
  <c r="F11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5" i="9"/>
  <c r="F4" i="9"/>
  <c r="M13" i="9"/>
  <c r="F69" i="9"/>
  <c r="M7" i="9" s="1"/>
  <c r="M6" i="9"/>
  <c r="H6" i="9"/>
  <c r="M35" i="9"/>
  <c r="H35" i="9"/>
  <c r="M34" i="9"/>
  <c r="H34" i="9"/>
  <c r="D34" i="9"/>
  <c r="F34" i="9" s="1"/>
  <c r="M30" i="9"/>
  <c r="H29" i="9"/>
  <c r="Y11" i="9"/>
  <c r="S11" i="9"/>
  <c r="M12" i="9"/>
  <c r="H12" i="9"/>
  <c r="D12" i="9"/>
  <c r="F12" i="9" s="1"/>
  <c r="Y68" i="1"/>
  <c r="T68" i="1"/>
  <c r="N64" i="1"/>
  <c r="H64" i="1"/>
  <c r="D64" i="1"/>
  <c r="Y52" i="1"/>
  <c r="T52" i="1"/>
  <c r="N52" i="1"/>
  <c r="H52" i="1"/>
  <c r="D52" i="1"/>
  <c r="D50" i="1"/>
  <c r="F182" i="1"/>
  <c r="F181" i="1"/>
  <c r="Y48" i="1" s="1"/>
  <c r="BD36" i="1"/>
  <c r="AZ36" i="1"/>
  <c r="AV36" i="1"/>
  <c r="AR36" i="1"/>
  <c r="D36" i="1"/>
  <c r="T47" i="1"/>
  <c r="F180" i="1"/>
  <c r="Y47" i="1" s="1"/>
  <c r="CB60" i="1"/>
  <c r="BY60" i="1"/>
  <c r="BV60" i="1"/>
  <c r="F179" i="1"/>
  <c r="D31" i="1" s="1"/>
  <c r="F178" i="1"/>
  <c r="H28" i="1" s="1"/>
  <c r="Y24" i="1"/>
  <c r="T24" i="1"/>
  <c r="Z15" i="1"/>
  <c r="H7" i="9" l="1"/>
  <c r="D47" i="1"/>
  <c r="N47" i="1"/>
  <c r="H50" i="1"/>
  <c r="H47" i="1"/>
  <c r="T48" i="1"/>
  <c r="N50" i="1"/>
  <c r="F183" i="1"/>
  <c r="T31" i="1"/>
  <c r="N28" i="1"/>
  <c r="Y31" i="1"/>
  <c r="H31" i="1"/>
  <c r="N31" i="1"/>
  <c r="T15" i="1"/>
  <c r="N15" i="1"/>
  <c r="D15" i="1"/>
  <c r="H15" i="1"/>
  <c r="N49" i="1" l="1"/>
  <c r="Y50" i="1"/>
  <c r="D49" i="1"/>
  <c r="F49" i="1" s="1"/>
  <c r="T50" i="1"/>
  <c r="H49" i="1"/>
  <c r="CD87" i="1"/>
  <c r="CD84" i="1"/>
  <c r="CD83" i="1"/>
  <c r="CD82" i="1"/>
  <c r="CD77" i="1"/>
  <c r="CD76" i="1"/>
  <c r="CD75" i="1"/>
  <c r="CD74" i="1"/>
  <c r="CD72" i="1"/>
  <c r="CD71" i="1"/>
  <c r="CD70" i="1"/>
  <c r="CD69" i="1"/>
  <c r="CD68" i="1"/>
  <c r="CD65" i="1"/>
  <c r="CD64" i="1"/>
  <c r="CD63" i="1"/>
  <c r="CD60" i="1"/>
  <c r="CD57" i="1"/>
  <c r="CD56" i="1"/>
  <c r="CD55" i="1"/>
  <c r="CD54" i="1"/>
  <c r="CD50" i="1"/>
  <c r="CD49" i="1"/>
  <c r="CD48" i="1"/>
  <c r="CD47" i="1"/>
  <c r="CD44" i="1"/>
  <c r="CD43" i="1"/>
  <c r="CD33" i="1"/>
  <c r="CD32" i="1"/>
  <c r="CD31" i="1"/>
  <c r="CD30" i="1"/>
  <c r="CD28" i="1"/>
  <c r="CD25" i="1"/>
  <c r="CD23" i="1"/>
  <c r="CD22" i="1"/>
  <c r="CD21" i="1"/>
  <c r="CD19" i="1"/>
  <c r="CD18" i="1"/>
  <c r="CD17" i="1"/>
  <c r="CD16" i="1"/>
  <c r="CD15" i="1"/>
  <c r="CD14" i="1"/>
  <c r="CD12" i="1"/>
  <c r="CD10" i="1"/>
  <c r="CD9" i="1"/>
  <c r="CD8" i="1"/>
  <c r="CD7" i="1"/>
  <c r="CD6" i="1"/>
  <c r="CD5" i="1"/>
  <c r="CD4" i="1"/>
  <c r="CA87" i="1"/>
  <c r="CA84" i="1"/>
  <c r="CA83" i="1"/>
  <c r="CA82" i="1"/>
  <c r="CA78" i="1"/>
  <c r="CA77" i="1"/>
  <c r="CA76" i="1"/>
  <c r="CA75" i="1"/>
  <c r="CA74" i="1"/>
  <c r="CA72" i="1"/>
  <c r="CA71" i="1"/>
  <c r="CA70" i="1"/>
  <c r="CA69" i="1"/>
  <c r="CA68" i="1"/>
  <c r="CA65" i="1"/>
  <c r="CA64" i="1"/>
  <c r="CA63" i="1"/>
  <c r="CA60" i="1"/>
  <c r="CA57" i="1"/>
  <c r="CA56" i="1"/>
  <c r="CA55" i="1"/>
  <c r="CA54" i="1"/>
  <c r="CA50" i="1"/>
  <c r="CA49" i="1"/>
  <c r="CA48" i="1"/>
  <c r="CA47" i="1"/>
  <c r="CA44" i="1"/>
  <c r="CA43" i="1"/>
  <c r="CA33" i="1"/>
  <c r="CA32" i="1"/>
  <c r="CA31" i="1"/>
  <c r="CA30" i="1"/>
  <c r="CA28" i="1"/>
  <c r="CA25" i="1"/>
  <c r="CA23" i="1"/>
  <c r="CA22" i="1"/>
  <c r="CA21" i="1"/>
  <c r="CA20" i="1"/>
  <c r="CA19" i="1"/>
  <c r="CA18" i="1"/>
  <c r="CA17" i="1"/>
  <c r="CA16" i="1"/>
  <c r="CA15" i="1"/>
  <c r="CA14" i="1"/>
  <c r="CA12" i="1"/>
  <c r="CA10" i="1"/>
  <c r="CA9" i="1"/>
  <c r="CA8" i="1"/>
  <c r="CA7" i="1"/>
  <c r="CA6" i="1"/>
  <c r="CA5" i="1"/>
  <c r="CA4" i="1"/>
  <c r="BX87" i="1"/>
  <c r="BX84" i="1"/>
  <c r="BX83" i="1"/>
  <c r="BX82" i="1"/>
  <c r="BX77" i="1"/>
  <c r="BX76" i="1"/>
  <c r="BX75" i="1"/>
  <c r="BX74" i="1"/>
  <c r="BX72" i="1"/>
  <c r="BX71" i="1"/>
  <c r="BX70" i="1"/>
  <c r="BX69" i="1"/>
  <c r="BX68" i="1"/>
  <c r="BX65" i="1"/>
  <c r="BX64" i="1"/>
  <c r="BX63" i="1"/>
  <c r="BX60" i="1"/>
  <c r="BX57" i="1"/>
  <c r="BX56" i="1"/>
  <c r="BX55" i="1"/>
  <c r="BX54" i="1"/>
  <c r="BX50" i="1"/>
  <c r="BX49" i="1"/>
  <c r="BX48" i="1"/>
  <c r="BX47" i="1"/>
  <c r="BX44" i="1"/>
  <c r="BX43" i="1"/>
  <c r="BX33" i="1"/>
  <c r="BX32" i="1"/>
  <c r="BX31" i="1"/>
  <c r="BX30" i="1"/>
  <c r="BX28" i="1"/>
  <c r="BX25" i="1"/>
  <c r="BX22" i="1"/>
  <c r="BX21" i="1"/>
  <c r="BX19" i="1"/>
  <c r="BX18" i="1"/>
  <c r="BX17" i="1"/>
  <c r="BX16" i="1"/>
  <c r="BX15" i="1"/>
  <c r="BX14" i="1"/>
  <c r="BX12" i="1"/>
  <c r="BX10" i="1"/>
  <c r="BX9" i="1"/>
  <c r="BX8" i="1"/>
  <c r="BX7" i="1"/>
  <c r="BX6" i="1"/>
  <c r="BX5" i="1"/>
  <c r="BX4" i="1"/>
  <c r="BT87" i="1"/>
  <c r="BT86" i="1"/>
  <c r="BT85" i="1"/>
  <c r="BT84" i="1"/>
  <c r="BT83" i="1"/>
  <c r="BT82" i="1"/>
  <c r="BT81" i="1"/>
  <c r="BT80" i="1"/>
  <c r="BT79" i="1"/>
  <c r="BT78" i="1"/>
  <c r="BT77" i="1"/>
  <c r="BT76" i="1"/>
  <c r="BT75" i="1"/>
  <c r="BT74" i="1"/>
  <c r="BT73" i="1"/>
  <c r="BT72" i="1"/>
  <c r="BT71" i="1"/>
  <c r="BT70" i="1"/>
  <c r="BT69" i="1"/>
  <c r="BT68" i="1"/>
  <c r="BT67" i="1"/>
  <c r="BT66" i="1"/>
  <c r="BT65" i="1"/>
  <c r="BT64" i="1"/>
  <c r="BT63" i="1"/>
  <c r="BT62" i="1"/>
  <c r="BT61" i="1"/>
  <c r="BT60" i="1"/>
  <c r="BT59" i="1"/>
  <c r="BT58" i="1"/>
  <c r="BT57" i="1"/>
  <c r="BT56" i="1"/>
  <c r="BT55" i="1"/>
  <c r="BT54" i="1"/>
  <c r="BT53" i="1"/>
  <c r="BT52" i="1"/>
  <c r="BT51" i="1"/>
  <c r="BT50" i="1"/>
  <c r="BT49" i="1"/>
  <c r="BT48" i="1"/>
  <c r="BT47" i="1"/>
  <c r="BT46" i="1"/>
  <c r="BT45" i="1"/>
  <c r="BT44" i="1"/>
  <c r="BT43" i="1"/>
  <c r="BT42" i="1"/>
  <c r="BT41" i="1"/>
  <c r="BT40" i="1"/>
  <c r="BT39" i="1"/>
  <c r="BT38" i="1"/>
  <c r="BT37" i="1"/>
  <c r="BT36" i="1"/>
  <c r="BT35" i="1"/>
  <c r="BT34" i="1"/>
  <c r="BT33" i="1"/>
  <c r="BT32" i="1"/>
  <c r="BT31" i="1"/>
  <c r="BT30" i="1"/>
  <c r="BT29" i="1"/>
  <c r="BT28" i="1"/>
  <c r="BT27" i="1"/>
  <c r="BT26" i="1"/>
  <c r="BT25" i="1"/>
  <c r="BT24" i="1"/>
  <c r="BT23" i="1"/>
  <c r="BT22" i="1"/>
  <c r="BT21" i="1"/>
  <c r="BT20" i="1"/>
  <c r="BT19" i="1"/>
  <c r="BT18" i="1"/>
  <c r="BT17" i="1"/>
  <c r="BT16" i="1"/>
  <c r="BT15" i="1"/>
  <c r="BT14" i="1"/>
  <c r="BT13" i="1"/>
  <c r="BT12" i="1"/>
  <c r="BT11" i="1"/>
  <c r="BT10" i="1"/>
  <c r="BT9" i="1"/>
  <c r="BT8" i="1"/>
  <c r="BT7" i="1"/>
  <c r="BT6" i="1"/>
  <c r="BT5" i="1"/>
  <c r="BT4" i="1"/>
  <c r="BQ87" i="1"/>
  <c r="BQ86" i="1"/>
  <c r="BQ85" i="1"/>
  <c r="BQ84" i="1"/>
  <c r="BQ83" i="1"/>
  <c r="BQ82" i="1"/>
  <c r="BQ81" i="1"/>
  <c r="BQ80" i="1"/>
  <c r="BQ79" i="1"/>
  <c r="BQ78" i="1"/>
  <c r="BQ77" i="1"/>
  <c r="BQ76" i="1"/>
  <c r="BQ75" i="1"/>
  <c r="BQ74" i="1"/>
  <c r="BQ73" i="1"/>
  <c r="BQ72" i="1"/>
  <c r="BQ71" i="1"/>
  <c r="BQ70" i="1"/>
  <c r="BQ69" i="1"/>
  <c r="BQ68" i="1"/>
  <c r="BQ67" i="1"/>
  <c r="BQ66" i="1"/>
  <c r="BQ65" i="1"/>
  <c r="BQ64" i="1"/>
  <c r="BQ63" i="1"/>
  <c r="BQ62" i="1"/>
  <c r="BQ61" i="1"/>
  <c r="BQ60" i="1"/>
  <c r="BQ59" i="1"/>
  <c r="BQ58" i="1"/>
  <c r="BQ57" i="1"/>
  <c r="BQ56" i="1"/>
  <c r="BQ55" i="1"/>
  <c r="BQ54" i="1"/>
  <c r="BQ53" i="1"/>
  <c r="BQ52" i="1"/>
  <c r="BQ51" i="1"/>
  <c r="BQ50" i="1"/>
  <c r="BQ49" i="1"/>
  <c r="BQ48" i="1"/>
  <c r="BQ47" i="1"/>
  <c r="BQ46" i="1"/>
  <c r="BQ45" i="1"/>
  <c r="BQ44" i="1"/>
  <c r="BQ43" i="1"/>
  <c r="BQ42" i="1"/>
  <c r="BQ41" i="1"/>
  <c r="BQ40" i="1"/>
  <c r="BQ39" i="1"/>
  <c r="BQ38" i="1"/>
  <c r="BQ37" i="1"/>
  <c r="BQ36" i="1"/>
  <c r="BQ35" i="1"/>
  <c r="BQ34" i="1"/>
  <c r="BQ33" i="1"/>
  <c r="BQ32" i="1"/>
  <c r="BQ31" i="1"/>
  <c r="BQ30" i="1"/>
  <c r="BQ29" i="1"/>
  <c r="BQ28" i="1"/>
  <c r="BQ27" i="1"/>
  <c r="BQ26" i="1"/>
  <c r="BQ25" i="1"/>
  <c r="BQ24" i="1"/>
  <c r="BQ23" i="1"/>
  <c r="BQ22" i="1"/>
  <c r="BQ21" i="1"/>
  <c r="BQ20" i="1"/>
  <c r="BQ19" i="1"/>
  <c r="BQ18" i="1"/>
  <c r="BQ17" i="1"/>
  <c r="BQ16" i="1"/>
  <c r="BQ15" i="1"/>
  <c r="BQ14" i="1"/>
  <c r="BQ13" i="1"/>
  <c r="BQ12" i="1"/>
  <c r="BQ11" i="1"/>
  <c r="BQ10" i="1"/>
  <c r="BQ9" i="1"/>
  <c r="BQ8" i="1"/>
  <c r="BQ7" i="1"/>
  <c r="BQ6" i="1"/>
  <c r="BQ5" i="1"/>
  <c r="BQ4" i="1"/>
  <c r="BM87" i="1"/>
  <c r="BM86" i="1"/>
  <c r="BM85" i="1"/>
  <c r="BM84" i="1"/>
  <c r="BM83" i="1"/>
  <c r="BM82" i="1"/>
  <c r="BM81" i="1"/>
  <c r="BM80" i="1"/>
  <c r="BM79" i="1"/>
  <c r="BM78" i="1"/>
  <c r="BM77" i="1"/>
  <c r="BM76" i="1"/>
  <c r="BM75" i="1"/>
  <c r="BM74" i="1"/>
  <c r="BM73" i="1"/>
  <c r="BM72" i="1"/>
  <c r="BM71" i="1"/>
  <c r="BM70" i="1"/>
  <c r="BM69" i="1"/>
  <c r="BM68" i="1"/>
  <c r="BM67" i="1"/>
  <c r="BM66" i="1"/>
  <c r="BM65" i="1"/>
  <c r="BM64" i="1"/>
  <c r="BM63" i="1"/>
  <c r="BM62" i="1"/>
  <c r="BM61" i="1"/>
  <c r="BM60" i="1"/>
  <c r="BM59" i="1"/>
  <c r="BM58" i="1"/>
  <c r="BM57" i="1"/>
  <c r="BM56" i="1"/>
  <c r="BM55" i="1"/>
  <c r="BM54" i="1"/>
  <c r="BM53" i="1"/>
  <c r="BM52" i="1"/>
  <c r="BM51" i="1"/>
  <c r="BM50" i="1"/>
  <c r="BM49" i="1"/>
  <c r="BM48" i="1"/>
  <c r="BM47" i="1"/>
  <c r="BM46" i="1"/>
  <c r="BM45" i="1"/>
  <c r="BM44" i="1"/>
  <c r="BM43" i="1"/>
  <c r="BM42" i="1"/>
  <c r="BM41" i="1"/>
  <c r="BM40" i="1"/>
  <c r="BM39" i="1"/>
  <c r="BM38" i="1"/>
  <c r="BM37" i="1"/>
  <c r="BM36" i="1"/>
  <c r="BM35" i="1"/>
  <c r="BM34" i="1"/>
  <c r="BM33" i="1"/>
  <c r="BM32" i="1"/>
  <c r="BM31" i="1"/>
  <c r="BM30" i="1"/>
  <c r="BM29" i="1"/>
  <c r="BM28" i="1"/>
  <c r="BM27" i="1"/>
  <c r="BM26" i="1"/>
  <c r="BM25" i="1"/>
  <c r="BM24" i="1"/>
  <c r="BM23" i="1"/>
  <c r="BM22" i="1"/>
  <c r="BM21" i="1"/>
  <c r="BM20" i="1"/>
  <c r="BM19" i="1"/>
  <c r="BM18" i="1"/>
  <c r="BM17" i="1"/>
  <c r="BM16" i="1"/>
  <c r="BM15" i="1"/>
  <c r="BM14" i="1"/>
  <c r="BM13" i="1"/>
  <c r="BM12" i="1"/>
  <c r="BM11" i="1"/>
  <c r="BM10" i="1"/>
  <c r="BM9" i="1"/>
  <c r="BM8" i="1"/>
  <c r="BM7" i="1"/>
  <c r="BM6" i="1"/>
  <c r="BM5" i="1"/>
  <c r="BM4" i="1"/>
  <c r="BJ87" i="1"/>
  <c r="BJ86" i="1"/>
  <c r="BJ85" i="1"/>
  <c r="BJ84" i="1"/>
  <c r="BJ83" i="1"/>
  <c r="BJ82" i="1"/>
  <c r="BJ81" i="1"/>
  <c r="BJ80" i="1"/>
  <c r="BJ79" i="1"/>
  <c r="BJ78" i="1"/>
  <c r="BJ77" i="1"/>
  <c r="BJ76" i="1"/>
  <c r="BJ75" i="1"/>
  <c r="BJ74" i="1"/>
  <c r="BJ73" i="1"/>
  <c r="BJ72" i="1"/>
  <c r="BJ71" i="1"/>
  <c r="BJ70" i="1"/>
  <c r="BJ69" i="1"/>
  <c r="BJ68" i="1"/>
  <c r="BJ67" i="1"/>
  <c r="BJ66" i="1"/>
  <c r="BJ65" i="1"/>
  <c r="BJ64" i="1"/>
  <c r="BJ63" i="1"/>
  <c r="BJ62" i="1"/>
  <c r="BJ61" i="1"/>
  <c r="BJ60" i="1"/>
  <c r="BJ59" i="1"/>
  <c r="BJ58" i="1"/>
  <c r="BJ57" i="1"/>
  <c r="BJ56" i="1"/>
  <c r="BJ55" i="1"/>
  <c r="BJ54" i="1"/>
  <c r="BJ53" i="1"/>
  <c r="BJ52" i="1"/>
  <c r="BJ51" i="1"/>
  <c r="BJ50" i="1"/>
  <c r="BJ49" i="1"/>
  <c r="BJ48" i="1"/>
  <c r="BJ47" i="1"/>
  <c r="BJ46" i="1"/>
  <c r="BJ45" i="1"/>
  <c r="BJ44" i="1"/>
  <c r="BJ43" i="1"/>
  <c r="BJ42" i="1"/>
  <c r="BJ41" i="1"/>
  <c r="BJ40" i="1"/>
  <c r="BJ39" i="1"/>
  <c r="BJ38" i="1"/>
  <c r="BJ37" i="1"/>
  <c r="BJ36" i="1"/>
  <c r="BJ35" i="1"/>
  <c r="BJ34" i="1"/>
  <c r="BJ33" i="1"/>
  <c r="BJ32" i="1"/>
  <c r="BJ31" i="1"/>
  <c r="BJ30" i="1"/>
  <c r="BJ29" i="1"/>
  <c r="BJ28" i="1"/>
  <c r="BJ27" i="1"/>
  <c r="BJ26" i="1"/>
  <c r="BJ25" i="1"/>
  <c r="BJ24" i="1"/>
  <c r="BJ23" i="1"/>
  <c r="BJ22" i="1"/>
  <c r="BJ21" i="1"/>
  <c r="BJ20" i="1"/>
  <c r="BJ19" i="1"/>
  <c r="BJ18" i="1"/>
  <c r="BJ17" i="1"/>
  <c r="BJ16" i="1"/>
  <c r="BJ15" i="1"/>
  <c r="BJ14" i="1"/>
  <c r="BJ13" i="1"/>
  <c r="BJ12" i="1"/>
  <c r="BJ11" i="1"/>
  <c r="BJ10" i="1"/>
  <c r="BJ9" i="1"/>
  <c r="BJ8" i="1"/>
  <c r="BJ7" i="1"/>
  <c r="BJ6" i="1"/>
  <c r="BJ5" i="1"/>
  <c r="BJ4" i="1"/>
  <c r="BF87" i="1"/>
  <c r="BF86" i="1"/>
  <c r="BF85" i="1"/>
  <c r="BF84" i="1"/>
  <c r="BF83" i="1"/>
  <c r="BF82" i="1"/>
  <c r="BF81" i="1"/>
  <c r="BF80" i="1"/>
  <c r="BF79" i="1"/>
  <c r="BF78" i="1"/>
  <c r="BF77" i="1"/>
  <c r="BF76" i="1"/>
  <c r="BF75" i="1"/>
  <c r="BF74" i="1"/>
  <c r="BF73" i="1"/>
  <c r="BF72" i="1"/>
  <c r="BF71" i="1"/>
  <c r="BF70" i="1"/>
  <c r="BF69" i="1"/>
  <c r="BF68" i="1"/>
  <c r="BF67" i="1"/>
  <c r="BF66" i="1"/>
  <c r="BF65" i="1"/>
  <c r="BF64" i="1"/>
  <c r="BF63" i="1"/>
  <c r="BF62" i="1"/>
  <c r="BF61" i="1"/>
  <c r="BF60" i="1"/>
  <c r="BF59" i="1"/>
  <c r="BF57" i="1"/>
  <c r="BF56" i="1"/>
  <c r="BF55" i="1"/>
  <c r="BF54" i="1"/>
  <c r="BF53" i="1"/>
  <c r="BF52" i="1"/>
  <c r="BF51" i="1"/>
  <c r="BF50" i="1"/>
  <c r="BF49" i="1"/>
  <c r="BF48" i="1"/>
  <c r="BF47" i="1"/>
  <c r="BF46" i="1"/>
  <c r="BF45" i="1"/>
  <c r="BF44" i="1"/>
  <c r="BF43" i="1"/>
  <c r="BF42" i="1"/>
  <c r="BF41" i="1"/>
  <c r="BF40" i="1"/>
  <c r="BF39" i="1"/>
  <c r="BF37" i="1"/>
  <c r="BF36" i="1"/>
  <c r="BF35" i="1"/>
  <c r="BF34" i="1"/>
  <c r="BF33" i="1"/>
  <c r="BF32" i="1"/>
  <c r="BF31" i="1"/>
  <c r="BF30" i="1"/>
  <c r="BF29" i="1"/>
  <c r="BF28" i="1"/>
  <c r="BF27" i="1"/>
  <c r="BF26" i="1"/>
  <c r="BF25" i="1"/>
  <c r="BF24" i="1"/>
  <c r="BF23" i="1"/>
  <c r="BF22" i="1"/>
  <c r="BF21" i="1"/>
  <c r="BF20" i="1"/>
  <c r="BF19" i="1"/>
  <c r="BF18" i="1"/>
  <c r="BF16" i="1"/>
  <c r="BF15" i="1"/>
  <c r="BF14" i="1"/>
  <c r="BF13" i="1"/>
  <c r="BF12" i="1"/>
  <c r="BF11" i="1"/>
  <c r="BF10" i="1"/>
  <c r="BF9" i="1"/>
  <c r="BF8" i="1"/>
  <c r="BF7" i="1"/>
  <c r="BF6" i="1"/>
  <c r="BF5" i="1"/>
  <c r="BF4" i="1"/>
  <c r="BB87" i="1"/>
  <c r="BB86" i="1"/>
  <c r="BB85" i="1"/>
  <c r="BB84" i="1"/>
  <c r="BB83" i="1"/>
  <c r="BB82" i="1"/>
  <c r="BB81" i="1"/>
  <c r="BB80" i="1"/>
  <c r="BB79" i="1"/>
  <c r="BB78" i="1"/>
  <c r="BB77" i="1"/>
  <c r="BB76" i="1"/>
  <c r="BB75" i="1"/>
  <c r="BB74" i="1"/>
  <c r="BB73" i="1"/>
  <c r="BB72" i="1"/>
  <c r="BB71" i="1"/>
  <c r="BB70" i="1"/>
  <c r="BB69" i="1"/>
  <c r="BB68" i="1"/>
  <c r="BB67" i="1"/>
  <c r="BB66" i="1"/>
  <c r="BB65" i="1"/>
  <c r="BB64" i="1"/>
  <c r="BB63" i="1"/>
  <c r="BB62" i="1"/>
  <c r="BB61" i="1"/>
  <c r="BB60" i="1"/>
  <c r="BB59" i="1"/>
  <c r="BB57" i="1"/>
  <c r="BB56" i="1"/>
  <c r="BB55" i="1"/>
  <c r="BB54" i="1"/>
  <c r="BB53" i="1"/>
  <c r="BB52" i="1"/>
  <c r="BB51" i="1"/>
  <c r="BB50" i="1"/>
  <c r="BB49" i="1"/>
  <c r="BB48" i="1"/>
  <c r="BB47" i="1"/>
  <c r="BB46" i="1"/>
  <c r="BB45" i="1"/>
  <c r="BB44" i="1"/>
  <c r="BB43" i="1"/>
  <c r="BB42" i="1"/>
  <c r="BB41" i="1"/>
  <c r="BB40" i="1"/>
  <c r="BB39" i="1"/>
  <c r="BB37" i="1"/>
  <c r="BB36" i="1"/>
  <c r="BB35" i="1"/>
  <c r="BB34" i="1"/>
  <c r="BB33" i="1"/>
  <c r="BB32" i="1"/>
  <c r="BB31" i="1"/>
  <c r="BB30" i="1"/>
  <c r="BB29" i="1"/>
  <c r="BB28" i="1"/>
  <c r="BB27" i="1"/>
  <c r="BB26" i="1"/>
  <c r="BB25" i="1"/>
  <c r="BB24" i="1"/>
  <c r="BB23" i="1"/>
  <c r="BB22" i="1"/>
  <c r="BB21" i="1"/>
  <c r="BB20" i="1"/>
  <c r="BB19" i="1"/>
  <c r="BB18" i="1"/>
  <c r="BB16" i="1"/>
  <c r="BB15" i="1"/>
  <c r="BB14" i="1"/>
  <c r="BB13" i="1"/>
  <c r="BB12" i="1"/>
  <c r="BB11" i="1"/>
  <c r="BB10" i="1"/>
  <c r="BB9" i="1"/>
  <c r="BB8" i="1"/>
  <c r="BB7" i="1"/>
  <c r="BB6" i="1"/>
  <c r="BB5" i="1"/>
  <c r="BB4" i="1"/>
  <c r="AX87" i="1"/>
  <c r="AX86" i="1"/>
  <c r="AX85" i="1"/>
  <c r="AX84" i="1"/>
  <c r="AX83" i="1"/>
  <c r="AX82" i="1"/>
  <c r="AX81" i="1"/>
  <c r="AX80" i="1"/>
  <c r="AX79" i="1"/>
  <c r="AX78" i="1"/>
  <c r="AX77" i="1"/>
  <c r="AX76" i="1"/>
  <c r="AX75" i="1"/>
  <c r="AX74" i="1"/>
  <c r="AX73" i="1"/>
  <c r="AX72" i="1"/>
  <c r="AX71" i="1"/>
  <c r="AX70" i="1"/>
  <c r="AX69" i="1"/>
  <c r="AX68" i="1"/>
  <c r="AX67" i="1"/>
  <c r="AX66" i="1"/>
  <c r="AX65" i="1"/>
  <c r="AX64" i="1"/>
  <c r="AX63" i="1"/>
  <c r="AX62" i="1"/>
  <c r="AX61" i="1"/>
  <c r="AX60" i="1"/>
  <c r="AX59" i="1"/>
  <c r="AX58" i="1"/>
  <c r="AX56" i="1"/>
  <c r="AX55" i="1"/>
  <c r="AX54" i="1"/>
  <c r="AX53" i="1"/>
  <c r="AX52" i="1"/>
  <c r="AX51" i="1"/>
  <c r="AX50" i="1"/>
  <c r="AX49" i="1"/>
  <c r="AX48" i="1"/>
  <c r="AX47" i="1"/>
  <c r="AX46" i="1"/>
  <c r="AX45" i="1"/>
  <c r="AX44" i="1"/>
  <c r="AX43" i="1"/>
  <c r="AX42" i="1"/>
  <c r="AX41" i="1"/>
  <c r="AX40" i="1"/>
  <c r="AX39" i="1"/>
  <c r="AX37" i="1"/>
  <c r="AX36" i="1"/>
  <c r="AX35" i="1"/>
  <c r="AX34" i="1"/>
  <c r="AX33" i="1"/>
  <c r="AX32" i="1"/>
  <c r="AX31" i="1"/>
  <c r="AX30" i="1"/>
  <c r="AX29" i="1"/>
  <c r="AX28" i="1"/>
  <c r="AX27" i="1"/>
  <c r="AX26" i="1"/>
  <c r="AX25" i="1"/>
  <c r="AX24" i="1"/>
  <c r="AX23" i="1"/>
  <c r="AX22" i="1"/>
  <c r="AX21" i="1"/>
  <c r="AX20" i="1"/>
  <c r="AX19" i="1"/>
  <c r="AX18" i="1"/>
  <c r="AX16" i="1"/>
  <c r="AX15" i="1"/>
  <c r="AX14" i="1"/>
  <c r="AX13" i="1"/>
  <c r="AX12" i="1"/>
  <c r="AX11" i="1"/>
  <c r="AX10" i="1"/>
  <c r="AX9" i="1"/>
  <c r="AX8" i="1"/>
  <c r="AX7" i="1"/>
  <c r="AX6" i="1"/>
  <c r="AX5" i="1"/>
  <c r="AX4" i="1"/>
  <c r="AT87" i="1"/>
  <c r="AT86" i="1"/>
  <c r="AT85" i="1"/>
  <c r="AT84" i="1"/>
  <c r="AT83" i="1"/>
  <c r="AT82" i="1"/>
  <c r="AT81" i="1"/>
  <c r="AT80" i="1"/>
  <c r="AT79" i="1"/>
  <c r="AT78" i="1"/>
  <c r="AT77" i="1"/>
  <c r="AT76" i="1"/>
  <c r="AT75" i="1"/>
  <c r="AT74" i="1"/>
  <c r="AT73" i="1"/>
  <c r="AT72" i="1"/>
  <c r="AT71" i="1"/>
  <c r="AT70" i="1"/>
  <c r="AT69" i="1"/>
  <c r="AT68" i="1"/>
  <c r="AT67" i="1"/>
  <c r="AT66" i="1"/>
  <c r="AT65" i="1"/>
  <c r="AT64" i="1"/>
  <c r="AT63" i="1"/>
  <c r="AT62" i="1"/>
  <c r="AT61" i="1"/>
  <c r="AT60" i="1"/>
  <c r="AT59" i="1"/>
  <c r="AT58" i="1"/>
  <c r="AT56" i="1"/>
  <c r="AT55" i="1"/>
  <c r="AT54" i="1"/>
  <c r="AT53" i="1"/>
  <c r="AT52" i="1"/>
  <c r="AT51" i="1"/>
  <c r="AT50" i="1"/>
  <c r="AT49" i="1"/>
  <c r="AT48" i="1"/>
  <c r="AT47" i="1"/>
  <c r="AT46" i="1"/>
  <c r="AT45" i="1"/>
  <c r="AT44" i="1"/>
  <c r="AT43" i="1"/>
  <c r="AT42" i="1"/>
  <c r="AT41" i="1"/>
  <c r="AT40" i="1"/>
  <c r="AT39" i="1"/>
  <c r="AT37" i="1"/>
  <c r="AT36" i="1"/>
  <c r="AT35" i="1"/>
  <c r="AT34" i="1"/>
  <c r="AT33" i="1"/>
  <c r="AT32" i="1"/>
  <c r="AT31" i="1"/>
  <c r="AT30" i="1"/>
  <c r="AT29" i="1"/>
  <c r="AT28" i="1"/>
  <c r="AT27" i="1"/>
  <c r="AT26" i="1"/>
  <c r="AT25" i="1"/>
  <c r="AT24" i="1"/>
  <c r="AT23" i="1"/>
  <c r="AT22" i="1"/>
  <c r="AT21" i="1"/>
  <c r="AT20" i="1"/>
  <c r="AT19" i="1"/>
  <c r="AT18" i="1"/>
  <c r="AT17" i="1"/>
  <c r="AT16" i="1"/>
  <c r="AT15" i="1"/>
  <c r="AT14" i="1"/>
  <c r="AT13" i="1"/>
  <c r="AT12" i="1"/>
  <c r="AT11" i="1"/>
  <c r="AT10" i="1"/>
  <c r="AT9" i="1"/>
  <c r="AT8" i="1"/>
  <c r="AT7" i="1"/>
  <c r="AT6" i="1"/>
  <c r="AT5" i="1"/>
  <c r="AT4" i="1"/>
  <c r="AQ87" i="1"/>
  <c r="AQ86" i="1"/>
  <c r="AQ85" i="1"/>
  <c r="AQ84" i="1"/>
  <c r="AQ83" i="1"/>
  <c r="AQ82" i="1"/>
  <c r="AQ81" i="1"/>
  <c r="AQ80" i="1"/>
  <c r="AQ79" i="1"/>
  <c r="AQ78" i="1"/>
  <c r="AQ77" i="1"/>
  <c r="AQ76" i="1"/>
  <c r="AQ75" i="1"/>
  <c r="AQ74" i="1"/>
  <c r="AQ73" i="1"/>
  <c r="AQ72" i="1"/>
  <c r="AQ71" i="1"/>
  <c r="AQ70" i="1"/>
  <c r="AQ69" i="1"/>
  <c r="AQ68" i="1"/>
  <c r="AQ67" i="1"/>
  <c r="AQ66" i="1"/>
  <c r="AQ65" i="1"/>
  <c r="AQ64" i="1"/>
  <c r="AQ63" i="1"/>
  <c r="AQ62" i="1"/>
  <c r="AQ61" i="1"/>
  <c r="AQ60" i="1"/>
  <c r="AQ59" i="1"/>
  <c r="AQ58" i="1"/>
  <c r="AQ56" i="1"/>
  <c r="AQ55" i="1"/>
  <c r="AQ54" i="1"/>
  <c r="AQ53" i="1"/>
  <c r="AQ52" i="1"/>
  <c r="AQ51" i="1"/>
  <c r="AQ50" i="1"/>
  <c r="AQ49" i="1"/>
  <c r="AQ48" i="1"/>
  <c r="AQ47" i="1"/>
  <c r="AQ46" i="1"/>
  <c r="AQ45" i="1"/>
  <c r="AQ44" i="1"/>
  <c r="AQ43" i="1"/>
  <c r="AQ42" i="1"/>
  <c r="AQ41" i="1"/>
  <c r="AQ40" i="1"/>
  <c r="AQ39" i="1"/>
  <c r="AQ37" i="1"/>
  <c r="AQ36" i="1"/>
  <c r="AQ35" i="1"/>
  <c r="AQ34" i="1"/>
  <c r="AQ33" i="1"/>
  <c r="AQ32" i="1"/>
  <c r="AQ31" i="1"/>
  <c r="AQ30" i="1"/>
  <c r="AQ29" i="1"/>
  <c r="AQ28" i="1"/>
  <c r="AQ27" i="1"/>
  <c r="AQ26" i="1"/>
  <c r="AQ25" i="1"/>
  <c r="AQ24" i="1"/>
  <c r="AQ23" i="1"/>
  <c r="AQ22" i="1"/>
  <c r="AQ21" i="1"/>
  <c r="AQ20" i="1"/>
  <c r="AQ19" i="1"/>
  <c r="AQ18" i="1"/>
  <c r="AQ17" i="1"/>
  <c r="AQ16" i="1"/>
  <c r="AQ15" i="1"/>
  <c r="AQ14" i="1"/>
  <c r="AQ13" i="1"/>
  <c r="AQ12" i="1"/>
  <c r="AQ11" i="1"/>
  <c r="AQ10" i="1"/>
  <c r="AQ9" i="1"/>
  <c r="AQ8" i="1"/>
  <c r="AQ7" i="1"/>
  <c r="AQ6" i="1"/>
  <c r="AQ5" i="1"/>
  <c r="AQ4" i="1"/>
  <c r="AM87" i="1"/>
  <c r="AM86" i="1"/>
  <c r="AM85" i="1"/>
  <c r="AM84" i="1"/>
  <c r="AM83" i="1"/>
  <c r="AM82" i="1"/>
  <c r="AM81" i="1"/>
  <c r="AM80" i="1"/>
  <c r="AM79" i="1"/>
  <c r="AM78" i="1"/>
  <c r="AM77" i="1"/>
  <c r="AM76" i="1"/>
  <c r="AM75" i="1"/>
  <c r="AM74" i="1"/>
  <c r="AM73" i="1"/>
  <c r="AM72" i="1"/>
  <c r="AM71" i="1"/>
  <c r="AM70" i="1"/>
  <c r="AM69" i="1"/>
  <c r="AM68" i="1"/>
  <c r="AM67" i="1"/>
  <c r="AM66" i="1"/>
  <c r="AM65" i="1"/>
  <c r="AM64" i="1"/>
  <c r="AM63" i="1"/>
  <c r="AM62" i="1"/>
  <c r="AM61" i="1"/>
  <c r="AM60" i="1"/>
  <c r="AM59" i="1"/>
  <c r="AM58" i="1"/>
  <c r="AM56" i="1"/>
  <c r="AM55" i="1"/>
  <c r="AM54" i="1"/>
  <c r="AM53" i="1"/>
  <c r="AM52" i="1"/>
  <c r="AM51" i="1"/>
  <c r="AM50" i="1"/>
  <c r="AM49" i="1"/>
  <c r="AM48" i="1"/>
  <c r="AM47" i="1"/>
  <c r="AM46" i="1"/>
  <c r="AM45" i="1"/>
  <c r="AM44" i="1"/>
  <c r="AM43" i="1"/>
  <c r="AM42" i="1"/>
  <c r="AM41" i="1"/>
  <c r="AM40" i="1"/>
  <c r="AM39" i="1"/>
  <c r="AM38" i="1"/>
  <c r="AM37" i="1"/>
  <c r="AM36" i="1"/>
  <c r="AM35" i="1"/>
  <c r="AM34" i="1"/>
  <c r="AM33" i="1"/>
  <c r="AM32" i="1"/>
  <c r="AM31" i="1"/>
  <c r="AM30" i="1"/>
  <c r="AM29" i="1"/>
  <c r="AM28" i="1"/>
  <c r="AM27" i="1"/>
  <c r="AM26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M13" i="1"/>
  <c r="AM12" i="1"/>
  <c r="AM11" i="1"/>
  <c r="AM10" i="1"/>
  <c r="AM9" i="1"/>
  <c r="AM8" i="1"/>
  <c r="AM7" i="1"/>
  <c r="AM6" i="1"/>
  <c r="AM5" i="1"/>
  <c r="AM4" i="1"/>
  <c r="AJ87" i="1"/>
  <c r="AJ86" i="1"/>
  <c r="AJ85" i="1"/>
  <c r="AJ84" i="1"/>
  <c r="AJ83" i="1"/>
  <c r="AJ82" i="1"/>
  <c r="AJ81" i="1"/>
  <c r="AJ80" i="1"/>
  <c r="AJ79" i="1"/>
  <c r="AJ78" i="1"/>
  <c r="AJ77" i="1"/>
  <c r="AJ76" i="1"/>
  <c r="AJ75" i="1"/>
  <c r="AJ74" i="1"/>
  <c r="AJ73" i="1"/>
  <c r="AJ72" i="1"/>
  <c r="AJ71" i="1"/>
  <c r="AJ70" i="1"/>
  <c r="AJ69" i="1"/>
  <c r="AJ68" i="1"/>
  <c r="AJ67" i="1"/>
  <c r="AJ66" i="1"/>
  <c r="AJ65" i="1"/>
  <c r="AJ64" i="1"/>
  <c r="AJ63" i="1"/>
  <c r="AJ62" i="1"/>
  <c r="AJ61" i="1"/>
  <c r="AJ60" i="1"/>
  <c r="AJ59" i="1"/>
  <c r="AJ58" i="1"/>
  <c r="AJ56" i="1"/>
  <c r="AJ55" i="1"/>
  <c r="AJ54" i="1"/>
  <c r="AJ53" i="1"/>
  <c r="AJ52" i="1"/>
  <c r="AJ51" i="1"/>
  <c r="AJ50" i="1"/>
  <c r="AJ49" i="1"/>
  <c r="AJ48" i="1"/>
  <c r="AJ47" i="1"/>
  <c r="AJ46" i="1"/>
  <c r="AJ45" i="1"/>
  <c r="AJ44" i="1"/>
  <c r="AJ43" i="1"/>
  <c r="AJ42" i="1"/>
  <c r="AJ41" i="1"/>
  <c r="AJ40" i="1"/>
  <c r="AJ39" i="1"/>
  <c r="AJ38" i="1"/>
  <c r="AJ37" i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J11" i="1"/>
  <c r="AJ10" i="1"/>
  <c r="AJ9" i="1"/>
  <c r="AJ8" i="1"/>
  <c r="AJ7" i="1"/>
  <c r="AJ6" i="1"/>
  <c r="AJ5" i="1"/>
  <c r="AJ4" i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4" i="1"/>
  <c r="AC87" i="1"/>
  <c r="AC86" i="1"/>
  <c r="AC85" i="1"/>
  <c r="AC84" i="1"/>
  <c r="AC83" i="1"/>
  <c r="AC81" i="1"/>
  <c r="AC80" i="1"/>
  <c r="AC79" i="1"/>
  <c r="AC78" i="1"/>
  <c r="AC77" i="1"/>
  <c r="AC76" i="1"/>
  <c r="AC75" i="1"/>
  <c r="AC74" i="1"/>
  <c r="AC73" i="1"/>
  <c r="AC72" i="1"/>
  <c r="AC71" i="1"/>
  <c r="AC70" i="1"/>
  <c r="AC69" i="1"/>
  <c r="AC66" i="1"/>
  <c r="AC64" i="1"/>
  <c r="AC63" i="1"/>
  <c r="AC62" i="1"/>
  <c r="AC61" i="1"/>
  <c r="AC60" i="1"/>
  <c r="AC59" i="1"/>
  <c r="AC58" i="1"/>
  <c r="AC56" i="1"/>
  <c r="AC55" i="1"/>
  <c r="AC54" i="1"/>
  <c r="AC53" i="1"/>
  <c r="AC51" i="1"/>
  <c r="AC46" i="1"/>
  <c r="AC45" i="1"/>
  <c r="AC44" i="1"/>
  <c r="AC43" i="1"/>
  <c r="AC42" i="1"/>
  <c r="AC40" i="1"/>
  <c r="AC39" i="1"/>
  <c r="AC38" i="1"/>
  <c r="AC37" i="1"/>
  <c r="AC36" i="1"/>
  <c r="AC35" i="1"/>
  <c r="AC34" i="1"/>
  <c r="AC29" i="1"/>
  <c r="AC28" i="1"/>
  <c r="AC27" i="1"/>
  <c r="AC26" i="1"/>
  <c r="AC23" i="1"/>
  <c r="AC22" i="1"/>
  <c r="AC21" i="1"/>
  <c r="AC20" i="1"/>
  <c r="AC19" i="1"/>
  <c r="AC18" i="1"/>
  <c r="AC17" i="1"/>
  <c r="AC13" i="1"/>
  <c r="AC12" i="1"/>
  <c r="AC11" i="1"/>
  <c r="AC10" i="1"/>
  <c r="AC9" i="1"/>
  <c r="AC8" i="1"/>
  <c r="AC7" i="1"/>
  <c r="AC6" i="1"/>
  <c r="AC4" i="1"/>
  <c r="X87" i="1"/>
  <c r="X86" i="1"/>
  <c r="X85" i="1"/>
  <c r="X84" i="1"/>
  <c r="X83" i="1"/>
  <c r="X81" i="1"/>
  <c r="X80" i="1"/>
  <c r="X79" i="1"/>
  <c r="X78" i="1"/>
  <c r="X77" i="1"/>
  <c r="X76" i="1"/>
  <c r="X75" i="1"/>
  <c r="X74" i="1"/>
  <c r="X73" i="1"/>
  <c r="X72" i="1"/>
  <c r="X71" i="1"/>
  <c r="X70" i="1"/>
  <c r="X69" i="1"/>
  <c r="X66" i="1"/>
  <c r="X64" i="1"/>
  <c r="X63" i="1"/>
  <c r="X62" i="1"/>
  <c r="X61" i="1"/>
  <c r="X60" i="1"/>
  <c r="X59" i="1"/>
  <c r="X58" i="1"/>
  <c r="X56" i="1"/>
  <c r="X55" i="1"/>
  <c r="X54" i="1"/>
  <c r="X53" i="1"/>
  <c r="X51" i="1"/>
  <c r="X46" i="1"/>
  <c r="X45" i="1"/>
  <c r="X44" i="1"/>
  <c r="X43" i="1"/>
  <c r="X42" i="1"/>
  <c r="X40" i="1"/>
  <c r="X39" i="1"/>
  <c r="X38" i="1"/>
  <c r="X37" i="1"/>
  <c r="X36" i="1"/>
  <c r="X35" i="1"/>
  <c r="X34" i="1"/>
  <c r="X30" i="1"/>
  <c r="X29" i="1"/>
  <c r="X28" i="1"/>
  <c r="X27" i="1"/>
  <c r="X26" i="1"/>
  <c r="X23" i="1"/>
  <c r="X22" i="1"/>
  <c r="X21" i="1"/>
  <c r="X20" i="1"/>
  <c r="X19" i="1"/>
  <c r="X18" i="1"/>
  <c r="X17" i="1"/>
  <c r="X13" i="1"/>
  <c r="X12" i="1"/>
  <c r="X11" i="1"/>
  <c r="X10" i="1"/>
  <c r="X9" i="1"/>
  <c r="X8" i="1"/>
  <c r="X7" i="1"/>
  <c r="X6" i="1"/>
  <c r="X5" i="1"/>
  <c r="X4" i="1"/>
  <c r="R87" i="1"/>
  <c r="R86" i="1"/>
  <c r="R85" i="1"/>
  <c r="R84" i="1"/>
  <c r="R82" i="1"/>
  <c r="R81" i="1"/>
  <c r="R80" i="1"/>
  <c r="R79" i="1"/>
  <c r="R78" i="1"/>
  <c r="R77" i="1"/>
  <c r="R75" i="1"/>
  <c r="R72" i="1"/>
  <c r="R71" i="1"/>
  <c r="R70" i="1"/>
  <c r="R69" i="1"/>
  <c r="R68" i="1"/>
  <c r="R66" i="1"/>
  <c r="R63" i="1"/>
  <c r="R62" i="1"/>
  <c r="R61" i="1"/>
  <c r="R60" i="1"/>
  <c r="R59" i="1"/>
  <c r="R58" i="1"/>
  <c r="R55" i="1"/>
  <c r="R53" i="1"/>
  <c r="R51" i="1"/>
  <c r="R46" i="1"/>
  <c r="R45" i="1"/>
  <c r="R44" i="1"/>
  <c r="R43" i="1"/>
  <c r="R42" i="1"/>
  <c r="R41" i="1"/>
  <c r="R40" i="1"/>
  <c r="R39" i="1"/>
  <c r="R37" i="1"/>
  <c r="R36" i="1"/>
  <c r="R35" i="1"/>
  <c r="R34" i="1"/>
  <c r="R33" i="1"/>
  <c r="R32" i="1"/>
  <c r="R30" i="1"/>
  <c r="R29" i="1"/>
  <c r="R27" i="1"/>
  <c r="R26" i="1"/>
  <c r="R24" i="1"/>
  <c r="R23" i="1"/>
  <c r="R22" i="1"/>
  <c r="R20" i="1"/>
  <c r="R19" i="1"/>
  <c r="R18" i="1"/>
  <c r="R17" i="1"/>
  <c r="R13" i="1"/>
  <c r="R11" i="1"/>
  <c r="R10" i="1"/>
  <c r="R8" i="1"/>
  <c r="R7" i="1"/>
  <c r="R6" i="1"/>
  <c r="R5" i="1"/>
  <c r="L5" i="1"/>
  <c r="L6" i="1"/>
  <c r="L8" i="1"/>
  <c r="L10" i="1"/>
  <c r="L11" i="1"/>
  <c r="L13" i="1"/>
  <c r="L17" i="1"/>
  <c r="L18" i="1"/>
  <c r="L19" i="1"/>
  <c r="L20" i="1"/>
  <c r="L22" i="1"/>
  <c r="L23" i="1"/>
  <c r="L24" i="1"/>
  <c r="L25" i="1"/>
  <c r="L26" i="1"/>
  <c r="L27" i="1"/>
  <c r="L29" i="1"/>
  <c r="L30" i="1"/>
  <c r="L33" i="1"/>
  <c r="L34" i="1"/>
  <c r="L35" i="1"/>
  <c r="L36" i="1"/>
  <c r="L37" i="1"/>
  <c r="L39" i="1"/>
  <c r="L40" i="1"/>
  <c r="L41" i="1"/>
  <c r="L42" i="1"/>
  <c r="L43" i="1"/>
  <c r="L44" i="1"/>
  <c r="L45" i="1"/>
  <c r="L46" i="1"/>
  <c r="L51" i="1"/>
  <c r="L53" i="1"/>
  <c r="L54" i="1"/>
  <c r="L55" i="1"/>
  <c r="L57" i="1"/>
  <c r="L58" i="1"/>
  <c r="L59" i="1"/>
  <c r="L60" i="1"/>
  <c r="L61" i="1"/>
  <c r="L62" i="1"/>
  <c r="L63" i="1"/>
  <c r="L65" i="1"/>
  <c r="L66" i="1"/>
  <c r="L68" i="1"/>
  <c r="L69" i="1"/>
  <c r="L70" i="1"/>
  <c r="L71" i="1"/>
  <c r="L72" i="1"/>
  <c r="L74" i="1"/>
  <c r="L75" i="1"/>
  <c r="L76" i="1"/>
  <c r="L78" i="1"/>
  <c r="L79" i="1"/>
  <c r="L80" i="1"/>
  <c r="L81" i="1"/>
  <c r="L82" i="1"/>
  <c r="L84" i="1"/>
  <c r="L85" i="1"/>
  <c r="L86" i="1"/>
  <c r="L87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9" i="1"/>
  <c r="F40" i="1"/>
  <c r="F41" i="1"/>
  <c r="F42" i="1"/>
  <c r="F43" i="1"/>
  <c r="F44" i="1"/>
  <c r="F45" i="1"/>
  <c r="F46" i="1"/>
  <c r="F47" i="1"/>
  <c r="F48" i="1"/>
  <c r="F50" i="1"/>
  <c r="F51" i="1"/>
  <c r="F52" i="1"/>
  <c r="F53" i="1"/>
  <c r="F54" i="1"/>
  <c r="F55" i="1"/>
  <c r="F56" i="1"/>
  <c r="F58" i="1"/>
  <c r="F59" i="1"/>
  <c r="F60" i="1"/>
  <c r="F61" i="1"/>
  <c r="F62" i="1"/>
  <c r="F63" i="1"/>
  <c r="F64" i="1"/>
  <c r="F65" i="1"/>
  <c r="F66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4" i="1"/>
  <c r="CB86" i="1"/>
  <c r="CD86" i="1" s="1"/>
  <c r="BY86" i="1"/>
  <c r="CA86" i="1" s="1"/>
  <c r="BV86" i="1"/>
  <c r="BX86" i="1" s="1"/>
  <c r="CB85" i="1"/>
  <c r="CD85" i="1" s="1"/>
  <c r="BY85" i="1"/>
  <c r="CA85" i="1" s="1"/>
  <c r="BV85" i="1"/>
  <c r="BX85" i="1" s="1"/>
  <c r="CB81" i="1"/>
  <c r="CD81" i="1" s="1"/>
  <c r="BY81" i="1"/>
  <c r="CA81" i="1" s="1"/>
  <c r="BV81" i="1"/>
  <c r="BX81" i="1" s="1"/>
  <c r="CB80" i="1"/>
  <c r="CD80" i="1" s="1"/>
  <c r="BY80" i="1"/>
  <c r="CA80" i="1" s="1"/>
  <c r="BV80" i="1"/>
  <c r="BX80" i="1" s="1"/>
  <c r="CB79" i="1"/>
  <c r="CD79" i="1" s="1"/>
  <c r="BY79" i="1"/>
  <c r="CA79" i="1" s="1"/>
  <c r="BV79" i="1"/>
  <c r="BX79" i="1" s="1"/>
  <c r="CB78" i="1"/>
  <c r="CD78" i="1" s="1"/>
  <c r="BV78" i="1"/>
  <c r="BX78" i="1" s="1"/>
  <c r="CB73" i="1"/>
  <c r="CD73" i="1" s="1"/>
  <c r="BY73" i="1"/>
  <c r="CA73" i="1" s="1"/>
  <c r="BX73" i="1"/>
  <c r="CB67" i="1"/>
  <c r="CD67" i="1" s="1"/>
  <c r="BY67" i="1"/>
  <c r="CA67" i="1" s="1"/>
  <c r="BV67" i="1"/>
  <c r="BX67" i="1" s="1"/>
  <c r="CB66" i="1"/>
  <c r="CD66" i="1" s="1"/>
  <c r="BY66" i="1"/>
  <c r="CA66" i="1" s="1"/>
  <c r="BV66" i="1"/>
  <c r="BX66" i="1" s="1"/>
  <c r="CB62" i="1"/>
  <c r="CD62" i="1" s="1"/>
  <c r="BY62" i="1"/>
  <c r="CA62" i="1" s="1"/>
  <c r="BV62" i="1"/>
  <c r="BX62" i="1" s="1"/>
  <c r="CB61" i="1"/>
  <c r="CD61" i="1" s="1"/>
  <c r="BY61" i="1"/>
  <c r="CA61" i="1" s="1"/>
  <c r="BV61" i="1"/>
  <c r="BX61" i="1" s="1"/>
  <c r="CB59" i="1"/>
  <c r="CD59" i="1" s="1"/>
  <c r="BY59" i="1"/>
  <c r="CA59" i="1" s="1"/>
  <c r="BV59" i="1"/>
  <c r="BX59" i="1" s="1"/>
  <c r="CB58" i="1"/>
  <c r="CD58" i="1" s="1"/>
  <c r="BY58" i="1"/>
  <c r="CA58" i="1" s="1"/>
  <c r="BV58" i="1"/>
  <c r="BX58" i="1" s="1"/>
  <c r="CB53" i="1"/>
  <c r="CD53" i="1" s="1"/>
  <c r="BY53" i="1"/>
  <c r="CA53" i="1" s="1"/>
  <c r="BV53" i="1"/>
  <c r="BX53" i="1" s="1"/>
  <c r="CB52" i="1"/>
  <c r="CD52" i="1" s="1"/>
  <c r="CA52" i="1"/>
  <c r="BV52" i="1"/>
  <c r="BX52" i="1" s="1"/>
  <c r="CB51" i="1"/>
  <c r="CD51" i="1" s="1"/>
  <c r="BY51" i="1"/>
  <c r="CA51" i="1" s="1"/>
  <c r="BV51" i="1"/>
  <c r="BX51" i="1" s="1"/>
  <c r="CB46" i="1"/>
  <c r="CD46" i="1" s="1"/>
  <c r="BY46" i="1"/>
  <c r="CA46" i="1" s="1"/>
  <c r="BV46" i="1"/>
  <c r="BX46" i="1" s="1"/>
  <c r="CB45" i="1"/>
  <c r="CD45" i="1" s="1"/>
  <c r="BY45" i="1"/>
  <c r="CA45" i="1" s="1"/>
  <c r="BV45" i="1"/>
  <c r="BX45" i="1" s="1"/>
  <c r="CB42" i="1"/>
  <c r="CD42" i="1" s="1"/>
  <c r="BY42" i="1"/>
  <c r="CA42" i="1" s="1"/>
  <c r="BV42" i="1"/>
  <c r="BX42" i="1" s="1"/>
  <c r="CB41" i="1"/>
  <c r="CD41" i="1" s="1"/>
  <c r="BY41" i="1"/>
  <c r="CA41" i="1" s="1"/>
  <c r="BV41" i="1"/>
  <c r="BX41" i="1" s="1"/>
  <c r="CB40" i="1"/>
  <c r="CD40" i="1" s="1"/>
  <c r="BY40" i="1"/>
  <c r="CA40" i="1" s="1"/>
  <c r="BV40" i="1"/>
  <c r="BX40" i="1" s="1"/>
  <c r="CB39" i="1"/>
  <c r="CD39" i="1" s="1"/>
  <c r="BY39" i="1"/>
  <c r="CA39" i="1" s="1"/>
  <c r="BV39" i="1"/>
  <c r="BX39" i="1" s="1"/>
  <c r="CB38" i="1"/>
  <c r="CD38" i="1" s="1"/>
  <c r="BY38" i="1"/>
  <c r="CA38" i="1" s="1"/>
  <c r="BV38" i="1"/>
  <c r="BX38" i="1" s="1"/>
  <c r="CB37" i="1"/>
  <c r="CD37" i="1" s="1"/>
  <c r="BY37" i="1"/>
  <c r="CA37" i="1" s="1"/>
  <c r="BV37" i="1"/>
  <c r="BX37" i="1" s="1"/>
  <c r="CB36" i="1"/>
  <c r="CD36" i="1" s="1"/>
  <c r="BY36" i="1"/>
  <c r="CA36" i="1" s="1"/>
  <c r="BV36" i="1"/>
  <c r="BX36" i="1" s="1"/>
  <c r="CB35" i="1"/>
  <c r="CD35" i="1" s="1"/>
  <c r="BY35" i="1"/>
  <c r="CA35" i="1" s="1"/>
  <c r="BV35" i="1"/>
  <c r="BX35" i="1" s="1"/>
  <c r="CB34" i="1"/>
  <c r="CD34" i="1" s="1"/>
  <c r="BY34" i="1"/>
  <c r="CA34" i="1" s="1"/>
  <c r="BV34" i="1"/>
  <c r="BX34" i="1" s="1"/>
  <c r="CB29" i="1"/>
  <c r="CD29" i="1" s="1"/>
  <c r="BY29" i="1"/>
  <c r="CA29" i="1" s="1"/>
  <c r="BV29" i="1"/>
  <c r="BX29" i="1" s="1"/>
  <c r="CB27" i="1"/>
  <c r="CD27" i="1" s="1"/>
  <c r="BY27" i="1"/>
  <c r="CA27" i="1" s="1"/>
  <c r="BV27" i="1"/>
  <c r="BX27" i="1" s="1"/>
  <c r="CB26" i="1"/>
  <c r="CD26" i="1" s="1"/>
  <c r="BY26" i="1"/>
  <c r="CA26" i="1" s="1"/>
  <c r="BV26" i="1"/>
  <c r="BX26" i="1" s="1"/>
  <c r="CB24" i="1"/>
  <c r="CD24" i="1" s="1"/>
  <c r="BY24" i="1"/>
  <c r="CA24" i="1" s="1"/>
  <c r="BV24" i="1"/>
  <c r="BX24" i="1" s="1"/>
  <c r="BV23" i="1"/>
  <c r="BX23" i="1" s="1"/>
  <c r="CB20" i="1"/>
  <c r="CD20" i="1" s="1"/>
  <c r="BV20" i="1"/>
  <c r="BX20" i="1" s="1"/>
  <c r="BV11" i="1"/>
  <c r="BX11" i="1" s="1"/>
  <c r="CB13" i="1"/>
  <c r="CD13" i="1" s="1"/>
  <c r="BY13" i="1"/>
  <c r="CA13" i="1" s="1"/>
  <c r="BV13" i="1"/>
  <c r="BX13" i="1" s="1"/>
  <c r="CB11" i="1"/>
  <c r="CD11" i="1" s="1"/>
  <c r="BY11" i="1"/>
  <c r="CA11" i="1" s="1"/>
  <c r="AB82" i="1"/>
  <c r="AC82" i="1" s="1"/>
  <c r="W82" i="1"/>
  <c r="X82" i="1" s="1"/>
  <c r="AB68" i="1"/>
  <c r="AC68" i="1" s="1"/>
  <c r="AB67" i="1"/>
  <c r="W68" i="1"/>
  <c r="X68" i="1" s="1"/>
  <c r="W67" i="1"/>
  <c r="AB65" i="1"/>
  <c r="AC65" i="1" s="1"/>
  <c r="W65" i="1"/>
  <c r="X65" i="1" s="1"/>
  <c r="AB57" i="1"/>
  <c r="W57" i="1"/>
  <c r="AB52" i="1"/>
  <c r="AC52" i="1" s="1"/>
  <c r="W52" i="1"/>
  <c r="X52" i="1" s="1"/>
  <c r="AB50" i="1"/>
  <c r="AC50" i="1" s="1"/>
  <c r="AB49" i="1"/>
  <c r="AC49" i="1" s="1"/>
  <c r="AB48" i="1"/>
  <c r="AC48" i="1" s="1"/>
  <c r="W50" i="1"/>
  <c r="W49" i="1"/>
  <c r="X49" i="1" s="1"/>
  <c r="W48" i="1"/>
  <c r="X48" i="1" s="1"/>
  <c r="AB47" i="1"/>
  <c r="AC47" i="1" s="1"/>
  <c r="W47" i="1"/>
  <c r="X47" i="1" s="1"/>
  <c r="AB41" i="1"/>
  <c r="AC41" i="1" s="1"/>
  <c r="W41" i="1"/>
  <c r="X41" i="1" s="1"/>
  <c r="AB33" i="1"/>
  <c r="AC33" i="1" s="1"/>
  <c r="AB32" i="1"/>
  <c r="AC32" i="1" s="1"/>
  <c r="AB31" i="1"/>
  <c r="AC31" i="1" s="1"/>
  <c r="AB30" i="1"/>
  <c r="AC30" i="1" s="1"/>
  <c r="W33" i="1"/>
  <c r="X33" i="1" s="1"/>
  <c r="W32" i="1"/>
  <c r="X32" i="1" s="1"/>
  <c r="W31" i="1"/>
  <c r="X31" i="1" s="1"/>
  <c r="AB25" i="1"/>
  <c r="AC25" i="1" s="1"/>
  <c r="AB24" i="1"/>
  <c r="AC24" i="1" s="1"/>
  <c r="W25" i="1"/>
  <c r="X25" i="1" s="1"/>
  <c r="W24" i="1"/>
  <c r="X24" i="1" s="1"/>
  <c r="AB16" i="1"/>
  <c r="AC16" i="1" s="1"/>
  <c r="AB15" i="1"/>
  <c r="AC15" i="1" s="1"/>
  <c r="AB14" i="1"/>
  <c r="AC14" i="1" s="1"/>
  <c r="W16" i="1"/>
  <c r="X16" i="1" s="1"/>
  <c r="W15" i="1"/>
  <c r="X15" i="1" s="1"/>
  <c r="W14" i="1"/>
  <c r="X14" i="1" s="1"/>
  <c r="AB5" i="1"/>
  <c r="AC5" i="1" s="1"/>
  <c r="Q4" i="1"/>
  <c r="R4" i="1" s="1"/>
  <c r="Q9" i="1"/>
  <c r="R9" i="1" s="1"/>
  <c r="Q12" i="1"/>
  <c r="R12" i="1" s="1"/>
  <c r="Q14" i="1"/>
  <c r="R14" i="1" s="1"/>
  <c r="Q15" i="1"/>
  <c r="R15" i="1" s="1"/>
  <c r="Q16" i="1"/>
  <c r="R16" i="1" s="1"/>
  <c r="Q21" i="1"/>
  <c r="R21" i="1" s="1"/>
  <c r="Q25" i="1"/>
  <c r="R25" i="1" s="1"/>
  <c r="Q28" i="1"/>
  <c r="R28" i="1" s="1"/>
  <c r="Q31" i="1"/>
  <c r="R31" i="1" s="1"/>
  <c r="Q38" i="1"/>
  <c r="Q48" i="1"/>
  <c r="R48" i="1" s="1"/>
  <c r="Q47" i="1"/>
  <c r="R47" i="1" s="1"/>
  <c r="Q50" i="1"/>
  <c r="R50" i="1" s="1"/>
  <c r="Q49" i="1"/>
  <c r="Q52" i="1"/>
  <c r="R52" i="1" s="1"/>
  <c r="Q54" i="1"/>
  <c r="R54" i="1" s="1"/>
  <c r="Q56" i="1"/>
  <c r="R56" i="1" s="1"/>
  <c r="Q57" i="1"/>
  <c r="Q64" i="1"/>
  <c r="R64" i="1" s="1"/>
  <c r="Q65" i="1"/>
  <c r="R65" i="1" s="1"/>
  <c r="Q67" i="1"/>
  <c r="Q73" i="1"/>
  <c r="R73" i="1" s="1"/>
  <c r="Q74" i="1"/>
  <c r="R74" i="1" s="1"/>
  <c r="Q76" i="1"/>
  <c r="R76" i="1" s="1"/>
  <c r="Q83" i="1"/>
  <c r="R83" i="1" s="1"/>
  <c r="K83" i="1"/>
  <c r="L83" i="1" s="1"/>
  <c r="K77" i="1"/>
  <c r="L77" i="1" s="1"/>
  <c r="K73" i="1"/>
  <c r="L73" i="1" s="1"/>
  <c r="K67" i="1"/>
  <c r="K64" i="1"/>
  <c r="L64" i="1" s="1"/>
  <c r="K56" i="1"/>
  <c r="L56" i="1" s="1"/>
  <c r="K52" i="1"/>
  <c r="L52" i="1" s="1"/>
  <c r="K50" i="1"/>
  <c r="L50" i="1" s="1"/>
  <c r="K49" i="1"/>
  <c r="K48" i="1"/>
  <c r="L48" i="1" s="1"/>
  <c r="K47" i="1"/>
  <c r="L47" i="1" s="1"/>
  <c r="K38" i="1"/>
  <c r="K32" i="1"/>
  <c r="L32" i="1" s="1"/>
  <c r="K31" i="1"/>
  <c r="L31" i="1" s="1"/>
  <c r="K28" i="1"/>
  <c r="L28" i="1" s="1"/>
  <c r="K21" i="1"/>
  <c r="L21" i="1" s="1"/>
  <c r="K16" i="1"/>
  <c r="L16" i="1" s="1"/>
  <c r="K15" i="1"/>
  <c r="L15" i="1" s="1"/>
  <c r="K14" i="1"/>
  <c r="L14" i="1" s="1"/>
  <c r="K12" i="1"/>
  <c r="L12" i="1" s="1"/>
  <c r="K9" i="1"/>
  <c r="L9" i="1" s="1"/>
  <c r="K7" i="1"/>
  <c r="L7" i="1" s="1"/>
  <c r="K4" i="1"/>
  <c r="L4" i="1" s="1"/>
  <c r="AB27" i="9"/>
  <c r="AB36" i="9"/>
  <c r="AC36" i="9" s="1"/>
  <c r="AB34" i="9"/>
  <c r="AC34" i="9" s="1"/>
  <c r="AB31" i="9"/>
  <c r="AC31" i="9" s="1"/>
  <c r="AB28" i="9"/>
  <c r="AC28" i="9" s="1"/>
  <c r="AB20" i="9"/>
  <c r="AC20" i="9" s="1"/>
  <c r="AB19" i="9"/>
  <c r="AC19" i="9" s="1"/>
  <c r="AB11" i="9"/>
  <c r="AC11" i="9" s="1"/>
  <c r="AB10" i="9"/>
  <c r="AC10" i="9" s="1"/>
  <c r="AB8" i="9"/>
  <c r="AC8" i="9" s="1"/>
  <c r="V20" i="9"/>
  <c r="W20" i="9" s="1"/>
  <c r="V11" i="9"/>
  <c r="W11" i="9" s="1"/>
  <c r="V10" i="9"/>
  <c r="W10" i="9" s="1"/>
  <c r="V8" i="9"/>
  <c r="W8" i="9" s="1"/>
  <c r="V36" i="9"/>
  <c r="W36" i="9" s="1"/>
  <c r="V34" i="9"/>
  <c r="W34" i="9" s="1"/>
  <c r="V31" i="9"/>
  <c r="W31" i="9" s="1"/>
  <c r="V28" i="9"/>
  <c r="W28" i="9" s="1"/>
  <c r="V19" i="9"/>
  <c r="W19" i="9" s="1"/>
  <c r="P30" i="9"/>
  <c r="Q30" i="9" s="1"/>
  <c r="P27" i="9"/>
  <c r="P24" i="9"/>
  <c r="Q24" i="9" s="1"/>
  <c r="P20" i="9"/>
  <c r="Q20" i="9" s="1"/>
  <c r="P15" i="9"/>
  <c r="Q15" i="9" s="1"/>
  <c r="P13" i="9"/>
  <c r="Q13" i="9" s="1"/>
  <c r="P36" i="9"/>
  <c r="Q36" i="9" s="1"/>
  <c r="P35" i="9"/>
  <c r="Q35" i="9" s="1"/>
  <c r="P34" i="9"/>
  <c r="Q34" i="9" s="1"/>
  <c r="P31" i="9"/>
  <c r="Q31" i="9" s="1"/>
  <c r="P28" i="9"/>
  <c r="Q28" i="9" s="1"/>
  <c r="P21" i="9"/>
  <c r="Q21" i="9" s="1"/>
  <c r="P19" i="9"/>
  <c r="Q19" i="9" s="1"/>
  <c r="P12" i="9"/>
  <c r="Q12" i="9" s="1"/>
  <c r="P9" i="9"/>
  <c r="Q9" i="9" s="1"/>
  <c r="P8" i="9"/>
  <c r="Q8" i="9" s="1"/>
  <c r="P7" i="9"/>
  <c r="Q7" i="9" s="1"/>
  <c r="P6" i="9"/>
  <c r="Q6" i="9" s="1"/>
  <c r="K12" i="9"/>
  <c r="L12" i="9" s="1"/>
  <c r="K19" i="9"/>
  <c r="L19" i="9" s="1"/>
  <c r="K21" i="9"/>
  <c r="L21" i="9" s="1"/>
  <c r="K28" i="9"/>
  <c r="L28" i="9" s="1"/>
  <c r="K29" i="9"/>
  <c r="L29" i="9" s="1"/>
  <c r="K31" i="9"/>
  <c r="L31" i="9" s="1"/>
  <c r="K34" i="9"/>
  <c r="L34" i="9" s="1"/>
  <c r="K35" i="9"/>
  <c r="L35" i="9" s="1"/>
  <c r="K36" i="9"/>
  <c r="L36" i="9" s="1"/>
  <c r="K6" i="9"/>
  <c r="L6" i="9" s="1"/>
  <c r="K7" i="9"/>
  <c r="L7" i="9" s="1"/>
  <c r="K8" i="9"/>
  <c r="L8" i="9" s="1"/>
  <c r="K9" i="9"/>
  <c r="L9" i="9" s="1"/>
  <c r="X50" i="1" l="1"/>
  <c r="L49" i="1"/>
  <c r="R49" i="1"/>
  <c r="F123" i="9"/>
  <c r="F122" i="9"/>
  <c r="F121" i="9"/>
  <c r="F120" i="9"/>
  <c r="D119" i="9"/>
  <c r="F119" i="9" s="1"/>
  <c r="D118" i="9"/>
  <c r="F118" i="9" s="1"/>
  <c r="F117" i="9" s="1"/>
  <c r="F116" i="9"/>
  <c r="D115" i="9"/>
  <c r="D114" i="9"/>
  <c r="D113" i="9"/>
  <c r="D112" i="9"/>
  <c r="F110" i="9"/>
  <c r="F108" i="9"/>
  <c r="F107" i="9"/>
  <c r="F105" i="9"/>
  <c r="F104" i="9"/>
  <c r="F103" i="9"/>
  <c r="D36" i="9" s="1"/>
  <c r="F36" i="9" s="1"/>
  <c r="F102" i="9"/>
  <c r="F101" i="9"/>
  <c r="F100" i="9"/>
  <c r="F98" i="9"/>
  <c r="F97" i="9"/>
  <c r="F95" i="9"/>
  <c r="F93" i="9"/>
  <c r="D92" i="9"/>
  <c r="F92" i="9" s="1"/>
  <c r="F91" i="9" s="1"/>
  <c r="F89" i="9"/>
  <c r="F88" i="9"/>
  <c r="F86" i="9"/>
  <c r="F79" i="9"/>
  <c r="F78" i="9"/>
  <c r="D73" i="9"/>
  <c r="F65" i="9"/>
  <c r="D63" i="9"/>
  <c r="D62" i="9"/>
  <c r="D52" i="9"/>
  <c r="D54" i="9" s="1"/>
  <c r="F51" i="9"/>
  <c r="F50" i="9"/>
  <c r="D49" i="9"/>
  <c r="D48" i="9"/>
  <c r="D44" i="9"/>
  <c r="F187" i="7"/>
  <c r="F186" i="7"/>
  <c r="F185" i="7"/>
  <c r="F184" i="7"/>
  <c r="D183" i="7"/>
  <c r="F183" i="7" s="1"/>
  <c r="D182" i="7"/>
  <c r="F182" i="7" s="1"/>
  <c r="F181" i="7" s="1"/>
  <c r="F180" i="7"/>
  <c r="D179" i="7"/>
  <c r="D178" i="7"/>
  <c r="D177" i="7"/>
  <c r="D176" i="7"/>
  <c r="F174" i="7"/>
  <c r="F172" i="7"/>
  <c r="F171" i="7"/>
  <c r="F169" i="7"/>
  <c r="F168" i="7"/>
  <c r="F167" i="7"/>
  <c r="F166" i="7"/>
  <c r="F165" i="7"/>
  <c r="F164" i="7"/>
  <c r="F162" i="7"/>
  <c r="F161" i="7"/>
  <c r="F159" i="7"/>
  <c r="F157" i="7"/>
  <c r="F158" i="7" s="1"/>
  <c r="D156" i="7"/>
  <c r="F156" i="7" s="1"/>
  <c r="F155" i="7" s="1"/>
  <c r="F153" i="7"/>
  <c r="F152" i="7"/>
  <c r="F150" i="7"/>
  <c r="F143" i="7"/>
  <c r="F142" i="7"/>
  <c r="D137" i="7"/>
  <c r="F130" i="7"/>
  <c r="D128" i="7"/>
  <c r="D127" i="7"/>
  <c r="D117" i="7"/>
  <c r="D119" i="7" s="1"/>
  <c r="F116" i="7"/>
  <c r="F115" i="7"/>
  <c r="J115" i="7" s="1"/>
  <c r="D114" i="7"/>
  <c r="D113" i="7"/>
  <c r="D109" i="7"/>
  <c r="F123" i="2"/>
  <c r="F122" i="2"/>
  <c r="F121" i="2"/>
  <c r="F120" i="2"/>
  <c r="D119" i="2"/>
  <c r="F119" i="2" s="1"/>
  <c r="D118" i="2"/>
  <c r="F118" i="2" s="1"/>
  <c r="F117" i="2" s="1"/>
  <c r="F116" i="2"/>
  <c r="D115" i="2"/>
  <c r="D114" i="2"/>
  <c r="D113" i="2"/>
  <c r="D112" i="2"/>
  <c r="F110" i="2"/>
  <c r="F108" i="2"/>
  <c r="F107" i="2"/>
  <c r="F105" i="2"/>
  <c r="F104" i="2"/>
  <c r="F103" i="2"/>
  <c r="F102" i="2"/>
  <c r="F101" i="2"/>
  <c r="F100" i="2"/>
  <c r="F98" i="2"/>
  <c r="F97" i="2"/>
  <c r="F95" i="2"/>
  <c r="F93" i="2"/>
  <c r="F94" i="2" s="1"/>
  <c r="D92" i="2"/>
  <c r="F92" i="2" s="1"/>
  <c r="F91" i="2" s="1"/>
  <c r="F89" i="2"/>
  <c r="F88" i="2"/>
  <c r="F86" i="2"/>
  <c r="F79" i="2"/>
  <c r="F78" i="2"/>
  <c r="D73" i="2"/>
  <c r="F66" i="2"/>
  <c r="D64" i="2"/>
  <c r="D63" i="2"/>
  <c r="D53" i="2"/>
  <c r="F53" i="2" s="1"/>
  <c r="F54" i="2" s="1"/>
  <c r="H54" i="2" s="1"/>
  <c r="F52" i="2"/>
  <c r="F51" i="2"/>
  <c r="J51" i="2" s="1"/>
  <c r="D50" i="2"/>
  <c r="D49" i="2"/>
  <c r="D45" i="2"/>
  <c r="F175" i="1"/>
  <c r="F174" i="1"/>
  <c r="F173" i="1"/>
  <c r="F172" i="1"/>
  <c r="D171" i="1"/>
  <c r="F171" i="1" s="1"/>
  <c r="D170" i="1"/>
  <c r="F170" i="1" s="1"/>
  <c r="F169" i="1" s="1"/>
  <c r="F168" i="1"/>
  <c r="D167" i="1"/>
  <c r="D166" i="1"/>
  <c r="D165" i="1"/>
  <c r="D164" i="1"/>
  <c r="F162" i="1"/>
  <c r="F160" i="1"/>
  <c r="F159" i="1"/>
  <c r="F157" i="1"/>
  <c r="F156" i="1"/>
  <c r="F155" i="1"/>
  <c r="F154" i="1"/>
  <c r="F153" i="1"/>
  <c r="F152" i="1"/>
  <c r="F150" i="1"/>
  <c r="D148" i="1" s="1"/>
  <c r="F147" i="1"/>
  <c r="F145" i="1"/>
  <c r="F143" i="1"/>
  <c r="F144" i="1" s="1"/>
  <c r="D142" i="1"/>
  <c r="F142" i="1" s="1"/>
  <c r="F141" i="1" s="1"/>
  <c r="F139" i="1"/>
  <c r="F138" i="1"/>
  <c r="F136" i="1"/>
  <c r="F129" i="1"/>
  <c r="F128" i="1"/>
  <c r="D123" i="1"/>
  <c r="F116" i="1"/>
  <c r="D114" i="1"/>
  <c r="D113" i="1"/>
  <c r="D103" i="1"/>
  <c r="F103" i="1" s="1"/>
  <c r="F104" i="1" s="1"/>
  <c r="H104" i="1" s="1"/>
  <c r="F102" i="1"/>
  <c r="F101" i="1"/>
  <c r="J101" i="1" s="1"/>
  <c r="D100" i="1"/>
  <c r="D99" i="1"/>
  <c r="D95" i="1"/>
  <c r="AK57" i="1" l="1"/>
  <c r="AM57" i="1" s="1"/>
  <c r="AR57" i="1"/>
  <c r="AT57" i="1" s="1"/>
  <c r="Y57" i="1"/>
  <c r="AC57" i="1" s="1"/>
  <c r="AZ58" i="1"/>
  <c r="BB58" i="1" s="1"/>
  <c r="N57" i="1"/>
  <c r="R57" i="1" s="1"/>
  <c r="AV57" i="1"/>
  <c r="AX57" i="1" s="1"/>
  <c r="D57" i="1"/>
  <c r="F57" i="1" s="1"/>
  <c r="BD58" i="1"/>
  <c r="BF58" i="1" s="1"/>
  <c r="AO57" i="1"/>
  <c r="AQ57" i="1" s="1"/>
  <c r="T57" i="1"/>
  <c r="X57" i="1" s="1"/>
  <c r="AH57" i="1"/>
  <c r="AJ57" i="1" s="1"/>
  <c r="AE57" i="1"/>
  <c r="AG57" i="1" s="1"/>
  <c r="H67" i="1"/>
  <c r="L67" i="1" s="1"/>
  <c r="D67" i="1"/>
  <c r="F67" i="1" s="1"/>
  <c r="N67" i="1"/>
  <c r="R67" i="1" s="1"/>
  <c r="Y67" i="1"/>
  <c r="AC67" i="1" s="1"/>
  <c r="T67" i="1"/>
  <c r="X67" i="1" s="1"/>
  <c r="F94" i="9"/>
  <c r="AV27" i="9"/>
  <c r="AX27" i="9" s="1"/>
  <c r="AO27" i="9"/>
  <c r="AQ27" i="9" s="1"/>
  <c r="Y27" i="9"/>
  <c r="AC27" i="9" s="1"/>
  <c r="AK27" i="9"/>
  <c r="AM27" i="9" s="1"/>
  <c r="AE27" i="9"/>
  <c r="AG27" i="9" s="1"/>
  <c r="AH27" i="9"/>
  <c r="AJ27" i="9" s="1"/>
  <c r="AV38" i="1"/>
  <c r="AX38" i="1" s="1"/>
  <c r="N38" i="1"/>
  <c r="R38" i="1" s="1"/>
  <c r="AR38" i="1"/>
  <c r="AT38" i="1" s="1"/>
  <c r="AO38" i="1"/>
  <c r="AQ38" i="1" s="1"/>
  <c r="H38" i="1"/>
  <c r="L38" i="1" s="1"/>
  <c r="D38" i="1"/>
  <c r="F38" i="1" s="1"/>
  <c r="BD38" i="1"/>
  <c r="BF38" i="1" s="1"/>
  <c r="AZ38" i="1"/>
  <c r="BB38" i="1" s="1"/>
  <c r="AZ17" i="1"/>
  <c r="BB17" i="1" s="1"/>
  <c r="BD17" i="1"/>
  <c r="BF17" i="1" s="1"/>
  <c r="AV17" i="1"/>
  <c r="AX17" i="1" s="1"/>
  <c r="H115" i="7"/>
  <c r="F117" i="7"/>
  <c r="F118" i="7" s="1"/>
  <c r="H118" i="7" s="1"/>
  <c r="H50" i="9"/>
  <c r="J50" i="9"/>
  <c r="F52" i="9"/>
  <c r="F53" i="9" s="1"/>
  <c r="H53" i="9" s="1"/>
  <c r="D55" i="2"/>
  <c r="H51" i="2"/>
  <c r="D105" i="1"/>
  <c r="H101" i="1"/>
  <c r="S27" i="9" l="1"/>
  <c r="W27" i="9" s="1"/>
  <c r="BC27" i="9"/>
  <c r="BE27" i="9" s="1"/>
  <c r="M27" i="9"/>
  <c r="Q27" i="9" s="1"/>
  <c r="AZ27" i="9"/>
  <c r="BB27" i="9" s="1"/>
</calcChain>
</file>

<file path=xl/comments1.xml><?xml version="1.0" encoding="utf-8"?>
<comments xmlns="http://schemas.openxmlformats.org/spreadsheetml/2006/main">
  <authors>
    <author>Rai Ghulam Mustafa</author>
  </authors>
  <commentList>
    <comment ref="AW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separate units and then converted.</t>
        </r>
      </text>
    </comment>
    <comment ref="AX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separate units and then converted.</t>
        </r>
      </text>
    </comment>
    <comment ref="AY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separate units and then converted.</t>
        </r>
      </text>
    </comment>
    <comment ref="AZ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separate units and then converted.</t>
        </r>
      </text>
    </comment>
    <comment ref="BA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separate units and then converted.</t>
        </r>
      </text>
    </comment>
    <comment ref="CA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as Thread in the reports.</t>
        </r>
      </text>
    </comment>
    <comment ref="CB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as Thread and twist in the reports.</t>
        </r>
      </text>
    </comment>
    <comment ref="CC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as Twist in the reports.</t>
        </r>
      </text>
    </comment>
  </commentList>
</comments>
</file>

<file path=xl/comments2.xml><?xml version="1.0" encoding="utf-8"?>
<comments xmlns="http://schemas.openxmlformats.org/spreadsheetml/2006/main">
  <authors>
    <author>Rai Ghulam Mustafa</author>
  </authors>
  <commentList>
    <comment ref="V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as Manchester, goods in the reports.</t>
        </r>
      </text>
    </comment>
    <comment ref="W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as Manchester, goods in the reports.</t>
        </r>
      </text>
    </comment>
  </commentList>
</comments>
</file>

<file path=xl/comments3.xml><?xml version="1.0" encoding="utf-8"?>
<comments xmlns="http://schemas.openxmlformats.org/spreadsheetml/2006/main">
  <authors>
    <author>Rai Ghulam Mustafa</author>
    <author>Author</author>
  </authors>
  <commentList>
    <comment ref="BB58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Adjusted by adding a suspectedly 0.</t>
        </r>
      </text>
    </comment>
    <comment ref="AQ81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Corrected by adding a suspectedly missing 0.</t>
        </r>
      </text>
    </comment>
    <comment ref="D176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Sourced from 1912-13 where both units and equivalent cwts. are listed.</t>
        </r>
      </text>
    </comment>
    <comment ref="D177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Sourced from 1912-13 where both units and equivalent cwts. are listed.</t>
        </r>
      </text>
    </comment>
    <comment ref="D178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Sourced from 1912-13 where both units and equivalent cwts. are listed.</t>
        </r>
      </text>
    </comment>
    <comment ref="D179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Sourced from 1912-13 where both units and equivalent cwts. are listed.</t>
        </r>
      </text>
    </comment>
  </commentList>
</comments>
</file>

<file path=xl/comments4.xml><?xml version="1.0" encoding="utf-8"?>
<comments xmlns="http://schemas.openxmlformats.org/spreadsheetml/2006/main">
  <authors>
    <author>Rai Ghulam Mustafa</author>
    <author>Author</author>
  </authors>
  <commentList>
    <comment ref="S25" authorId="0" shapeId="0">
      <text>
        <r>
          <rPr>
            <b/>
            <sz val="9"/>
            <color indexed="81"/>
            <rFont val="Tahoma"/>
            <family val="2"/>
          </rPr>
          <t xml:space="preserve">Rai Ghulam Mustafa:
</t>
        </r>
        <r>
          <rPr>
            <sz val="9"/>
            <color indexed="81"/>
            <rFont val="Tahoma"/>
            <family val="2"/>
          </rPr>
          <t xml:space="preserve">Originally referred to as Frails; converted using preceding unit. 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One zero adjusted keeping in view following values; value in text was 4,000.</t>
        </r>
      </text>
    </comment>
    <comment ref="C7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Given the similarity in price to preceding years, assumed to be equaivalent to cases.</t>
        </r>
      </text>
    </comment>
    <comment ref="G7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Given the similarity in price to preceding years, assumed to be equaivalent to cases.</t>
        </r>
      </text>
    </comment>
    <comment ref="D164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Sourced from 1912-13 where both units and equivalent cwts. are listed.</t>
        </r>
      </text>
    </comment>
    <comment ref="D165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Sourced from 1912-13 where both units and equivalent cwts. are listed.</t>
        </r>
      </text>
    </comment>
    <comment ref="D166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Sourced from 1912-13 where both units and equivalent cwts. are listed.</t>
        </r>
      </text>
    </comment>
    <comment ref="D167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Sourced from 1912-13 where both units and equivalent cwts. are listed.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D11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Sourced from 1912-13 where both units and equivalent cwts. are listed.</t>
        </r>
      </text>
    </comment>
    <comment ref="D11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Sourced from 1912-13 where both units and equivalent cwts. are listed.</t>
        </r>
      </text>
    </comment>
    <comment ref="D11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Sourced from 1912-13 where both units and equivalent cwts. are listed.</t>
        </r>
      </text>
    </comment>
    <comment ref="D11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Sourced from 1912-13 where both units and equivalent cwts. are listed.</t>
        </r>
      </text>
    </comment>
  </commentList>
</comments>
</file>

<file path=xl/comments6.xml><?xml version="1.0" encoding="utf-8"?>
<comments xmlns="http://schemas.openxmlformats.org/spreadsheetml/2006/main">
  <authors>
    <author>Author</author>
  </authors>
  <commentList>
    <comment ref="D11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Sourced from 1912-13 where both units and equivalent cwts. are listed.</t>
        </r>
      </text>
    </comment>
    <comment ref="D11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Sourced from 1912-13 where both units and equivalent cwts. are listed.</t>
        </r>
      </text>
    </comment>
    <comment ref="D11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Sourced from 1912-13 where both units and equivalent cwts. are listed.</t>
        </r>
      </text>
    </comment>
    <comment ref="D11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Sourced from 1912-13 where both units and equivalent cwts. are listed.</t>
        </r>
      </text>
    </comment>
  </commentList>
</comments>
</file>

<file path=xl/sharedStrings.xml><?xml version="1.0" encoding="utf-8"?>
<sst xmlns="http://schemas.openxmlformats.org/spreadsheetml/2006/main" count="4423" uniqueCount="353">
  <si>
    <t>Articles</t>
  </si>
  <si>
    <t>Quantity</t>
  </si>
  <si>
    <t>Tons</t>
  </si>
  <si>
    <t>Coffee</t>
  </si>
  <si>
    <t>Cwts</t>
  </si>
  <si>
    <t>Iron</t>
  </si>
  <si>
    <t>Copper</t>
  </si>
  <si>
    <t>Drugs</t>
  </si>
  <si>
    <t>Cases</t>
  </si>
  <si>
    <t>Sugar</t>
  </si>
  <si>
    <t>Rice</t>
  </si>
  <si>
    <t>Tea</t>
  </si>
  <si>
    <t>Wheat</t>
  </si>
  <si>
    <t>Head</t>
  </si>
  <si>
    <t>Dates</t>
  </si>
  <si>
    <t>Oil seeds</t>
  </si>
  <si>
    <t>Opium</t>
  </si>
  <si>
    <t>Chests</t>
  </si>
  <si>
    <t>Tobacco</t>
  </si>
  <si>
    <t>Bugloss</t>
  </si>
  <si>
    <t>Reeds</t>
  </si>
  <si>
    <t>Bundles</t>
  </si>
  <si>
    <t>Spices</t>
  </si>
  <si>
    <t>Almonds</t>
  </si>
  <si>
    <t>Specie</t>
  </si>
  <si>
    <t>Bales</t>
  </si>
  <si>
    <t>Packages</t>
  </si>
  <si>
    <t>Units</t>
  </si>
  <si>
    <t>Flour</t>
  </si>
  <si>
    <t>Gum</t>
  </si>
  <si>
    <t>Number</t>
  </si>
  <si>
    <t>Ghee</t>
  </si>
  <si>
    <t>Cwts.</t>
  </si>
  <si>
    <t>Linseed</t>
  </si>
  <si>
    <t>Carpets</t>
  </si>
  <si>
    <t>Barley</t>
  </si>
  <si>
    <t>Bags</t>
  </si>
  <si>
    <t>Beans</t>
  </si>
  <si>
    <t>Medicine</t>
  </si>
  <si>
    <t>Simsim</t>
  </si>
  <si>
    <t>Cwt</t>
  </si>
  <si>
    <t>Casks</t>
  </si>
  <si>
    <t>Jotta</t>
  </si>
  <si>
    <t>Henna</t>
  </si>
  <si>
    <t>Frails</t>
  </si>
  <si>
    <t>Alum</t>
  </si>
  <si>
    <t>Cassia</t>
  </si>
  <si>
    <t>Cloth</t>
  </si>
  <si>
    <t>Sheets</t>
  </si>
  <si>
    <t xml:space="preserve">Tea </t>
  </si>
  <si>
    <t>Thread</t>
  </si>
  <si>
    <t>Slabs</t>
  </si>
  <si>
    <t>Timber</t>
  </si>
  <si>
    <t>Planks</t>
  </si>
  <si>
    <t>Baskets</t>
  </si>
  <si>
    <t>Tin</t>
  </si>
  <si>
    <t>Tamarind</t>
  </si>
  <si>
    <t>Steel</t>
  </si>
  <si>
    <t>Kegs</t>
  </si>
  <si>
    <t>Attaree</t>
  </si>
  <si>
    <t xml:space="preserve">Matches  </t>
  </si>
  <si>
    <t>Wood</t>
  </si>
  <si>
    <t xml:space="preserve">Coal </t>
  </si>
  <si>
    <t xml:space="preserve">Charcoal </t>
  </si>
  <si>
    <t>Candles</t>
  </si>
  <si>
    <t xml:space="preserve">Rice </t>
  </si>
  <si>
    <t xml:space="preserve">Clothing </t>
  </si>
  <si>
    <t xml:space="preserve">Kerosene </t>
  </si>
  <si>
    <t xml:space="preserve">Enamelled goods </t>
  </si>
  <si>
    <t xml:space="preserve">Stones </t>
  </si>
  <si>
    <t>Textile products</t>
  </si>
  <si>
    <t xml:space="preserve">Wool, raw </t>
  </si>
  <si>
    <t>Rope and cordage</t>
  </si>
  <si>
    <t xml:space="preserve">Furniture </t>
  </si>
  <si>
    <t>Skins</t>
  </si>
  <si>
    <t xml:space="preserve">Leather </t>
  </si>
  <si>
    <t>Pottery, including tiles and bricks</t>
  </si>
  <si>
    <t xml:space="preserve">Chemicals </t>
  </si>
  <si>
    <t xml:space="preserve">Soap </t>
  </si>
  <si>
    <t>Paints, dyes and varnish</t>
  </si>
  <si>
    <t>Naphtha</t>
  </si>
  <si>
    <t>Mineral products</t>
  </si>
  <si>
    <t>S.</t>
  </si>
  <si>
    <t xml:space="preserve">S. </t>
  </si>
  <si>
    <t>Liquors</t>
  </si>
  <si>
    <t xml:space="preserve">Pepper </t>
  </si>
  <si>
    <t xml:space="preserve">Bales </t>
  </si>
  <si>
    <t>Twist</t>
  </si>
  <si>
    <t>Metals</t>
  </si>
  <si>
    <t>Mercery and hardware</t>
  </si>
  <si>
    <t>Tissues</t>
  </si>
  <si>
    <t>Large bags</t>
  </si>
  <si>
    <t>Shawls</t>
  </si>
  <si>
    <t>Jute, yarn and tissues</t>
  </si>
  <si>
    <t>Other provisions</t>
  </si>
  <si>
    <t>Wool</t>
  </si>
  <si>
    <t>Cotton</t>
  </si>
  <si>
    <t>Manchester goods</t>
  </si>
  <si>
    <t>Pieces</t>
  </si>
  <si>
    <t>Units of conversion</t>
  </si>
  <si>
    <t>Oil</t>
  </si>
  <si>
    <t>box</t>
  </si>
  <si>
    <t>lbs.</t>
  </si>
  <si>
    <t>tin</t>
  </si>
  <si>
    <t>man</t>
  </si>
  <si>
    <t>cwt</t>
  </si>
  <si>
    <t>lbs</t>
  </si>
  <si>
    <t>box, bale, halfload</t>
  </si>
  <si>
    <t>load</t>
  </si>
  <si>
    <t>cwts.</t>
  </si>
  <si>
    <t>ton</t>
  </si>
  <si>
    <t>rotols</t>
  </si>
  <si>
    <t>kilos</t>
  </si>
  <si>
    <t>kilo</t>
  </si>
  <si>
    <t>rotol</t>
  </si>
  <si>
    <t>cantar</t>
  </si>
  <si>
    <t>tons</t>
  </si>
  <si>
    <t>cwt.</t>
  </si>
  <si>
    <t>Arms and ammunition</t>
  </si>
  <si>
    <t>case</t>
  </si>
  <si>
    <t>bag</t>
  </si>
  <si>
    <t>Date</t>
  </si>
  <si>
    <t>Salt</t>
  </si>
  <si>
    <t>bahr</t>
  </si>
  <si>
    <t>bale</t>
  </si>
  <si>
    <t>Box/Dubba/Tin</t>
  </si>
  <si>
    <t>gallon</t>
  </si>
  <si>
    <t>Oil of all kinds</t>
  </si>
  <si>
    <t>Box/Dubba</t>
  </si>
  <si>
    <t>Gunpowder</t>
  </si>
  <si>
    <t>Maund</t>
  </si>
  <si>
    <t>Grain, Flour</t>
  </si>
  <si>
    <t>Wine</t>
  </si>
  <si>
    <t>Case/Cask</t>
  </si>
  <si>
    <t>Case</t>
  </si>
  <si>
    <t>Twist and yarn</t>
  </si>
  <si>
    <t>Bale</t>
  </si>
  <si>
    <t>Package</t>
  </si>
  <si>
    <t>Bundle</t>
  </si>
  <si>
    <t>bundle</t>
  </si>
  <si>
    <t>chest</t>
  </si>
  <si>
    <t>Seeds</t>
  </si>
  <si>
    <t>Silk (all relevant)</t>
  </si>
  <si>
    <t>Silk, goods</t>
  </si>
  <si>
    <t>package</t>
  </si>
  <si>
    <t>Glass and wares</t>
  </si>
  <si>
    <t>Indigo</t>
  </si>
  <si>
    <t>Paper</t>
  </si>
  <si>
    <t>Cotton, piece-goods</t>
  </si>
  <si>
    <r>
      <rPr>
        <sz val="11"/>
        <rFont val="Calibri"/>
        <family val="2"/>
        <scheme val="minor"/>
      </rPr>
      <t xml:space="preserve">Kerosene oil </t>
    </r>
  </si>
  <si>
    <t>drum / tin</t>
  </si>
  <si>
    <t>Wool. cloth</t>
  </si>
  <si>
    <t>Matches</t>
  </si>
  <si>
    <t>Tin plates</t>
  </si>
  <si>
    <t>piece</t>
  </si>
  <si>
    <t>Thread, cotton</t>
  </si>
  <si>
    <t>barrel</t>
  </si>
  <si>
    <t>bag/sack</t>
  </si>
  <si>
    <t>Pepper</t>
  </si>
  <si>
    <t>Leather</t>
  </si>
  <si>
    <t>Middle East, Imports and Exports, 1824-1913</t>
  </si>
  <si>
    <t>This spreadsheet was put together by Robert Allen in April, 2018.</t>
  </si>
  <si>
    <r>
      <t xml:space="preserve">Prices and values are in </t>
    </r>
    <r>
      <rPr>
        <b/>
        <i/>
        <sz val="10"/>
        <rFont val="Arial"/>
        <family val="2"/>
      </rPr>
      <t>pounds sterling</t>
    </r>
    <r>
      <rPr>
        <sz val="10"/>
        <rFont val="Arial"/>
        <family val="2"/>
      </rPr>
      <t>.</t>
    </r>
  </si>
  <si>
    <t>There are important issues regarding the accuracy of the returns in view of their provencance and the incentives to underreport values and evade taxation.</t>
  </si>
  <si>
    <t>Some errors were detected in the process and corrected. Please note that observations not recorded for some of the years listed above were not available in the source reports.</t>
  </si>
  <si>
    <t>Sheets:</t>
  </si>
  <si>
    <t>- reduces the adjusted data on imports to prices in single series for each commodity.</t>
  </si>
  <si>
    <t>- reduces the adjusted data on exports to prices in single series for each commodity.</t>
  </si>
  <si>
    <t>Imports - Data (Raw)</t>
  </si>
  <si>
    <t>- contains the raw units for commodities and currencies of prices, quantities and values of imports taken from the sources described below..</t>
  </si>
  <si>
    <t>Exports - Data (Raw)</t>
  </si>
  <si>
    <t>- contains the raw units for commodities and currencies of prices, quantities and values of exports taken from the sources described below..</t>
  </si>
  <si>
    <t>Imports - Data (Adjusted)</t>
  </si>
  <si>
    <t>- contains the adjusted units for commodities and currencies of prices, quantities and values of imports taken from the sources described below..</t>
  </si>
  <si>
    <t>Exports - Data (Adjusted)</t>
  </si>
  <si>
    <t>- contains the adjusted units for commodities and currencies of prices, quantities and values of exports taken from the sources described below..</t>
  </si>
  <si>
    <t>Color Legend</t>
  </si>
  <si>
    <t>- mentions reason for colors of highlighted cells.</t>
  </si>
  <si>
    <t>Sources:</t>
  </si>
  <si>
    <t>Reports of British consuls published in: the British House of Commons papers in the diplomatic &amp; consular reports on trade and finance and in the administration reports on the Persian Gulf Political Residency.</t>
  </si>
  <si>
    <t>Robert White Stevens, On the Stowage of Ships and their Cargoes, London, Longmans, Green, &amp; Co., 7th edition, 1894.</t>
  </si>
  <si>
    <t xml:space="preserve"> </t>
  </si>
  <si>
    <t>Prices and Wages in London &amp; Southern England, 1259-1914</t>
  </si>
  <si>
    <t>A1) Original Prices</t>
  </si>
  <si>
    <t>Source</t>
  </si>
  <si>
    <t>Currency/units</t>
  </si>
  <si>
    <t>Comment</t>
  </si>
  <si>
    <t>Place of Origin</t>
  </si>
  <si>
    <t>Good</t>
  </si>
  <si>
    <t>Animals, Horses</t>
  </si>
  <si>
    <t>Cotton, goods</t>
  </si>
  <si>
    <t>Thread, gold</t>
  </si>
  <si>
    <t>Other metals</t>
  </si>
  <si>
    <t>Sugar, loaf</t>
  </si>
  <si>
    <t>Year</t>
  </si>
  <si>
    <t>1890-91</t>
  </si>
  <si>
    <t>1891-92</t>
  </si>
  <si>
    <t>1892-93</t>
  </si>
  <si>
    <t>1893-94</t>
  </si>
  <si>
    <t>1894-95</t>
  </si>
  <si>
    <t>1895-96</t>
  </si>
  <si>
    <t>1896-97</t>
  </si>
  <si>
    <t>1897-98</t>
  </si>
  <si>
    <t>1898-99</t>
  </si>
  <si>
    <t>1899-00</t>
  </si>
  <si>
    <t>1900-01</t>
  </si>
  <si>
    <t>1901-02</t>
  </si>
  <si>
    <t>1906-07</t>
  </si>
  <si>
    <t>1907-08</t>
  </si>
  <si>
    <t>1908-09</t>
  </si>
  <si>
    <t>1909-10</t>
  </si>
  <si>
    <t>1910-11</t>
  </si>
  <si>
    <t>1911-12</t>
  </si>
  <si>
    <t>1912-13</t>
  </si>
  <si>
    <t xml:space="preserve">Mohammerah - Prices (Imports) </t>
  </si>
  <si>
    <t xml:space="preserve">Mohammerah - Prices (Exports) </t>
  </si>
  <si>
    <t>From previous year's report, primarily for quantities</t>
  </si>
  <si>
    <t>Corrected based on suspicion or invalid / unavailable conversion units</t>
  </si>
  <si>
    <t>Mohammerah, 1890-91</t>
  </si>
  <si>
    <t>Mohammerah, 1891-92</t>
  </si>
  <si>
    <t>Mohammerah, 1892-93</t>
  </si>
  <si>
    <t>Mohammerah, 1893-94</t>
  </si>
  <si>
    <t>Mohammerah, 1894-95</t>
  </si>
  <si>
    <t>Mohammerah, 1895-96</t>
  </si>
  <si>
    <t>Mohammerah, 1896-97</t>
  </si>
  <si>
    <t>Mohammerah, 1897-98</t>
  </si>
  <si>
    <t>Mohammerah, 1898-99</t>
  </si>
  <si>
    <t>Mohammerah, 1899-00</t>
  </si>
  <si>
    <t>Mohammerah, 1900-01</t>
  </si>
  <si>
    <t>Mohammerah, 1901-02</t>
  </si>
  <si>
    <t>Mohammerah, 1906-07</t>
  </si>
  <si>
    <t>Mohammerah, 1907-08</t>
  </si>
  <si>
    <t>Mohammerah, 1908-09</t>
  </si>
  <si>
    <t>Mohammerah, 1909-10</t>
  </si>
  <si>
    <t>Mohammerah, 1910-11</t>
  </si>
  <si>
    <t>Mohammerah, 1911-12</t>
  </si>
  <si>
    <t>Mohammerah, 1902-03</t>
  </si>
  <si>
    <t>Mohammerah, 1912-13</t>
  </si>
  <si>
    <t>Value (Sterling)</t>
  </si>
  <si>
    <t>Bushire, 1891-92</t>
  </si>
  <si>
    <t>Bushire, 1892-93</t>
  </si>
  <si>
    <t>Bushire, 1893-94</t>
  </si>
  <si>
    <t>Bushire, 1894-95</t>
  </si>
  <si>
    <t>Bushire, 1895-96</t>
  </si>
  <si>
    <t>Bushire, 1896-97</t>
  </si>
  <si>
    <t>Bushire, 1897-98</t>
  </si>
  <si>
    <t>Persian Gulf, 1898-99</t>
  </si>
  <si>
    <t>Persian Gulf, 1899-00</t>
  </si>
  <si>
    <t>Persian Gulf, 1900-01</t>
  </si>
  <si>
    <t>Persian Gulf, 1901-02</t>
  </si>
  <si>
    <t>Persian Gulf, 1902-03</t>
  </si>
  <si>
    <t>Arabistan, 1906-07</t>
  </si>
  <si>
    <t>Arabistan, 1907-08</t>
  </si>
  <si>
    <t>Arabistan, 1908-09</t>
  </si>
  <si>
    <t>Arabistan, 1912-13</t>
  </si>
  <si>
    <t>Arabistan, 1909-10</t>
  </si>
  <si>
    <t>Arabistan, 1910-11</t>
  </si>
  <si>
    <t>Arabistan, 1911-12</t>
  </si>
  <si>
    <t>Piece-goods (America)</t>
  </si>
  <si>
    <t>Attari and drugs</t>
  </si>
  <si>
    <t xml:space="preserve">Cotton, yarn </t>
  </si>
  <si>
    <t>Crockery and earthenware</t>
  </si>
  <si>
    <t>Limes, dry</t>
  </si>
  <si>
    <t>Glass, raw and ware</t>
  </si>
  <si>
    <t>Glass, manufactured</t>
  </si>
  <si>
    <t>Gunny bags</t>
  </si>
  <si>
    <t>Iron and steel, in bars</t>
  </si>
  <si>
    <t>Iron, safes</t>
  </si>
  <si>
    <t xml:space="preserve">Copper and nickel </t>
  </si>
  <si>
    <t>Metal, manufactured</t>
  </si>
  <si>
    <t>Metal, enamelled</t>
  </si>
  <si>
    <t>Paper, raw and manufactured</t>
  </si>
  <si>
    <t>Piece-goods</t>
  </si>
  <si>
    <t>Rope and coir</t>
  </si>
  <si>
    <t>Shawls (Kashmir)</t>
  </si>
  <si>
    <t>Sugar (China)</t>
  </si>
  <si>
    <t xml:space="preserve">Sugar, crushed </t>
  </si>
  <si>
    <t>Sugar, crystals</t>
  </si>
  <si>
    <t>Sugar (Mauritius)</t>
  </si>
  <si>
    <t>Sugar, soft</t>
  </si>
  <si>
    <t>Sugar beet, crushed</t>
  </si>
  <si>
    <t>Sugarcane, crushed</t>
  </si>
  <si>
    <t>Telegraph, stores</t>
  </si>
  <si>
    <t>Cotton, tissues</t>
  </si>
  <si>
    <t>Wool, tissues</t>
  </si>
  <si>
    <t>Wool and cotton, tissues</t>
  </si>
  <si>
    <t>Other tissues</t>
  </si>
  <si>
    <t>Wool and cotton, raw</t>
  </si>
  <si>
    <t>Animals, all</t>
  </si>
  <si>
    <t>Dates, dry</t>
  </si>
  <si>
    <t>Gum, tragacanth</t>
  </si>
  <si>
    <t>Gum, insoluble</t>
  </si>
  <si>
    <t>Cases' materials, dates</t>
  </si>
  <si>
    <t>Animals, Mules</t>
  </si>
  <si>
    <t>Currency</t>
  </si>
  <si>
    <t>Sterling</t>
  </si>
  <si>
    <t>shillings</t>
  </si>
  <si>
    <t>sterling</t>
  </si>
  <si>
    <t>Shilling</t>
  </si>
  <si>
    <t>long ton</t>
  </si>
  <si>
    <t>Price (Sterling)</t>
  </si>
  <si>
    <t>=$D$137*1241+76LargeBags</t>
  </si>
  <si>
    <t>Glassware</t>
  </si>
  <si>
    <t>Gunny bag</t>
  </si>
  <si>
    <t>Gallon</t>
  </si>
  <si>
    <t>bales</t>
  </si>
  <si>
    <t>£/Cwts</t>
  </si>
  <si>
    <t>£/Head</t>
  </si>
  <si>
    <t>£/Bundles</t>
  </si>
  <si>
    <t>£/Cwt</t>
  </si>
  <si>
    <t>£/Number</t>
  </si>
  <si>
    <t>£/Bags</t>
  </si>
  <si>
    <t>£/Bales</t>
  </si>
  <si>
    <t>£/Packages</t>
  </si>
  <si>
    <t>£/Casks</t>
  </si>
  <si>
    <t>£/Cases</t>
  </si>
  <si>
    <t>£/Tons</t>
  </si>
  <si>
    <t>£/Frails</t>
  </si>
  <si>
    <t>£/Gallon</t>
  </si>
  <si>
    <t>£/Cwts.</t>
  </si>
  <si>
    <t>£/Kegs</t>
  </si>
  <si>
    <t>£/Planks</t>
  </si>
  <si>
    <t>£/Slabs</t>
  </si>
  <si>
    <t>1902-03</t>
  </si>
  <si>
    <t/>
  </si>
  <si>
    <t>£/Sheet</t>
  </si>
  <si>
    <t>Kashmir</t>
  </si>
  <si>
    <t>Mauritius</t>
  </si>
  <si>
    <t>China</t>
  </si>
  <si>
    <t>£/Jotta</t>
  </si>
  <si>
    <t>America</t>
  </si>
  <si>
    <t>£/Piece</t>
  </si>
  <si>
    <t>£/Bundle</t>
  </si>
  <si>
    <t>£/Bale</t>
  </si>
  <si>
    <t>£/Package</t>
  </si>
  <si>
    <t>£/Bag</t>
  </si>
  <si>
    <t>£/Cask</t>
  </si>
  <si>
    <t>£/Case</t>
  </si>
  <si>
    <t>£/Ton</t>
  </si>
  <si>
    <t>£/Frail</t>
  </si>
  <si>
    <t>£/Keg</t>
  </si>
  <si>
    <t>£/Slab</t>
  </si>
  <si>
    <t>£/Plank</t>
  </si>
  <si>
    <r>
      <t xml:space="preserve">This spreadsheet lists the </t>
    </r>
    <r>
      <rPr>
        <b/>
        <i/>
        <sz val="10"/>
        <rFont val="Arial"/>
        <family val="2"/>
      </rPr>
      <t>prices, quantities</t>
    </r>
    <r>
      <rPr>
        <sz val="10"/>
        <rFont val="Arial"/>
        <family val="2"/>
      </rPr>
      <t xml:space="preserve"> and </t>
    </r>
    <r>
      <rPr>
        <b/>
        <i/>
        <sz val="10"/>
        <rFont val="Arial"/>
        <family val="2"/>
      </rPr>
      <t>values</t>
    </r>
    <r>
      <rPr>
        <sz val="10"/>
        <rFont val="Arial"/>
        <family val="2"/>
      </rPr>
      <t xml:space="preserve"> of </t>
    </r>
    <r>
      <rPr>
        <b/>
        <i/>
        <sz val="10"/>
        <rFont val="Arial"/>
        <family val="2"/>
      </rPr>
      <t xml:space="preserve">imports </t>
    </r>
    <r>
      <rPr>
        <sz val="10"/>
        <rFont val="Arial"/>
        <family val="2"/>
      </rPr>
      <t xml:space="preserve">and </t>
    </r>
    <r>
      <rPr>
        <b/>
        <i/>
        <sz val="10"/>
        <rFont val="Arial"/>
        <family val="2"/>
      </rPr>
      <t xml:space="preserve">exports </t>
    </r>
    <r>
      <rPr>
        <sz val="10"/>
        <rFont val="Arial"/>
        <family val="2"/>
      </rPr>
      <t>in the city of</t>
    </r>
    <r>
      <rPr>
        <b/>
        <i/>
        <sz val="10"/>
        <rFont val="Arial"/>
        <family val="2"/>
      </rPr>
      <t xml:space="preserve"> Mohammerah </t>
    </r>
    <r>
      <rPr>
        <sz val="10"/>
        <rFont val="Arial"/>
        <family val="2"/>
      </rPr>
      <t>from</t>
    </r>
    <r>
      <rPr>
        <b/>
        <i/>
        <sz val="10"/>
        <rFont val="Arial"/>
        <family val="2"/>
      </rPr>
      <t xml:space="preserve"> 1890-91 to 1912-13</t>
    </r>
    <r>
      <rPr>
        <sz val="10"/>
        <rFont val="Arial"/>
        <family val="2"/>
      </rPr>
      <t>.  The data were compiled by British consuls.</t>
    </r>
  </si>
  <si>
    <t>Piece-goods, all sorts</t>
  </si>
  <si>
    <t>Silk, raw</t>
  </si>
  <si>
    <t>Silver and gold, thread</t>
  </si>
  <si>
    <t>Yarns</t>
  </si>
  <si>
    <t>Wool, raw</t>
  </si>
  <si>
    <t>Cotton, raw</t>
  </si>
  <si>
    <t>Sesame</t>
  </si>
  <si>
    <t>Manchester</t>
  </si>
  <si>
    <t>half load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</si>
</sst>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0.0"/>
    <numFmt numFmtId="165" formatCode="#,##0.0"/>
    <numFmt numFmtId="166" formatCode="_(* #,##0_);_(* \(#,##0\);_(* &quot;-&quot;??_);_(@_)"/>
    <numFmt numFmtId="167" formatCode="0.0000"/>
    <numFmt numFmtId="168" formatCode="_ * #,##0_ ;_ * \-#,##0_ ;_ * &quot;-&quot;_ ;_ @_ "/>
  </numFmts>
  <fonts count="2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i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Times New Roman"/>
      <family val="1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name val="Courier"/>
    </font>
    <font>
      <b/>
      <u/>
      <sz val="10"/>
      <color indexed="9"/>
      <name val="Arial"/>
      <family val="2"/>
    </font>
    <font>
      <sz val="10"/>
      <color indexed="9"/>
      <name val="Courier"/>
    </font>
    <font>
      <b/>
      <u/>
      <sz val="8"/>
      <name val="Arial"/>
      <family val="2"/>
    </font>
    <font>
      <sz val="8"/>
      <color indexed="9"/>
      <name val="Arial"/>
      <family val="2"/>
    </font>
    <font>
      <i/>
      <sz val="8"/>
      <color indexed="9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indexed="58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12" fillId="0" borderId="0">
      <alignment vertical="top"/>
    </xf>
    <xf numFmtId="0" fontId="15" fillId="0" borderId="0">
      <alignment vertical="top"/>
    </xf>
    <xf numFmtId="0" fontId="5" fillId="0" borderId="0"/>
    <xf numFmtId="0" fontId="2" fillId="0" borderId="0"/>
  </cellStyleXfs>
  <cellXfs count="166">
    <xf numFmtId="0" fontId="0" fillId="0" borderId="0" xfId="0"/>
    <xf numFmtId="166" fontId="6" fillId="0" borderId="0" xfId="1" applyNumberFormat="1" applyFont="1" applyFill="1" applyAlignment="1">
      <alignment horizontal="left"/>
    </xf>
    <xf numFmtId="0" fontId="2" fillId="0" borderId="0" xfId="0" applyFont="1" applyFill="1"/>
    <xf numFmtId="0" fontId="7" fillId="0" borderId="0" xfId="0" applyFont="1"/>
    <xf numFmtId="0" fontId="8" fillId="0" borderId="0" xfId="0" applyFont="1" applyBorder="1" applyAlignment="1">
      <alignment horizontal="left" vertical="top"/>
    </xf>
    <xf numFmtId="1" fontId="8" fillId="0" borderId="0" xfId="0" applyNumberFormat="1" applyFont="1" applyBorder="1" applyAlignment="1">
      <alignment horizontal="left" vertical="top"/>
    </xf>
    <xf numFmtId="0" fontId="7" fillId="0" borderId="0" xfId="0" applyFont="1" applyFill="1"/>
    <xf numFmtId="166" fontId="9" fillId="0" borderId="0" xfId="1" applyNumberFormat="1" applyFont="1" applyBorder="1" applyAlignment="1">
      <alignment horizontal="left" vertical="center" wrapText="1"/>
    </xf>
    <xf numFmtId="0" fontId="2" fillId="0" borderId="0" xfId="0" applyFont="1" applyAlignment="1"/>
    <xf numFmtId="0" fontId="2" fillId="0" borderId="0" xfId="0" applyFont="1" applyFill="1" applyBorder="1"/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167" fontId="2" fillId="0" borderId="0" xfId="0" applyNumberFormat="1" applyFont="1" applyBorder="1"/>
    <xf numFmtId="168" fontId="2" fillId="0" borderId="0" xfId="0" applyNumberFormat="1" applyFont="1" applyBorder="1" applyAlignment="1">
      <alignment horizontal="left"/>
    </xf>
    <xf numFmtId="168" fontId="2" fillId="0" borderId="0" xfId="0" applyNumberFormat="1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12" fillId="0" borderId="0" xfId="2" applyFont="1" applyAlignment="1"/>
    <xf numFmtId="0" fontId="12" fillId="0" borderId="0" xfId="2" applyAlignment="1"/>
    <xf numFmtId="0" fontId="12" fillId="0" borderId="0" xfId="2" applyFont="1" applyBorder="1" applyAlignment="1"/>
    <xf numFmtId="0" fontId="12" fillId="0" borderId="0" xfId="2" applyBorder="1" applyAlignment="1"/>
    <xf numFmtId="0" fontId="14" fillId="0" borderId="0" xfId="2" applyFont="1" applyAlignment="1"/>
    <xf numFmtId="0" fontId="12" fillId="0" borderId="0" xfId="2" quotePrefix="1" applyFont="1" applyAlignment="1"/>
    <xf numFmtId="0" fontId="12" fillId="0" borderId="0" xfId="2" applyFont="1" applyAlignment="1">
      <alignment horizontal="left"/>
    </xf>
    <xf numFmtId="0" fontId="16" fillId="0" borderId="0" xfId="3" applyFont="1" applyBorder="1" applyAlignment="1">
      <alignment horizontal="left" vertical="center"/>
    </xf>
    <xf numFmtId="0" fontId="15" fillId="0" borderId="0" xfId="3" applyAlignment="1"/>
    <xf numFmtId="0" fontId="17" fillId="0" borderId="0" xfId="3" applyFont="1" applyAlignment="1"/>
    <xf numFmtId="0" fontId="18" fillId="0" borderId="0" xfId="3" applyFont="1" applyFill="1" applyBorder="1" applyAlignment="1">
      <alignment horizontal="left" vertical="center"/>
    </xf>
    <xf numFmtId="0" fontId="19" fillId="0" borderId="0" xfId="3" applyFont="1" applyBorder="1" applyAlignment="1">
      <alignment horizontal="right"/>
    </xf>
    <xf numFmtId="0" fontId="20" fillId="3" borderId="0" xfId="3" applyFont="1" applyFill="1" applyBorder="1" applyAlignment="1">
      <alignment horizontal="left"/>
    </xf>
    <xf numFmtId="0" fontId="19" fillId="3" borderId="0" xfId="3" applyFont="1" applyFill="1" applyBorder="1" applyAlignment="1">
      <alignment horizontal="center"/>
    </xf>
    <xf numFmtId="0" fontId="20" fillId="3" borderId="0" xfId="3" applyFont="1" applyFill="1" applyBorder="1" applyAlignment="1">
      <alignment horizontal="left" wrapText="1"/>
    </xf>
    <xf numFmtId="0" fontId="19" fillId="0" borderId="0" xfId="3" applyFont="1" applyBorder="1" applyAlignment="1">
      <alignment horizontal="left"/>
    </xf>
    <xf numFmtId="0" fontId="19" fillId="3" borderId="0" xfId="3" applyFont="1" applyFill="1" applyBorder="1" applyAlignment="1">
      <alignment horizontal="left"/>
    </xf>
    <xf numFmtId="0" fontId="17" fillId="0" borderId="0" xfId="3" applyFont="1" applyAlignment="1">
      <alignment horizontal="left"/>
    </xf>
    <xf numFmtId="0" fontId="20" fillId="0" borderId="0" xfId="3" applyFont="1" applyBorder="1" applyAlignment="1">
      <alignment horizontal="right" vertical="center" wrapText="1"/>
    </xf>
    <xf numFmtId="0" fontId="20" fillId="3" borderId="0" xfId="3" applyFont="1" applyFill="1" applyBorder="1" applyAlignment="1">
      <alignment horizontal="left" vertical="center" wrapText="1"/>
    </xf>
    <xf numFmtId="0" fontId="20" fillId="0" borderId="0" xfId="3" applyFont="1" applyAlignment="1">
      <alignment vertical="center" wrapText="1"/>
    </xf>
    <xf numFmtId="0" fontId="20" fillId="3" borderId="0" xfId="3" applyFont="1" applyFill="1" applyBorder="1" applyAlignment="1">
      <alignment horizontal="right"/>
    </xf>
    <xf numFmtId="0" fontId="21" fillId="0" borderId="0" xfId="3" applyFont="1" applyBorder="1" applyAlignment="1">
      <alignment horizontal="right"/>
    </xf>
    <xf numFmtId="167" fontId="22" fillId="0" borderId="0" xfId="3" applyNumberFormat="1" applyFont="1" applyBorder="1" applyAlignment="1" applyProtection="1">
      <alignment horizontal="center"/>
    </xf>
    <xf numFmtId="167" fontId="15" fillId="0" borderId="0" xfId="3" applyNumberFormat="1" applyAlignment="1"/>
    <xf numFmtId="0" fontId="19" fillId="3" borderId="0" xfId="3" applyFont="1" applyFill="1" applyBorder="1" applyAlignment="1" applyProtection="1">
      <alignment horizontal="right"/>
    </xf>
    <xf numFmtId="0" fontId="20" fillId="0" borderId="0" xfId="3" applyFont="1" applyBorder="1" applyAlignment="1">
      <alignment horizontal="right"/>
    </xf>
    <xf numFmtId="0" fontId="20" fillId="0" borderId="0" xfId="3" applyFont="1" applyAlignment="1"/>
    <xf numFmtId="0" fontId="22" fillId="0" borderId="0" xfId="3" applyFont="1" applyBorder="1" applyAlignment="1">
      <alignment horizontal="center"/>
    </xf>
    <xf numFmtId="0" fontId="5" fillId="2" borderId="0" xfId="4" applyFill="1"/>
    <xf numFmtId="0" fontId="7" fillId="0" borderId="0" xfId="5" applyFont="1"/>
    <xf numFmtId="0" fontId="5" fillId="0" borderId="0" xfId="4"/>
    <xf numFmtId="0" fontId="5" fillId="4" borderId="0" xfId="4" applyFill="1"/>
    <xf numFmtId="0" fontId="2" fillId="0" borderId="0" xfId="0" applyFont="1"/>
    <xf numFmtId="0" fontId="5" fillId="0" borderId="0" xfId="0" applyFont="1" applyFill="1" applyBorder="1" applyAlignment="1">
      <alignment horizontal="center"/>
    </xf>
    <xf numFmtId="0" fontId="5" fillId="0" borderId="0" xfId="0" applyFont="1" applyFill="1"/>
    <xf numFmtId="0" fontId="5" fillId="0" borderId="0" xfId="0" applyFont="1" applyFill="1" applyBorder="1" applyAlignment="1">
      <alignment horizontal="right"/>
    </xf>
    <xf numFmtId="0" fontId="5" fillId="0" borderId="0" xfId="0" applyFont="1" applyBorder="1" applyAlignment="1"/>
    <xf numFmtId="0" fontId="4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left"/>
    </xf>
    <xf numFmtId="3" fontId="2" fillId="0" borderId="0" xfId="0" applyNumberFormat="1" applyFont="1" applyBorder="1"/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164" fontId="2" fillId="0" borderId="0" xfId="0" applyNumberFormat="1" applyFont="1" applyBorder="1"/>
    <xf numFmtId="0" fontId="24" fillId="0" borderId="0" xfId="0" applyFont="1" applyFill="1"/>
    <xf numFmtId="49" fontId="24" fillId="0" borderId="0" xfId="0" applyNumberFormat="1" applyFont="1" applyFill="1" applyAlignment="1">
      <alignment horizontal="left"/>
    </xf>
    <xf numFmtId="0" fontId="24" fillId="0" borderId="0" xfId="0" applyNumberFormat="1" applyFont="1" applyFill="1" applyAlignment="1">
      <alignment horizontal="right"/>
    </xf>
    <xf numFmtId="0" fontId="24" fillId="0" borderId="0" xfId="0" applyFont="1" applyFill="1" applyAlignment="1">
      <alignment horizontal="right"/>
    </xf>
    <xf numFmtId="3" fontId="24" fillId="0" borderId="0" xfId="0" applyNumberFormat="1" applyFont="1" applyFill="1" applyAlignment="1">
      <alignment horizontal="right"/>
    </xf>
    <xf numFmtId="3" fontId="24" fillId="0" borderId="0" xfId="0" applyNumberFormat="1" applyFont="1" applyFill="1"/>
    <xf numFmtId="3" fontId="2" fillId="0" borderId="0" xfId="0" applyNumberFormat="1" applyFont="1" applyBorder="1" applyAlignment="1">
      <alignment horizontal="right"/>
    </xf>
    <xf numFmtId="0" fontId="24" fillId="0" borderId="0" xfId="0" applyFont="1"/>
    <xf numFmtId="0" fontId="2" fillId="0" borderId="0" xfId="0" applyFont="1" applyBorder="1" applyAlignment="1">
      <alignment vertical="center"/>
    </xf>
    <xf numFmtId="49" fontId="2" fillId="0" borderId="0" xfId="0" applyNumberFormat="1" applyFont="1" applyBorder="1" applyAlignment="1">
      <alignment horizontal="right"/>
    </xf>
    <xf numFmtId="3" fontId="2" fillId="0" borderId="0" xfId="0" applyNumberFormat="1" applyFont="1" applyFill="1" applyBorder="1" applyAlignment="1">
      <alignment vertical="center"/>
    </xf>
    <xf numFmtId="164" fontId="2" fillId="0" borderId="0" xfId="0" applyNumberFormat="1" applyFont="1" applyAlignment="1">
      <alignment horizontal="right"/>
    </xf>
    <xf numFmtId="49" fontId="2" fillId="0" borderId="0" xfId="0" applyNumberFormat="1" applyFont="1" applyFill="1" applyAlignment="1">
      <alignment horizontal="left"/>
    </xf>
    <xf numFmtId="49" fontId="2" fillId="0" borderId="0" xfId="0" applyNumberFormat="1" applyFont="1" applyFill="1"/>
    <xf numFmtId="3" fontId="2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Fill="1"/>
    <xf numFmtId="0" fontId="24" fillId="0" borderId="0" xfId="0" applyFont="1" applyFill="1" applyBorder="1"/>
    <xf numFmtId="3" fontId="24" fillId="0" borderId="0" xfId="0" applyNumberFormat="1" applyFont="1" applyFill="1" applyAlignment="1">
      <alignment horizontal="right" vertical="center"/>
    </xf>
    <xf numFmtId="0" fontId="2" fillId="0" borderId="0" xfId="0" quotePrefix="1" applyFont="1" applyFill="1" applyBorder="1" applyAlignment="1">
      <alignment horizontal="right"/>
    </xf>
    <xf numFmtId="0" fontId="2" fillId="2" borderId="0" xfId="0" applyFont="1" applyFill="1" applyBorder="1"/>
    <xf numFmtId="164" fontId="2" fillId="0" borderId="0" xfId="0" applyNumberFormat="1" applyFont="1" applyBorder="1" applyAlignment="1">
      <alignment horizontal="right"/>
    </xf>
    <xf numFmtId="4" fontId="2" fillId="0" borderId="0" xfId="0" applyNumberFormat="1" applyFont="1" applyFill="1" applyBorder="1"/>
    <xf numFmtId="165" fontId="2" fillId="0" borderId="0" xfId="0" applyNumberFormat="1" applyFont="1" applyFill="1" applyBorder="1"/>
    <xf numFmtId="3" fontId="2" fillId="0" borderId="0" xfId="0" applyNumberFormat="1" applyFont="1" applyAlignment="1">
      <alignment horizontal="right"/>
    </xf>
    <xf numFmtId="49" fontId="24" fillId="0" borderId="0" xfId="0" applyNumberFormat="1" applyFont="1" applyFill="1" applyAlignment="1">
      <alignment horizontal="right"/>
    </xf>
    <xf numFmtId="49" fontId="24" fillId="0" borderId="0" xfId="0" applyNumberFormat="1" applyFont="1" applyFill="1" applyBorder="1" applyAlignment="1">
      <alignment horizontal="right"/>
    </xf>
    <xf numFmtId="0" fontId="24" fillId="0" borderId="0" xfId="0" applyNumberFormat="1" applyFont="1" applyFill="1" applyBorder="1" applyAlignment="1">
      <alignment horizontal="right"/>
    </xf>
    <xf numFmtId="2" fontId="2" fillId="0" borderId="0" xfId="0" applyNumberFormat="1" applyFont="1"/>
    <xf numFmtId="2" fontId="2" fillId="0" borderId="0" xfId="0" applyNumberFormat="1" applyFont="1" applyFill="1" applyAlignment="1">
      <alignment horizontal="right" vertical="center"/>
    </xf>
    <xf numFmtId="2" fontId="2" fillId="0" borderId="0" xfId="0" applyNumberFormat="1" applyFont="1" applyFill="1"/>
    <xf numFmtId="167" fontId="2" fillId="0" borderId="0" xfId="0" applyNumberFormat="1" applyFont="1"/>
    <xf numFmtId="167" fontId="2" fillId="0" borderId="0" xfId="0" applyNumberFormat="1" applyFont="1" applyFill="1"/>
    <xf numFmtId="0" fontId="2" fillId="0" borderId="0" xfId="0" applyFont="1" applyFill="1" applyAlignment="1">
      <alignment vertical="center"/>
    </xf>
    <xf numFmtId="4" fontId="2" fillId="0" borderId="0" xfId="0" applyNumberFormat="1" applyFont="1" applyFill="1"/>
    <xf numFmtId="3" fontId="2" fillId="0" borderId="0" xfId="0" applyNumberFormat="1" applyFont="1" applyFill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/>
    <xf numFmtId="12" fontId="2" fillId="0" borderId="0" xfId="0" applyNumberFormat="1" applyFont="1" applyBorder="1" applyAlignment="1">
      <alignment horizontal="left"/>
    </xf>
    <xf numFmtId="164" fontId="2" fillId="0" borderId="0" xfId="0" applyNumberFormat="1" applyFont="1" applyFill="1" applyBorder="1"/>
    <xf numFmtId="3" fontId="2" fillId="2" borderId="0" xfId="0" applyNumberFormat="1" applyFont="1" applyFill="1" applyBorder="1"/>
    <xf numFmtId="49" fontId="2" fillId="0" borderId="0" xfId="0" applyNumberFormat="1" applyFont="1" applyBorder="1"/>
    <xf numFmtId="3" fontId="2" fillId="2" borderId="0" xfId="0" applyNumberFormat="1" applyFont="1" applyFill="1" applyAlignment="1">
      <alignment horizontal="right"/>
    </xf>
    <xf numFmtId="3" fontId="2" fillId="0" borderId="0" xfId="0" applyNumberFormat="1" applyFont="1" applyBorder="1" applyAlignment="1">
      <alignment horizontal="left"/>
    </xf>
    <xf numFmtId="165" fontId="2" fillId="0" borderId="0" xfId="0" applyNumberFormat="1" applyFont="1" applyFill="1" applyBorder="1" applyAlignment="1">
      <alignment horizontal="right"/>
    </xf>
    <xf numFmtId="4" fontId="2" fillId="0" borderId="0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Alignment="1"/>
    <xf numFmtId="0" fontId="2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Fill="1" applyAlignment="1">
      <alignment vertical="center"/>
    </xf>
    <xf numFmtId="0" fontId="5" fillId="0" borderId="0" xfId="0" applyFont="1" applyBorder="1" applyAlignment="1">
      <alignment vertical="center" wrapText="1"/>
    </xf>
    <xf numFmtId="0" fontId="23" fillId="0" borderId="0" xfId="0" applyFont="1" applyAlignment="1">
      <alignment horizontal="center" wrapText="1"/>
    </xf>
    <xf numFmtId="0" fontId="23" fillId="0" borderId="0" xfId="0" applyFont="1" applyBorder="1" applyAlignment="1">
      <alignment horizontal="center" wrapText="1"/>
    </xf>
    <xf numFmtId="0" fontId="5" fillId="0" borderId="0" xfId="0" applyFont="1" applyFill="1" applyBorder="1" applyAlignment="1">
      <alignment vertical="center" wrapText="1"/>
    </xf>
    <xf numFmtId="0" fontId="23" fillId="0" borderId="0" xfId="0" applyFont="1" applyFill="1" applyAlignment="1">
      <alignment horizontal="center" wrapText="1"/>
    </xf>
    <xf numFmtId="0" fontId="23" fillId="0" borderId="0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left"/>
    </xf>
    <xf numFmtId="0" fontId="5" fillId="0" borderId="0" xfId="0" applyFont="1" applyBorder="1" applyAlignment="1">
      <alignment horizontal="right" wrapText="1"/>
    </xf>
    <xf numFmtId="0" fontId="4" fillId="0" borderId="0" xfId="0" applyFont="1" applyBorder="1" applyAlignment="1">
      <alignment horizontal="right" wrapText="1"/>
    </xf>
    <xf numFmtId="0" fontId="4" fillId="0" borderId="0" xfId="0" applyFont="1" applyAlignment="1">
      <alignment horizontal="left" wrapText="1"/>
    </xf>
    <xf numFmtId="0" fontId="5" fillId="0" borderId="0" xfId="0" applyFont="1" applyFill="1" applyBorder="1" applyAlignment="1"/>
    <xf numFmtId="49" fontId="2" fillId="0" borderId="0" xfId="0" applyNumberFormat="1" applyFont="1" applyBorder="1" applyAlignment="1">
      <alignment horizontal="left"/>
    </xf>
    <xf numFmtId="167" fontId="2" fillId="0" borderId="0" xfId="0" applyNumberFormat="1" applyFont="1" applyFill="1" applyBorder="1" applyAlignment="1">
      <alignment horizontal="right"/>
    </xf>
    <xf numFmtId="0" fontId="1" fillId="0" borderId="0" xfId="0" applyFont="1"/>
    <xf numFmtId="0" fontId="1" fillId="0" borderId="0" xfId="0" applyFont="1" applyFill="1" applyBorder="1"/>
    <xf numFmtId="0" fontId="24" fillId="4" borderId="0" xfId="0" quotePrefix="1" applyFont="1" applyFill="1"/>
    <xf numFmtId="164" fontId="2" fillId="0" borderId="0" xfId="0" applyNumberFormat="1" applyFont="1" applyFill="1" applyBorder="1" applyAlignment="1">
      <alignment horizontal="right"/>
    </xf>
    <xf numFmtId="0" fontId="1" fillId="0" borderId="0" xfId="0" applyFont="1" applyBorder="1"/>
    <xf numFmtId="3" fontId="2" fillId="4" borderId="0" xfId="0" applyNumberFormat="1" applyFont="1" applyFill="1" applyBorder="1" applyAlignment="1">
      <alignment horizontal="right"/>
    </xf>
    <xf numFmtId="0" fontId="1" fillId="0" borderId="0" xfId="0" applyFont="1" applyFill="1"/>
    <xf numFmtId="164" fontId="2" fillId="0" borderId="0" xfId="0" applyNumberFormat="1" applyFont="1" applyFill="1"/>
    <xf numFmtId="49" fontId="1" fillId="0" borderId="0" xfId="0" applyNumberFormat="1" applyFont="1" applyFill="1" applyBorder="1" applyAlignment="1">
      <alignment horizontal="left"/>
    </xf>
    <xf numFmtId="0" fontId="1" fillId="4" borderId="0" xfId="0" applyFont="1" applyFill="1" applyBorder="1"/>
    <xf numFmtId="0" fontId="12" fillId="0" borderId="0" xfId="2" applyFont="1" applyAlignment="1">
      <alignment horizontal="left" vertical="top" wrapText="1"/>
    </xf>
    <xf numFmtId="0" fontId="12" fillId="0" borderId="0" xfId="2" applyFont="1" applyAlignment="1">
      <alignment horizontal="left"/>
    </xf>
    <xf numFmtId="0" fontId="2" fillId="0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left" vertical="center" wrapText="1"/>
    </xf>
    <xf numFmtId="2" fontId="2" fillId="0" borderId="0" xfId="0" applyNumberFormat="1" applyFont="1" applyFill="1" applyAlignment="1">
      <alignment horizontal="right" vertical="center"/>
    </xf>
    <xf numFmtId="0" fontId="7" fillId="0" borderId="0" xfId="0" applyFont="1" applyFill="1" applyAlignment="1">
      <alignment horizontal="left" vertic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</cellXfs>
  <cellStyles count="6">
    <cellStyle name="Comma" xfId="1" builtinId="3"/>
    <cellStyle name="Normal" xfId="0" builtinId="0"/>
    <cellStyle name="Normal 2" xfId="4"/>
    <cellStyle name="Normal 2 2" xfId="5"/>
    <cellStyle name="Normal 3" xfId="3"/>
    <cellStyle name="Normal 4" xfId="2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abSelected="1" workbookViewId="0">
      <selection activeCell="F16" sqref="F16"/>
    </sheetView>
  </sheetViews>
  <sheetFormatPr defaultRowHeight="13.2" x14ac:dyDescent="0.25"/>
  <cols>
    <col min="1" max="2" width="8.796875" style="19"/>
    <col min="3" max="3" width="10.59765625" style="19" customWidth="1"/>
    <col min="4" max="16384" width="8.796875" style="19"/>
  </cols>
  <sheetData>
    <row r="1" spans="1:4" x14ac:dyDescent="0.25">
      <c r="A1" s="18" t="s">
        <v>160</v>
      </c>
    </row>
    <row r="2" spans="1:4" x14ac:dyDescent="0.25">
      <c r="A2" s="18" t="s">
        <v>161</v>
      </c>
    </row>
    <row r="4" spans="1:4" x14ac:dyDescent="0.25">
      <c r="A4" s="18" t="s">
        <v>343</v>
      </c>
    </row>
    <row r="5" spans="1:4" x14ac:dyDescent="0.25">
      <c r="A5" s="18" t="s">
        <v>162</v>
      </c>
    </row>
    <row r="6" spans="1:4" s="21" customFormat="1" x14ac:dyDescent="0.25">
      <c r="A6" s="20"/>
    </row>
    <row r="7" spans="1:4" x14ac:dyDescent="0.25">
      <c r="A7" s="18" t="s">
        <v>163</v>
      </c>
    </row>
    <row r="8" spans="1:4" x14ac:dyDescent="0.25">
      <c r="A8" s="18" t="s">
        <v>164</v>
      </c>
    </row>
    <row r="9" spans="1:4" x14ac:dyDescent="0.25">
      <c r="A9" s="18"/>
    </row>
    <row r="10" spans="1:4" x14ac:dyDescent="0.25">
      <c r="A10" s="22" t="s">
        <v>165</v>
      </c>
    </row>
    <row r="11" spans="1:4" x14ac:dyDescent="0.25">
      <c r="A11" s="150" t="s">
        <v>214</v>
      </c>
      <c r="B11" s="150"/>
      <c r="C11" s="150"/>
      <c r="D11" s="23" t="s">
        <v>166</v>
      </c>
    </row>
    <row r="12" spans="1:4" x14ac:dyDescent="0.25">
      <c r="A12" s="150" t="s">
        <v>215</v>
      </c>
      <c r="B12" s="150"/>
      <c r="C12" s="150"/>
      <c r="D12" s="23" t="s">
        <v>167</v>
      </c>
    </row>
    <row r="13" spans="1:4" x14ac:dyDescent="0.25">
      <c r="A13" s="150" t="s">
        <v>168</v>
      </c>
      <c r="B13" s="150"/>
      <c r="C13" s="150"/>
      <c r="D13" s="23" t="s">
        <v>169</v>
      </c>
    </row>
    <row r="14" spans="1:4" x14ac:dyDescent="0.25">
      <c r="A14" s="150" t="s">
        <v>170</v>
      </c>
      <c r="B14" s="150"/>
      <c r="C14" s="150"/>
      <c r="D14" s="23" t="s">
        <v>171</v>
      </c>
    </row>
    <row r="15" spans="1:4" x14ac:dyDescent="0.25">
      <c r="A15" s="150" t="s">
        <v>172</v>
      </c>
      <c r="B15" s="150"/>
      <c r="C15" s="150"/>
      <c r="D15" s="23" t="s">
        <v>173</v>
      </c>
    </row>
    <row r="16" spans="1:4" x14ac:dyDescent="0.25">
      <c r="A16" s="150" t="s">
        <v>174</v>
      </c>
      <c r="B16" s="150"/>
      <c r="C16" s="150"/>
      <c r="D16" s="23" t="s">
        <v>175</v>
      </c>
    </row>
    <row r="17" spans="1:16" x14ac:dyDescent="0.25">
      <c r="A17" s="24" t="s">
        <v>176</v>
      </c>
      <c r="B17" s="24"/>
      <c r="C17" s="24"/>
      <c r="D17" s="23" t="s">
        <v>177</v>
      </c>
    </row>
    <row r="19" spans="1:16" x14ac:dyDescent="0.25">
      <c r="A19" s="22" t="s">
        <v>178</v>
      </c>
    </row>
    <row r="20" spans="1:16" ht="25.8" customHeight="1" x14ac:dyDescent="0.25">
      <c r="A20" s="149" t="s">
        <v>179</v>
      </c>
      <c r="B20" s="149"/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</row>
    <row r="21" spans="1:16" x14ac:dyDescent="0.25">
      <c r="A21" s="19" t="s">
        <v>180</v>
      </c>
    </row>
    <row r="22" spans="1:16" x14ac:dyDescent="0.25">
      <c r="C22" s="18" t="s">
        <v>181</v>
      </c>
    </row>
  </sheetData>
  <mergeCells count="7">
    <mergeCell ref="A20:P20"/>
    <mergeCell ref="A11:C11"/>
    <mergeCell ref="A12:C12"/>
    <mergeCell ref="A13:C13"/>
    <mergeCell ref="A14:C14"/>
    <mergeCell ref="A15:C15"/>
    <mergeCell ref="A16:C16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D29"/>
  <sheetViews>
    <sheetView zoomScaleNormal="100" workbookViewId="0">
      <pane xSplit="2" ySplit="8" topLeftCell="BR9" activePane="bottomRight" state="frozenSplit"/>
      <selection activeCell="E19" sqref="E19"/>
      <selection pane="topRight" activeCell="E19" sqref="E19"/>
      <selection pane="bottomLeft" activeCell="E19" sqref="E19"/>
      <selection pane="bottomRight" activeCell="BT27" sqref="BT27"/>
    </sheetView>
  </sheetViews>
  <sheetFormatPr defaultColWidth="8.69921875" defaultRowHeight="12" x14ac:dyDescent="0.2"/>
  <cols>
    <col min="1" max="1" width="5.796875" style="27" customWidth="1"/>
    <col min="2" max="2" width="12.5" style="26" customWidth="1"/>
    <col min="3" max="3" width="8" style="26" customWidth="1"/>
    <col min="4" max="4" width="13.59765625" style="26" bestFit="1" customWidth="1"/>
    <col min="5" max="7" width="8" style="26" customWidth="1"/>
    <col min="8" max="8" width="9.09765625" style="26" bestFit="1" customWidth="1"/>
    <col min="9" max="9" width="10.5" style="26" bestFit="1" customWidth="1"/>
    <col min="10" max="11" width="11.3984375" style="26" bestFit="1" customWidth="1"/>
    <col min="12" max="12" width="8" style="26" customWidth="1"/>
    <col min="13" max="13" width="10.09765625" style="26" bestFit="1" customWidth="1"/>
    <col min="14" max="20" width="8" style="26" customWidth="1"/>
    <col min="21" max="21" width="12" style="26" bestFit="1" customWidth="1"/>
    <col min="22" max="22" width="10.5" style="26" bestFit="1" customWidth="1"/>
    <col min="23" max="23" width="8" style="26" customWidth="1"/>
    <col min="24" max="24" width="9.296875" style="26" bestFit="1" customWidth="1"/>
    <col min="25" max="25" width="8" style="26" customWidth="1"/>
    <col min="26" max="26" width="9.09765625" style="26" bestFit="1" customWidth="1"/>
    <col min="27" max="28" width="8" style="26" customWidth="1"/>
    <col min="29" max="29" width="10.5" style="26" customWidth="1"/>
    <col min="30" max="30" width="8" style="26" customWidth="1"/>
    <col min="31" max="31" width="13.09765625" style="26" bestFit="1" customWidth="1"/>
    <col min="32" max="32" width="9.296875" style="26" bestFit="1" customWidth="1"/>
    <col min="33" max="33" width="9.19921875" style="26" bestFit="1" customWidth="1"/>
    <col min="34" max="34" width="9.3984375" style="26" bestFit="1" customWidth="1"/>
    <col min="35" max="35" width="8" style="26" customWidth="1"/>
    <col min="36" max="37" width="12.5" style="26" bestFit="1" customWidth="1"/>
    <col min="38" max="38" width="10.09765625" style="26" bestFit="1" customWidth="1"/>
    <col min="39" max="39" width="10.8984375" style="26" bestFit="1" customWidth="1"/>
    <col min="40" max="40" width="9.296875" style="26" bestFit="1" customWidth="1"/>
    <col min="41" max="42" width="8" style="26" customWidth="1"/>
    <col min="43" max="43" width="10.19921875" style="26" bestFit="1" customWidth="1"/>
    <col min="44" max="45" width="8" style="26" customWidth="1"/>
    <col min="46" max="46" width="9.19921875" style="26" bestFit="1" customWidth="1"/>
    <col min="47" max="48" width="10.69921875" style="26" bestFit="1" customWidth="1"/>
    <col min="49" max="49" width="10.69921875" style="26" customWidth="1"/>
    <col min="50" max="52" width="8.69921875" style="26" bestFit="1" customWidth="1"/>
    <col min="53" max="53" width="9.3984375" style="26" bestFit="1" customWidth="1"/>
    <col min="54" max="54" width="12.296875" style="26" bestFit="1" customWidth="1"/>
    <col min="55" max="60" width="8" style="26" customWidth="1"/>
    <col min="61" max="62" width="9.5" style="26" bestFit="1" customWidth="1"/>
    <col min="63" max="63" width="10.09765625" style="26" bestFit="1" customWidth="1"/>
    <col min="64" max="68" width="8" style="26" customWidth="1"/>
    <col min="69" max="70" width="10.19921875" style="26" bestFit="1" customWidth="1"/>
    <col min="71" max="72" width="8" style="26" customWidth="1"/>
    <col min="73" max="74" width="10.19921875" style="26" bestFit="1" customWidth="1"/>
    <col min="75" max="76" width="10.5" style="26" bestFit="1" customWidth="1"/>
    <col min="77" max="85" width="8" style="26" customWidth="1"/>
    <col min="86" max="86" width="10.296875" style="26" bestFit="1" customWidth="1"/>
    <col min="87" max="89" width="8" style="26" customWidth="1"/>
    <col min="90" max="90" width="10.19921875" style="26" bestFit="1" customWidth="1"/>
    <col min="91" max="91" width="9" style="26" bestFit="1" customWidth="1"/>
    <col min="92" max="96" width="8" style="26" customWidth="1"/>
    <col min="97" max="97" width="10.09765625" style="26" bestFit="1" customWidth="1"/>
    <col min="98" max="104" width="8" style="26" customWidth="1"/>
    <col min="105" max="105" width="9.8984375" style="26" bestFit="1" customWidth="1"/>
    <col min="106" max="106" width="9.69921875" style="26" bestFit="1" customWidth="1"/>
    <col min="107" max="107" width="8.69921875" style="26" bestFit="1" customWidth="1"/>
    <col min="108" max="108" width="8" style="26" customWidth="1"/>
    <col min="109" max="109" width="9.19921875" style="26" bestFit="1" customWidth="1"/>
    <col min="110" max="113" width="8.09765625" style="26" customWidth="1"/>
    <col min="114" max="114" width="10.3984375" style="26" bestFit="1" customWidth="1"/>
    <col min="115" max="115" width="8.09765625" style="26" customWidth="1"/>
    <col min="116" max="116" width="10.19921875" style="26" bestFit="1" customWidth="1"/>
    <col min="117" max="118" width="9" style="26" bestFit="1" customWidth="1"/>
    <col min="119" max="119" width="8.09765625" style="26" customWidth="1"/>
    <col min="120" max="120" width="10.296875" style="26" customWidth="1"/>
    <col min="121" max="121" width="9.796875" style="26" customWidth="1"/>
    <col min="122" max="126" width="8.09765625" style="26" customWidth="1"/>
    <col min="127" max="127" width="9.5" style="26" customWidth="1"/>
    <col min="128" max="128" width="9.3984375" style="26" bestFit="1" customWidth="1"/>
    <col min="129" max="134" width="8.09765625" style="26" customWidth="1"/>
    <col min="135" max="135" width="10.19921875" style="26" bestFit="1" customWidth="1"/>
    <col min="136" max="136" width="8.09765625" style="26" customWidth="1"/>
    <col min="137" max="137" width="11.59765625" style="26" bestFit="1" customWidth="1"/>
    <col min="138" max="142" width="8.09765625" style="26" customWidth="1"/>
    <col min="143" max="143" width="9.19921875" style="26" bestFit="1" customWidth="1"/>
    <col min="144" max="147" width="8.09765625" style="26" customWidth="1"/>
    <col min="148" max="148" width="10.5" style="26" bestFit="1" customWidth="1"/>
    <col min="149" max="233" width="8.69921875" style="26"/>
    <col min="234" max="234" width="5.796875" style="26" customWidth="1"/>
    <col min="235" max="235" width="12.5" style="26" customWidth="1"/>
    <col min="236" max="236" width="12.8984375" style="26" customWidth="1"/>
    <col min="237" max="253" width="8.69921875" style="26"/>
    <col min="254" max="254" width="10.796875" style="26" customWidth="1"/>
    <col min="255" max="255" width="11.5" style="26" customWidth="1"/>
    <col min="256" max="256" width="10" style="26" customWidth="1"/>
    <col min="257" max="257" width="10.796875" style="26" customWidth="1"/>
    <col min="258" max="258" width="8.69921875" style="26"/>
    <col min="259" max="259" width="13.796875" style="26" customWidth="1"/>
    <col min="260" max="260" width="13.69921875" style="26" customWidth="1"/>
    <col min="261" max="261" width="19.296875" style="26" customWidth="1"/>
    <col min="262" max="277" width="8.69921875" style="26"/>
    <col min="278" max="279" width="12.09765625" style="26" customWidth="1"/>
    <col min="280" max="280" width="8.69921875" style="26"/>
    <col min="281" max="281" width="12.5" style="26" customWidth="1"/>
    <col min="282" max="282" width="9.59765625" style="26" customWidth="1"/>
    <col min="283" max="283" width="15.59765625" style="26" customWidth="1"/>
    <col min="284" max="285" width="11.3984375" style="26" customWidth="1"/>
    <col min="286" max="286" width="10.09765625" style="26" customWidth="1"/>
    <col min="287" max="287" width="16.5" style="26" customWidth="1"/>
    <col min="288" max="288" width="11.59765625" style="26" customWidth="1"/>
    <col min="289" max="290" width="11.8984375" style="26" customWidth="1"/>
    <col min="291" max="291" width="9.796875" style="26" customWidth="1"/>
    <col min="292" max="292" width="10" style="26" customWidth="1"/>
    <col min="293" max="293" width="13.69921875" style="26" customWidth="1"/>
    <col min="294" max="294" width="8.69921875" style="26"/>
    <col min="295" max="295" width="9.8984375" style="26" customWidth="1"/>
    <col min="296" max="296" width="9.69921875" style="26" customWidth="1"/>
    <col min="297" max="297" width="10.296875" style="26" customWidth="1"/>
    <col min="298" max="298" width="3.59765625" style="26" customWidth="1"/>
    <col min="299" max="489" width="8.69921875" style="26"/>
    <col min="490" max="490" width="5.796875" style="26" customWidth="1"/>
    <col min="491" max="491" width="12.5" style="26" customWidth="1"/>
    <col min="492" max="492" width="12.8984375" style="26" customWidth="1"/>
    <col min="493" max="509" width="8.69921875" style="26"/>
    <col min="510" max="510" width="10.796875" style="26" customWidth="1"/>
    <col min="511" max="511" width="11.5" style="26" customWidth="1"/>
    <col min="512" max="512" width="10" style="26" customWidth="1"/>
    <col min="513" max="513" width="10.796875" style="26" customWidth="1"/>
    <col min="514" max="514" width="8.69921875" style="26"/>
    <col min="515" max="515" width="13.796875" style="26" customWidth="1"/>
    <col min="516" max="516" width="13.69921875" style="26" customWidth="1"/>
    <col min="517" max="517" width="19.296875" style="26" customWidth="1"/>
    <col min="518" max="533" width="8.69921875" style="26"/>
    <col min="534" max="535" width="12.09765625" style="26" customWidth="1"/>
    <col min="536" max="536" width="8.69921875" style="26"/>
    <col min="537" max="537" width="12.5" style="26" customWidth="1"/>
    <col min="538" max="538" width="9.59765625" style="26" customWidth="1"/>
    <col min="539" max="539" width="15.59765625" style="26" customWidth="1"/>
    <col min="540" max="541" width="11.3984375" style="26" customWidth="1"/>
    <col min="542" max="542" width="10.09765625" style="26" customWidth="1"/>
    <col min="543" max="543" width="16.5" style="26" customWidth="1"/>
    <col min="544" max="544" width="11.59765625" style="26" customWidth="1"/>
    <col min="545" max="546" width="11.8984375" style="26" customWidth="1"/>
    <col min="547" max="547" width="9.796875" style="26" customWidth="1"/>
    <col min="548" max="548" width="10" style="26" customWidth="1"/>
    <col min="549" max="549" width="13.69921875" style="26" customWidth="1"/>
    <col min="550" max="550" width="8.69921875" style="26"/>
    <col min="551" max="551" width="9.8984375" style="26" customWidth="1"/>
    <col min="552" max="552" width="9.69921875" style="26" customWidth="1"/>
    <col min="553" max="553" width="10.296875" style="26" customWidth="1"/>
    <col min="554" max="554" width="3.59765625" style="26" customWidth="1"/>
    <col min="555" max="745" width="8.69921875" style="26"/>
    <col min="746" max="746" width="5.796875" style="26" customWidth="1"/>
    <col min="747" max="747" width="12.5" style="26" customWidth="1"/>
    <col min="748" max="748" width="12.8984375" style="26" customWidth="1"/>
    <col min="749" max="765" width="8.69921875" style="26"/>
    <col min="766" max="766" width="10.796875" style="26" customWidth="1"/>
    <col min="767" max="767" width="11.5" style="26" customWidth="1"/>
    <col min="768" max="768" width="10" style="26" customWidth="1"/>
    <col min="769" max="769" width="10.796875" style="26" customWidth="1"/>
    <col min="770" max="770" width="8.69921875" style="26"/>
    <col min="771" max="771" width="13.796875" style="26" customWidth="1"/>
    <col min="772" max="772" width="13.69921875" style="26" customWidth="1"/>
    <col min="773" max="773" width="19.296875" style="26" customWidth="1"/>
    <col min="774" max="789" width="8.69921875" style="26"/>
    <col min="790" max="791" width="12.09765625" style="26" customWidth="1"/>
    <col min="792" max="792" width="8.69921875" style="26"/>
    <col min="793" max="793" width="12.5" style="26" customWidth="1"/>
    <col min="794" max="794" width="9.59765625" style="26" customWidth="1"/>
    <col min="795" max="795" width="15.59765625" style="26" customWidth="1"/>
    <col min="796" max="797" width="11.3984375" style="26" customWidth="1"/>
    <col min="798" max="798" width="10.09765625" style="26" customWidth="1"/>
    <col min="799" max="799" width="16.5" style="26" customWidth="1"/>
    <col min="800" max="800" width="11.59765625" style="26" customWidth="1"/>
    <col min="801" max="802" width="11.8984375" style="26" customWidth="1"/>
    <col min="803" max="803" width="9.796875" style="26" customWidth="1"/>
    <col min="804" max="804" width="10" style="26" customWidth="1"/>
    <col min="805" max="805" width="13.69921875" style="26" customWidth="1"/>
    <col min="806" max="806" width="8.69921875" style="26"/>
    <col min="807" max="807" width="9.8984375" style="26" customWidth="1"/>
    <col min="808" max="808" width="9.69921875" style="26" customWidth="1"/>
    <col min="809" max="809" width="10.296875" style="26" customWidth="1"/>
    <col min="810" max="810" width="3.59765625" style="26" customWidth="1"/>
    <col min="811" max="1001" width="8.69921875" style="26"/>
    <col min="1002" max="1002" width="5.796875" style="26" customWidth="1"/>
    <col min="1003" max="1003" width="12.5" style="26" customWidth="1"/>
    <col min="1004" max="1004" width="12.8984375" style="26" customWidth="1"/>
    <col min="1005" max="1021" width="8.69921875" style="26"/>
    <col min="1022" max="1022" width="10.796875" style="26" customWidth="1"/>
    <col min="1023" max="1023" width="11.5" style="26" customWidth="1"/>
    <col min="1024" max="1024" width="10" style="26" customWidth="1"/>
    <col min="1025" max="1025" width="10.796875" style="26" customWidth="1"/>
    <col min="1026" max="1026" width="8.69921875" style="26"/>
    <col min="1027" max="1027" width="13.796875" style="26" customWidth="1"/>
    <col min="1028" max="1028" width="13.69921875" style="26" customWidth="1"/>
    <col min="1029" max="1029" width="19.296875" style="26" customWidth="1"/>
    <col min="1030" max="1045" width="8.69921875" style="26"/>
    <col min="1046" max="1047" width="12.09765625" style="26" customWidth="1"/>
    <col min="1048" max="1048" width="8.69921875" style="26"/>
    <col min="1049" max="1049" width="12.5" style="26" customWidth="1"/>
    <col min="1050" max="1050" width="9.59765625" style="26" customWidth="1"/>
    <col min="1051" max="1051" width="15.59765625" style="26" customWidth="1"/>
    <col min="1052" max="1053" width="11.3984375" style="26" customWidth="1"/>
    <col min="1054" max="1054" width="10.09765625" style="26" customWidth="1"/>
    <col min="1055" max="1055" width="16.5" style="26" customWidth="1"/>
    <col min="1056" max="1056" width="11.59765625" style="26" customWidth="1"/>
    <col min="1057" max="1058" width="11.8984375" style="26" customWidth="1"/>
    <col min="1059" max="1059" width="9.796875" style="26" customWidth="1"/>
    <col min="1060" max="1060" width="10" style="26" customWidth="1"/>
    <col min="1061" max="1061" width="13.69921875" style="26" customWidth="1"/>
    <col min="1062" max="1062" width="8.69921875" style="26"/>
    <col min="1063" max="1063" width="9.8984375" style="26" customWidth="1"/>
    <col min="1064" max="1064" width="9.69921875" style="26" customWidth="1"/>
    <col min="1065" max="1065" width="10.296875" style="26" customWidth="1"/>
    <col min="1066" max="1066" width="3.59765625" style="26" customWidth="1"/>
    <col min="1067" max="1257" width="8.69921875" style="26"/>
    <col min="1258" max="1258" width="5.796875" style="26" customWidth="1"/>
    <col min="1259" max="1259" width="12.5" style="26" customWidth="1"/>
    <col min="1260" max="1260" width="12.8984375" style="26" customWidth="1"/>
    <col min="1261" max="1277" width="8.69921875" style="26"/>
    <col min="1278" max="1278" width="10.796875" style="26" customWidth="1"/>
    <col min="1279" max="1279" width="11.5" style="26" customWidth="1"/>
    <col min="1280" max="1280" width="10" style="26" customWidth="1"/>
    <col min="1281" max="1281" width="10.796875" style="26" customWidth="1"/>
    <col min="1282" max="1282" width="8.69921875" style="26"/>
    <col min="1283" max="1283" width="13.796875" style="26" customWidth="1"/>
    <col min="1284" max="1284" width="13.69921875" style="26" customWidth="1"/>
    <col min="1285" max="1285" width="19.296875" style="26" customWidth="1"/>
    <col min="1286" max="1301" width="8.69921875" style="26"/>
    <col min="1302" max="1303" width="12.09765625" style="26" customWidth="1"/>
    <col min="1304" max="1304" width="8.69921875" style="26"/>
    <col min="1305" max="1305" width="12.5" style="26" customWidth="1"/>
    <col min="1306" max="1306" width="9.59765625" style="26" customWidth="1"/>
    <col min="1307" max="1307" width="15.59765625" style="26" customWidth="1"/>
    <col min="1308" max="1309" width="11.3984375" style="26" customWidth="1"/>
    <col min="1310" max="1310" width="10.09765625" style="26" customWidth="1"/>
    <col min="1311" max="1311" width="16.5" style="26" customWidth="1"/>
    <col min="1312" max="1312" width="11.59765625" style="26" customWidth="1"/>
    <col min="1313" max="1314" width="11.8984375" style="26" customWidth="1"/>
    <col min="1315" max="1315" width="9.796875" style="26" customWidth="1"/>
    <col min="1316" max="1316" width="10" style="26" customWidth="1"/>
    <col min="1317" max="1317" width="13.69921875" style="26" customWidth="1"/>
    <col min="1318" max="1318" width="8.69921875" style="26"/>
    <col min="1319" max="1319" width="9.8984375" style="26" customWidth="1"/>
    <col min="1320" max="1320" width="9.69921875" style="26" customWidth="1"/>
    <col min="1321" max="1321" width="10.296875" style="26" customWidth="1"/>
    <col min="1322" max="1322" width="3.59765625" style="26" customWidth="1"/>
    <col min="1323" max="1513" width="8.69921875" style="26"/>
    <col min="1514" max="1514" width="5.796875" style="26" customWidth="1"/>
    <col min="1515" max="1515" width="12.5" style="26" customWidth="1"/>
    <col min="1516" max="1516" width="12.8984375" style="26" customWidth="1"/>
    <col min="1517" max="1533" width="8.69921875" style="26"/>
    <col min="1534" max="1534" width="10.796875" style="26" customWidth="1"/>
    <col min="1535" max="1535" width="11.5" style="26" customWidth="1"/>
    <col min="1536" max="1536" width="10" style="26" customWidth="1"/>
    <col min="1537" max="1537" width="10.796875" style="26" customWidth="1"/>
    <col min="1538" max="1538" width="8.69921875" style="26"/>
    <col min="1539" max="1539" width="13.796875" style="26" customWidth="1"/>
    <col min="1540" max="1540" width="13.69921875" style="26" customWidth="1"/>
    <col min="1541" max="1541" width="19.296875" style="26" customWidth="1"/>
    <col min="1542" max="1557" width="8.69921875" style="26"/>
    <col min="1558" max="1559" width="12.09765625" style="26" customWidth="1"/>
    <col min="1560" max="1560" width="8.69921875" style="26"/>
    <col min="1561" max="1561" width="12.5" style="26" customWidth="1"/>
    <col min="1562" max="1562" width="9.59765625" style="26" customWidth="1"/>
    <col min="1563" max="1563" width="15.59765625" style="26" customWidth="1"/>
    <col min="1564" max="1565" width="11.3984375" style="26" customWidth="1"/>
    <col min="1566" max="1566" width="10.09765625" style="26" customWidth="1"/>
    <col min="1567" max="1567" width="16.5" style="26" customWidth="1"/>
    <col min="1568" max="1568" width="11.59765625" style="26" customWidth="1"/>
    <col min="1569" max="1570" width="11.8984375" style="26" customWidth="1"/>
    <col min="1571" max="1571" width="9.796875" style="26" customWidth="1"/>
    <col min="1572" max="1572" width="10" style="26" customWidth="1"/>
    <col min="1573" max="1573" width="13.69921875" style="26" customWidth="1"/>
    <col min="1574" max="1574" width="8.69921875" style="26"/>
    <col min="1575" max="1575" width="9.8984375" style="26" customWidth="1"/>
    <col min="1576" max="1576" width="9.69921875" style="26" customWidth="1"/>
    <col min="1577" max="1577" width="10.296875" style="26" customWidth="1"/>
    <col min="1578" max="1578" width="3.59765625" style="26" customWidth="1"/>
    <col min="1579" max="1769" width="8.69921875" style="26"/>
    <col min="1770" max="1770" width="5.796875" style="26" customWidth="1"/>
    <col min="1771" max="1771" width="12.5" style="26" customWidth="1"/>
    <col min="1772" max="1772" width="12.8984375" style="26" customWidth="1"/>
    <col min="1773" max="1789" width="8.69921875" style="26"/>
    <col min="1790" max="1790" width="10.796875" style="26" customWidth="1"/>
    <col min="1791" max="1791" width="11.5" style="26" customWidth="1"/>
    <col min="1792" max="1792" width="10" style="26" customWidth="1"/>
    <col min="1793" max="1793" width="10.796875" style="26" customWidth="1"/>
    <col min="1794" max="1794" width="8.69921875" style="26"/>
    <col min="1795" max="1795" width="13.796875" style="26" customWidth="1"/>
    <col min="1796" max="1796" width="13.69921875" style="26" customWidth="1"/>
    <col min="1797" max="1797" width="19.296875" style="26" customWidth="1"/>
    <col min="1798" max="1813" width="8.69921875" style="26"/>
    <col min="1814" max="1815" width="12.09765625" style="26" customWidth="1"/>
    <col min="1816" max="1816" width="8.69921875" style="26"/>
    <col min="1817" max="1817" width="12.5" style="26" customWidth="1"/>
    <col min="1818" max="1818" width="9.59765625" style="26" customWidth="1"/>
    <col min="1819" max="1819" width="15.59765625" style="26" customWidth="1"/>
    <col min="1820" max="1821" width="11.3984375" style="26" customWidth="1"/>
    <col min="1822" max="1822" width="10.09765625" style="26" customWidth="1"/>
    <col min="1823" max="1823" width="16.5" style="26" customWidth="1"/>
    <col min="1824" max="1824" width="11.59765625" style="26" customWidth="1"/>
    <col min="1825" max="1826" width="11.8984375" style="26" customWidth="1"/>
    <col min="1827" max="1827" width="9.796875" style="26" customWidth="1"/>
    <col min="1828" max="1828" width="10" style="26" customWidth="1"/>
    <col min="1829" max="1829" width="13.69921875" style="26" customWidth="1"/>
    <col min="1830" max="1830" width="8.69921875" style="26"/>
    <col min="1831" max="1831" width="9.8984375" style="26" customWidth="1"/>
    <col min="1832" max="1832" width="9.69921875" style="26" customWidth="1"/>
    <col min="1833" max="1833" width="10.296875" style="26" customWidth="1"/>
    <col min="1834" max="1834" width="3.59765625" style="26" customWidth="1"/>
    <col min="1835" max="2025" width="8.69921875" style="26"/>
    <col min="2026" max="2026" width="5.796875" style="26" customWidth="1"/>
    <col min="2027" max="2027" width="12.5" style="26" customWidth="1"/>
    <col min="2028" max="2028" width="12.8984375" style="26" customWidth="1"/>
    <col min="2029" max="2045" width="8.69921875" style="26"/>
    <col min="2046" max="2046" width="10.796875" style="26" customWidth="1"/>
    <col min="2047" max="2047" width="11.5" style="26" customWidth="1"/>
    <col min="2048" max="2048" width="10" style="26" customWidth="1"/>
    <col min="2049" max="2049" width="10.796875" style="26" customWidth="1"/>
    <col min="2050" max="2050" width="8.69921875" style="26"/>
    <col min="2051" max="2051" width="13.796875" style="26" customWidth="1"/>
    <col min="2052" max="2052" width="13.69921875" style="26" customWidth="1"/>
    <col min="2053" max="2053" width="19.296875" style="26" customWidth="1"/>
    <col min="2054" max="2069" width="8.69921875" style="26"/>
    <col min="2070" max="2071" width="12.09765625" style="26" customWidth="1"/>
    <col min="2072" max="2072" width="8.69921875" style="26"/>
    <col min="2073" max="2073" width="12.5" style="26" customWidth="1"/>
    <col min="2074" max="2074" width="9.59765625" style="26" customWidth="1"/>
    <col min="2075" max="2075" width="15.59765625" style="26" customWidth="1"/>
    <col min="2076" max="2077" width="11.3984375" style="26" customWidth="1"/>
    <col min="2078" max="2078" width="10.09765625" style="26" customWidth="1"/>
    <col min="2079" max="2079" width="16.5" style="26" customWidth="1"/>
    <col min="2080" max="2080" width="11.59765625" style="26" customWidth="1"/>
    <col min="2081" max="2082" width="11.8984375" style="26" customWidth="1"/>
    <col min="2083" max="2083" width="9.796875" style="26" customWidth="1"/>
    <col min="2084" max="2084" width="10" style="26" customWidth="1"/>
    <col min="2085" max="2085" width="13.69921875" style="26" customWidth="1"/>
    <col min="2086" max="2086" width="8.69921875" style="26"/>
    <col min="2087" max="2087" width="9.8984375" style="26" customWidth="1"/>
    <col min="2088" max="2088" width="9.69921875" style="26" customWidth="1"/>
    <col min="2089" max="2089" width="10.296875" style="26" customWidth="1"/>
    <col min="2090" max="2090" width="3.59765625" style="26" customWidth="1"/>
    <col min="2091" max="2281" width="8.69921875" style="26"/>
    <col min="2282" max="2282" width="5.796875" style="26" customWidth="1"/>
    <col min="2283" max="2283" width="12.5" style="26" customWidth="1"/>
    <col min="2284" max="2284" width="12.8984375" style="26" customWidth="1"/>
    <col min="2285" max="2301" width="8.69921875" style="26"/>
    <col min="2302" max="2302" width="10.796875" style="26" customWidth="1"/>
    <col min="2303" max="2303" width="11.5" style="26" customWidth="1"/>
    <col min="2304" max="2304" width="10" style="26" customWidth="1"/>
    <col min="2305" max="2305" width="10.796875" style="26" customWidth="1"/>
    <col min="2306" max="2306" width="8.69921875" style="26"/>
    <col min="2307" max="2307" width="13.796875" style="26" customWidth="1"/>
    <col min="2308" max="2308" width="13.69921875" style="26" customWidth="1"/>
    <col min="2309" max="2309" width="19.296875" style="26" customWidth="1"/>
    <col min="2310" max="2325" width="8.69921875" style="26"/>
    <col min="2326" max="2327" width="12.09765625" style="26" customWidth="1"/>
    <col min="2328" max="2328" width="8.69921875" style="26"/>
    <col min="2329" max="2329" width="12.5" style="26" customWidth="1"/>
    <col min="2330" max="2330" width="9.59765625" style="26" customWidth="1"/>
    <col min="2331" max="2331" width="15.59765625" style="26" customWidth="1"/>
    <col min="2332" max="2333" width="11.3984375" style="26" customWidth="1"/>
    <col min="2334" max="2334" width="10.09765625" style="26" customWidth="1"/>
    <col min="2335" max="2335" width="16.5" style="26" customWidth="1"/>
    <col min="2336" max="2336" width="11.59765625" style="26" customWidth="1"/>
    <col min="2337" max="2338" width="11.8984375" style="26" customWidth="1"/>
    <col min="2339" max="2339" width="9.796875" style="26" customWidth="1"/>
    <col min="2340" max="2340" width="10" style="26" customWidth="1"/>
    <col min="2341" max="2341" width="13.69921875" style="26" customWidth="1"/>
    <col min="2342" max="2342" width="8.69921875" style="26"/>
    <col min="2343" max="2343" width="9.8984375" style="26" customWidth="1"/>
    <col min="2344" max="2344" width="9.69921875" style="26" customWidth="1"/>
    <col min="2345" max="2345" width="10.296875" style="26" customWidth="1"/>
    <col min="2346" max="2346" width="3.59765625" style="26" customWidth="1"/>
    <col min="2347" max="2537" width="8.69921875" style="26"/>
    <col min="2538" max="2538" width="5.796875" style="26" customWidth="1"/>
    <col min="2539" max="2539" width="12.5" style="26" customWidth="1"/>
    <col min="2540" max="2540" width="12.8984375" style="26" customWidth="1"/>
    <col min="2541" max="2557" width="8.69921875" style="26"/>
    <col min="2558" max="2558" width="10.796875" style="26" customWidth="1"/>
    <col min="2559" max="2559" width="11.5" style="26" customWidth="1"/>
    <col min="2560" max="2560" width="10" style="26" customWidth="1"/>
    <col min="2561" max="2561" width="10.796875" style="26" customWidth="1"/>
    <col min="2562" max="2562" width="8.69921875" style="26"/>
    <col min="2563" max="2563" width="13.796875" style="26" customWidth="1"/>
    <col min="2564" max="2564" width="13.69921875" style="26" customWidth="1"/>
    <col min="2565" max="2565" width="19.296875" style="26" customWidth="1"/>
    <col min="2566" max="2581" width="8.69921875" style="26"/>
    <col min="2582" max="2583" width="12.09765625" style="26" customWidth="1"/>
    <col min="2584" max="2584" width="8.69921875" style="26"/>
    <col min="2585" max="2585" width="12.5" style="26" customWidth="1"/>
    <col min="2586" max="2586" width="9.59765625" style="26" customWidth="1"/>
    <col min="2587" max="2587" width="15.59765625" style="26" customWidth="1"/>
    <col min="2588" max="2589" width="11.3984375" style="26" customWidth="1"/>
    <col min="2590" max="2590" width="10.09765625" style="26" customWidth="1"/>
    <col min="2591" max="2591" width="16.5" style="26" customWidth="1"/>
    <col min="2592" max="2592" width="11.59765625" style="26" customWidth="1"/>
    <col min="2593" max="2594" width="11.8984375" style="26" customWidth="1"/>
    <col min="2595" max="2595" width="9.796875" style="26" customWidth="1"/>
    <col min="2596" max="2596" width="10" style="26" customWidth="1"/>
    <col min="2597" max="2597" width="13.69921875" style="26" customWidth="1"/>
    <col min="2598" max="2598" width="8.69921875" style="26"/>
    <col min="2599" max="2599" width="9.8984375" style="26" customWidth="1"/>
    <col min="2600" max="2600" width="9.69921875" style="26" customWidth="1"/>
    <col min="2601" max="2601" width="10.296875" style="26" customWidth="1"/>
    <col min="2602" max="2602" width="3.59765625" style="26" customWidth="1"/>
    <col min="2603" max="2793" width="8.69921875" style="26"/>
    <col min="2794" max="2794" width="5.796875" style="26" customWidth="1"/>
    <col min="2795" max="2795" width="12.5" style="26" customWidth="1"/>
    <col min="2796" max="2796" width="12.8984375" style="26" customWidth="1"/>
    <col min="2797" max="2813" width="8.69921875" style="26"/>
    <col min="2814" max="2814" width="10.796875" style="26" customWidth="1"/>
    <col min="2815" max="2815" width="11.5" style="26" customWidth="1"/>
    <col min="2816" max="2816" width="10" style="26" customWidth="1"/>
    <col min="2817" max="2817" width="10.796875" style="26" customWidth="1"/>
    <col min="2818" max="2818" width="8.69921875" style="26"/>
    <col min="2819" max="2819" width="13.796875" style="26" customWidth="1"/>
    <col min="2820" max="2820" width="13.69921875" style="26" customWidth="1"/>
    <col min="2821" max="2821" width="19.296875" style="26" customWidth="1"/>
    <col min="2822" max="2837" width="8.69921875" style="26"/>
    <col min="2838" max="2839" width="12.09765625" style="26" customWidth="1"/>
    <col min="2840" max="2840" width="8.69921875" style="26"/>
    <col min="2841" max="2841" width="12.5" style="26" customWidth="1"/>
    <col min="2842" max="2842" width="9.59765625" style="26" customWidth="1"/>
    <col min="2843" max="2843" width="15.59765625" style="26" customWidth="1"/>
    <col min="2844" max="2845" width="11.3984375" style="26" customWidth="1"/>
    <col min="2846" max="2846" width="10.09765625" style="26" customWidth="1"/>
    <col min="2847" max="2847" width="16.5" style="26" customWidth="1"/>
    <col min="2848" max="2848" width="11.59765625" style="26" customWidth="1"/>
    <col min="2849" max="2850" width="11.8984375" style="26" customWidth="1"/>
    <col min="2851" max="2851" width="9.796875" style="26" customWidth="1"/>
    <col min="2852" max="2852" width="10" style="26" customWidth="1"/>
    <col min="2853" max="2853" width="13.69921875" style="26" customWidth="1"/>
    <col min="2854" max="2854" width="8.69921875" style="26"/>
    <col min="2855" max="2855" width="9.8984375" style="26" customWidth="1"/>
    <col min="2856" max="2856" width="9.69921875" style="26" customWidth="1"/>
    <col min="2857" max="2857" width="10.296875" style="26" customWidth="1"/>
    <col min="2858" max="2858" width="3.59765625" style="26" customWidth="1"/>
    <col min="2859" max="3049" width="8.69921875" style="26"/>
    <col min="3050" max="3050" width="5.796875" style="26" customWidth="1"/>
    <col min="3051" max="3051" width="12.5" style="26" customWidth="1"/>
    <col min="3052" max="3052" width="12.8984375" style="26" customWidth="1"/>
    <col min="3053" max="3069" width="8.69921875" style="26"/>
    <col min="3070" max="3070" width="10.796875" style="26" customWidth="1"/>
    <col min="3071" max="3071" width="11.5" style="26" customWidth="1"/>
    <col min="3072" max="3072" width="10" style="26" customWidth="1"/>
    <col min="3073" max="3073" width="10.796875" style="26" customWidth="1"/>
    <col min="3074" max="3074" width="8.69921875" style="26"/>
    <col min="3075" max="3075" width="13.796875" style="26" customWidth="1"/>
    <col min="3076" max="3076" width="13.69921875" style="26" customWidth="1"/>
    <col min="3077" max="3077" width="19.296875" style="26" customWidth="1"/>
    <col min="3078" max="3093" width="8.69921875" style="26"/>
    <col min="3094" max="3095" width="12.09765625" style="26" customWidth="1"/>
    <col min="3096" max="3096" width="8.69921875" style="26"/>
    <col min="3097" max="3097" width="12.5" style="26" customWidth="1"/>
    <col min="3098" max="3098" width="9.59765625" style="26" customWidth="1"/>
    <col min="3099" max="3099" width="15.59765625" style="26" customWidth="1"/>
    <col min="3100" max="3101" width="11.3984375" style="26" customWidth="1"/>
    <col min="3102" max="3102" width="10.09765625" style="26" customWidth="1"/>
    <col min="3103" max="3103" width="16.5" style="26" customWidth="1"/>
    <col min="3104" max="3104" width="11.59765625" style="26" customWidth="1"/>
    <col min="3105" max="3106" width="11.8984375" style="26" customWidth="1"/>
    <col min="3107" max="3107" width="9.796875" style="26" customWidth="1"/>
    <col min="3108" max="3108" width="10" style="26" customWidth="1"/>
    <col min="3109" max="3109" width="13.69921875" style="26" customWidth="1"/>
    <col min="3110" max="3110" width="8.69921875" style="26"/>
    <col min="3111" max="3111" width="9.8984375" style="26" customWidth="1"/>
    <col min="3112" max="3112" width="9.69921875" style="26" customWidth="1"/>
    <col min="3113" max="3113" width="10.296875" style="26" customWidth="1"/>
    <col min="3114" max="3114" width="3.59765625" style="26" customWidth="1"/>
    <col min="3115" max="3305" width="8.69921875" style="26"/>
    <col min="3306" max="3306" width="5.796875" style="26" customWidth="1"/>
    <col min="3307" max="3307" width="12.5" style="26" customWidth="1"/>
    <col min="3308" max="3308" width="12.8984375" style="26" customWidth="1"/>
    <col min="3309" max="3325" width="8.69921875" style="26"/>
    <col min="3326" max="3326" width="10.796875" style="26" customWidth="1"/>
    <col min="3327" max="3327" width="11.5" style="26" customWidth="1"/>
    <col min="3328" max="3328" width="10" style="26" customWidth="1"/>
    <col min="3329" max="3329" width="10.796875" style="26" customWidth="1"/>
    <col min="3330" max="3330" width="8.69921875" style="26"/>
    <col min="3331" max="3331" width="13.796875" style="26" customWidth="1"/>
    <col min="3332" max="3332" width="13.69921875" style="26" customWidth="1"/>
    <col min="3333" max="3333" width="19.296875" style="26" customWidth="1"/>
    <col min="3334" max="3349" width="8.69921875" style="26"/>
    <col min="3350" max="3351" width="12.09765625" style="26" customWidth="1"/>
    <col min="3352" max="3352" width="8.69921875" style="26"/>
    <col min="3353" max="3353" width="12.5" style="26" customWidth="1"/>
    <col min="3354" max="3354" width="9.59765625" style="26" customWidth="1"/>
    <col min="3355" max="3355" width="15.59765625" style="26" customWidth="1"/>
    <col min="3356" max="3357" width="11.3984375" style="26" customWidth="1"/>
    <col min="3358" max="3358" width="10.09765625" style="26" customWidth="1"/>
    <col min="3359" max="3359" width="16.5" style="26" customWidth="1"/>
    <col min="3360" max="3360" width="11.59765625" style="26" customWidth="1"/>
    <col min="3361" max="3362" width="11.8984375" style="26" customWidth="1"/>
    <col min="3363" max="3363" width="9.796875" style="26" customWidth="1"/>
    <col min="3364" max="3364" width="10" style="26" customWidth="1"/>
    <col min="3365" max="3365" width="13.69921875" style="26" customWidth="1"/>
    <col min="3366" max="3366" width="8.69921875" style="26"/>
    <col min="3367" max="3367" width="9.8984375" style="26" customWidth="1"/>
    <col min="3368" max="3368" width="9.69921875" style="26" customWidth="1"/>
    <col min="3369" max="3369" width="10.296875" style="26" customWidth="1"/>
    <col min="3370" max="3370" width="3.59765625" style="26" customWidth="1"/>
    <col min="3371" max="3561" width="8.69921875" style="26"/>
    <col min="3562" max="3562" width="5.796875" style="26" customWidth="1"/>
    <col min="3563" max="3563" width="12.5" style="26" customWidth="1"/>
    <col min="3564" max="3564" width="12.8984375" style="26" customWidth="1"/>
    <col min="3565" max="3581" width="8.69921875" style="26"/>
    <col min="3582" max="3582" width="10.796875" style="26" customWidth="1"/>
    <col min="3583" max="3583" width="11.5" style="26" customWidth="1"/>
    <col min="3584" max="3584" width="10" style="26" customWidth="1"/>
    <col min="3585" max="3585" width="10.796875" style="26" customWidth="1"/>
    <col min="3586" max="3586" width="8.69921875" style="26"/>
    <col min="3587" max="3587" width="13.796875" style="26" customWidth="1"/>
    <col min="3588" max="3588" width="13.69921875" style="26" customWidth="1"/>
    <col min="3589" max="3589" width="19.296875" style="26" customWidth="1"/>
    <col min="3590" max="3605" width="8.69921875" style="26"/>
    <col min="3606" max="3607" width="12.09765625" style="26" customWidth="1"/>
    <col min="3608" max="3608" width="8.69921875" style="26"/>
    <col min="3609" max="3609" width="12.5" style="26" customWidth="1"/>
    <col min="3610" max="3610" width="9.59765625" style="26" customWidth="1"/>
    <col min="3611" max="3611" width="15.59765625" style="26" customWidth="1"/>
    <col min="3612" max="3613" width="11.3984375" style="26" customWidth="1"/>
    <col min="3614" max="3614" width="10.09765625" style="26" customWidth="1"/>
    <col min="3615" max="3615" width="16.5" style="26" customWidth="1"/>
    <col min="3616" max="3616" width="11.59765625" style="26" customWidth="1"/>
    <col min="3617" max="3618" width="11.8984375" style="26" customWidth="1"/>
    <col min="3619" max="3619" width="9.796875" style="26" customWidth="1"/>
    <col min="3620" max="3620" width="10" style="26" customWidth="1"/>
    <col min="3621" max="3621" width="13.69921875" style="26" customWidth="1"/>
    <col min="3622" max="3622" width="8.69921875" style="26"/>
    <col min="3623" max="3623" width="9.8984375" style="26" customWidth="1"/>
    <col min="3624" max="3624" width="9.69921875" style="26" customWidth="1"/>
    <col min="3625" max="3625" width="10.296875" style="26" customWidth="1"/>
    <col min="3626" max="3626" width="3.59765625" style="26" customWidth="1"/>
    <col min="3627" max="3817" width="8.69921875" style="26"/>
    <col min="3818" max="3818" width="5.796875" style="26" customWidth="1"/>
    <col min="3819" max="3819" width="12.5" style="26" customWidth="1"/>
    <col min="3820" max="3820" width="12.8984375" style="26" customWidth="1"/>
    <col min="3821" max="3837" width="8.69921875" style="26"/>
    <col min="3838" max="3838" width="10.796875" style="26" customWidth="1"/>
    <col min="3839" max="3839" width="11.5" style="26" customWidth="1"/>
    <col min="3840" max="3840" width="10" style="26" customWidth="1"/>
    <col min="3841" max="3841" width="10.796875" style="26" customWidth="1"/>
    <col min="3842" max="3842" width="8.69921875" style="26"/>
    <col min="3843" max="3843" width="13.796875" style="26" customWidth="1"/>
    <col min="3844" max="3844" width="13.69921875" style="26" customWidth="1"/>
    <col min="3845" max="3845" width="19.296875" style="26" customWidth="1"/>
    <col min="3846" max="3861" width="8.69921875" style="26"/>
    <col min="3862" max="3863" width="12.09765625" style="26" customWidth="1"/>
    <col min="3864" max="3864" width="8.69921875" style="26"/>
    <col min="3865" max="3865" width="12.5" style="26" customWidth="1"/>
    <col min="3866" max="3866" width="9.59765625" style="26" customWidth="1"/>
    <col min="3867" max="3867" width="15.59765625" style="26" customWidth="1"/>
    <col min="3868" max="3869" width="11.3984375" style="26" customWidth="1"/>
    <col min="3870" max="3870" width="10.09765625" style="26" customWidth="1"/>
    <col min="3871" max="3871" width="16.5" style="26" customWidth="1"/>
    <col min="3872" max="3872" width="11.59765625" style="26" customWidth="1"/>
    <col min="3873" max="3874" width="11.8984375" style="26" customWidth="1"/>
    <col min="3875" max="3875" width="9.796875" style="26" customWidth="1"/>
    <col min="3876" max="3876" width="10" style="26" customWidth="1"/>
    <col min="3877" max="3877" width="13.69921875" style="26" customWidth="1"/>
    <col min="3878" max="3878" width="8.69921875" style="26"/>
    <col min="3879" max="3879" width="9.8984375" style="26" customWidth="1"/>
    <col min="3880" max="3880" width="9.69921875" style="26" customWidth="1"/>
    <col min="3881" max="3881" width="10.296875" style="26" customWidth="1"/>
    <col min="3882" max="3882" width="3.59765625" style="26" customWidth="1"/>
    <col min="3883" max="4073" width="8.69921875" style="26"/>
    <col min="4074" max="4074" width="5.796875" style="26" customWidth="1"/>
    <col min="4075" max="4075" width="12.5" style="26" customWidth="1"/>
    <col min="4076" max="4076" width="12.8984375" style="26" customWidth="1"/>
    <col min="4077" max="4093" width="8.69921875" style="26"/>
    <col min="4094" max="4094" width="10.796875" style="26" customWidth="1"/>
    <col min="4095" max="4095" width="11.5" style="26" customWidth="1"/>
    <col min="4096" max="4096" width="10" style="26" customWidth="1"/>
    <col min="4097" max="4097" width="10.796875" style="26" customWidth="1"/>
    <col min="4098" max="4098" width="8.69921875" style="26"/>
    <col min="4099" max="4099" width="13.796875" style="26" customWidth="1"/>
    <col min="4100" max="4100" width="13.69921875" style="26" customWidth="1"/>
    <col min="4101" max="4101" width="19.296875" style="26" customWidth="1"/>
    <col min="4102" max="4117" width="8.69921875" style="26"/>
    <col min="4118" max="4119" width="12.09765625" style="26" customWidth="1"/>
    <col min="4120" max="4120" width="8.69921875" style="26"/>
    <col min="4121" max="4121" width="12.5" style="26" customWidth="1"/>
    <col min="4122" max="4122" width="9.59765625" style="26" customWidth="1"/>
    <col min="4123" max="4123" width="15.59765625" style="26" customWidth="1"/>
    <col min="4124" max="4125" width="11.3984375" style="26" customWidth="1"/>
    <col min="4126" max="4126" width="10.09765625" style="26" customWidth="1"/>
    <col min="4127" max="4127" width="16.5" style="26" customWidth="1"/>
    <col min="4128" max="4128" width="11.59765625" style="26" customWidth="1"/>
    <col min="4129" max="4130" width="11.8984375" style="26" customWidth="1"/>
    <col min="4131" max="4131" width="9.796875" style="26" customWidth="1"/>
    <col min="4132" max="4132" width="10" style="26" customWidth="1"/>
    <col min="4133" max="4133" width="13.69921875" style="26" customWidth="1"/>
    <col min="4134" max="4134" width="8.69921875" style="26"/>
    <col min="4135" max="4135" width="9.8984375" style="26" customWidth="1"/>
    <col min="4136" max="4136" width="9.69921875" style="26" customWidth="1"/>
    <col min="4137" max="4137" width="10.296875" style="26" customWidth="1"/>
    <col min="4138" max="4138" width="3.59765625" style="26" customWidth="1"/>
    <col min="4139" max="4329" width="8.69921875" style="26"/>
    <col min="4330" max="4330" width="5.796875" style="26" customWidth="1"/>
    <col min="4331" max="4331" width="12.5" style="26" customWidth="1"/>
    <col min="4332" max="4332" width="12.8984375" style="26" customWidth="1"/>
    <col min="4333" max="4349" width="8.69921875" style="26"/>
    <col min="4350" max="4350" width="10.796875" style="26" customWidth="1"/>
    <col min="4351" max="4351" width="11.5" style="26" customWidth="1"/>
    <col min="4352" max="4352" width="10" style="26" customWidth="1"/>
    <col min="4353" max="4353" width="10.796875" style="26" customWidth="1"/>
    <col min="4354" max="4354" width="8.69921875" style="26"/>
    <col min="4355" max="4355" width="13.796875" style="26" customWidth="1"/>
    <col min="4356" max="4356" width="13.69921875" style="26" customWidth="1"/>
    <col min="4357" max="4357" width="19.296875" style="26" customWidth="1"/>
    <col min="4358" max="4373" width="8.69921875" style="26"/>
    <col min="4374" max="4375" width="12.09765625" style="26" customWidth="1"/>
    <col min="4376" max="4376" width="8.69921875" style="26"/>
    <col min="4377" max="4377" width="12.5" style="26" customWidth="1"/>
    <col min="4378" max="4378" width="9.59765625" style="26" customWidth="1"/>
    <col min="4379" max="4379" width="15.59765625" style="26" customWidth="1"/>
    <col min="4380" max="4381" width="11.3984375" style="26" customWidth="1"/>
    <col min="4382" max="4382" width="10.09765625" style="26" customWidth="1"/>
    <col min="4383" max="4383" width="16.5" style="26" customWidth="1"/>
    <col min="4384" max="4384" width="11.59765625" style="26" customWidth="1"/>
    <col min="4385" max="4386" width="11.8984375" style="26" customWidth="1"/>
    <col min="4387" max="4387" width="9.796875" style="26" customWidth="1"/>
    <col min="4388" max="4388" width="10" style="26" customWidth="1"/>
    <col min="4389" max="4389" width="13.69921875" style="26" customWidth="1"/>
    <col min="4390" max="4390" width="8.69921875" style="26"/>
    <col min="4391" max="4391" width="9.8984375" style="26" customWidth="1"/>
    <col min="4392" max="4392" width="9.69921875" style="26" customWidth="1"/>
    <col min="4393" max="4393" width="10.296875" style="26" customWidth="1"/>
    <col min="4394" max="4394" width="3.59765625" style="26" customWidth="1"/>
    <col min="4395" max="4585" width="8.69921875" style="26"/>
    <col min="4586" max="4586" width="5.796875" style="26" customWidth="1"/>
    <col min="4587" max="4587" width="12.5" style="26" customWidth="1"/>
    <col min="4588" max="4588" width="12.8984375" style="26" customWidth="1"/>
    <col min="4589" max="4605" width="8.69921875" style="26"/>
    <col min="4606" max="4606" width="10.796875" style="26" customWidth="1"/>
    <col min="4607" max="4607" width="11.5" style="26" customWidth="1"/>
    <col min="4608" max="4608" width="10" style="26" customWidth="1"/>
    <col min="4609" max="4609" width="10.796875" style="26" customWidth="1"/>
    <col min="4610" max="4610" width="8.69921875" style="26"/>
    <col min="4611" max="4611" width="13.796875" style="26" customWidth="1"/>
    <col min="4612" max="4612" width="13.69921875" style="26" customWidth="1"/>
    <col min="4613" max="4613" width="19.296875" style="26" customWidth="1"/>
    <col min="4614" max="4629" width="8.69921875" style="26"/>
    <col min="4630" max="4631" width="12.09765625" style="26" customWidth="1"/>
    <col min="4632" max="4632" width="8.69921875" style="26"/>
    <col min="4633" max="4633" width="12.5" style="26" customWidth="1"/>
    <col min="4634" max="4634" width="9.59765625" style="26" customWidth="1"/>
    <col min="4635" max="4635" width="15.59765625" style="26" customWidth="1"/>
    <col min="4636" max="4637" width="11.3984375" style="26" customWidth="1"/>
    <col min="4638" max="4638" width="10.09765625" style="26" customWidth="1"/>
    <col min="4639" max="4639" width="16.5" style="26" customWidth="1"/>
    <col min="4640" max="4640" width="11.59765625" style="26" customWidth="1"/>
    <col min="4641" max="4642" width="11.8984375" style="26" customWidth="1"/>
    <col min="4643" max="4643" width="9.796875" style="26" customWidth="1"/>
    <col min="4644" max="4644" width="10" style="26" customWidth="1"/>
    <col min="4645" max="4645" width="13.69921875" style="26" customWidth="1"/>
    <col min="4646" max="4646" width="8.69921875" style="26"/>
    <col min="4647" max="4647" width="9.8984375" style="26" customWidth="1"/>
    <col min="4648" max="4648" width="9.69921875" style="26" customWidth="1"/>
    <col min="4649" max="4649" width="10.296875" style="26" customWidth="1"/>
    <col min="4650" max="4650" width="3.59765625" style="26" customWidth="1"/>
    <col min="4651" max="4841" width="8.69921875" style="26"/>
    <col min="4842" max="4842" width="5.796875" style="26" customWidth="1"/>
    <col min="4843" max="4843" width="12.5" style="26" customWidth="1"/>
    <col min="4844" max="4844" width="12.8984375" style="26" customWidth="1"/>
    <col min="4845" max="4861" width="8.69921875" style="26"/>
    <col min="4862" max="4862" width="10.796875" style="26" customWidth="1"/>
    <col min="4863" max="4863" width="11.5" style="26" customWidth="1"/>
    <col min="4864" max="4864" width="10" style="26" customWidth="1"/>
    <col min="4865" max="4865" width="10.796875" style="26" customWidth="1"/>
    <col min="4866" max="4866" width="8.69921875" style="26"/>
    <col min="4867" max="4867" width="13.796875" style="26" customWidth="1"/>
    <col min="4868" max="4868" width="13.69921875" style="26" customWidth="1"/>
    <col min="4869" max="4869" width="19.296875" style="26" customWidth="1"/>
    <col min="4870" max="4885" width="8.69921875" style="26"/>
    <col min="4886" max="4887" width="12.09765625" style="26" customWidth="1"/>
    <col min="4888" max="4888" width="8.69921875" style="26"/>
    <col min="4889" max="4889" width="12.5" style="26" customWidth="1"/>
    <col min="4890" max="4890" width="9.59765625" style="26" customWidth="1"/>
    <col min="4891" max="4891" width="15.59765625" style="26" customWidth="1"/>
    <col min="4892" max="4893" width="11.3984375" style="26" customWidth="1"/>
    <col min="4894" max="4894" width="10.09765625" style="26" customWidth="1"/>
    <col min="4895" max="4895" width="16.5" style="26" customWidth="1"/>
    <col min="4896" max="4896" width="11.59765625" style="26" customWidth="1"/>
    <col min="4897" max="4898" width="11.8984375" style="26" customWidth="1"/>
    <col min="4899" max="4899" width="9.796875" style="26" customWidth="1"/>
    <col min="4900" max="4900" width="10" style="26" customWidth="1"/>
    <col min="4901" max="4901" width="13.69921875" style="26" customWidth="1"/>
    <col min="4902" max="4902" width="8.69921875" style="26"/>
    <col min="4903" max="4903" width="9.8984375" style="26" customWidth="1"/>
    <col min="4904" max="4904" width="9.69921875" style="26" customWidth="1"/>
    <col min="4905" max="4905" width="10.296875" style="26" customWidth="1"/>
    <col min="4906" max="4906" width="3.59765625" style="26" customWidth="1"/>
    <col min="4907" max="5097" width="8.69921875" style="26"/>
    <col min="5098" max="5098" width="5.796875" style="26" customWidth="1"/>
    <col min="5099" max="5099" width="12.5" style="26" customWidth="1"/>
    <col min="5100" max="5100" width="12.8984375" style="26" customWidth="1"/>
    <col min="5101" max="5117" width="8.69921875" style="26"/>
    <col min="5118" max="5118" width="10.796875" style="26" customWidth="1"/>
    <col min="5119" max="5119" width="11.5" style="26" customWidth="1"/>
    <col min="5120" max="5120" width="10" style="26" customWidth="1"/>
    <col min="5121" max="5121" width="10.796875" style="26" customWidth="1"/>
    <col min="5122" max="5122" width="8.69921875" style="26"/>
    <col min="5123" max="5123" width="13.796875" style="26" customWidth="1"/>
    <col min="5124" max="5124" width="13.69921875" style="26" customWidth="1"/>
    <col min="5125" max="5125" width="19.296875" style="26" customWidth="1"/>
    <col min="5126" max="5141" width="8.69921875" style="26"/>
    <col min="5142" max="5143" width="12.09765625" style="26" customWidth="1"/>
    <col min="5144" max="5144" width="8.69921875" style="26"/>
    <col min="5145" max="5145" width="12.5" style="26" customWidth="1"/>
    <col min="5146" max="5146" width="9.59765625" style="26" customWidth="1"/>
    <col min="5147" max="5147" width="15.59765625" style="26" customWidth="1"/>
    <col min="5148" max="5149" width="11.3984375" style="26" customWidth="1"/>
    <col min="5150" max="5150" width="10.09765625" style="26" customWidth="1"/>
    <col min="5151" max="5151" width="16.5" style="26" customWidth="1"/>
    <col min="5152" max="5152" width="11.59765625" style="26" customWidth="1"/>
    <col min="5153" max="5154" width="11.8984375" style="26" customWidth="1"/>
    <col min="5155" max="5155" width="9.796875" style="26" customWidth="1"/>
    <col min="5156" max="5156" width="10" style="26" customWidth="1"/>
    <col min="5157" max="5157" width="13.69921875" style="26" customWidth="1"/>
    <col min="5158" max="5158" width="8.69921875" style="26"/>
    <col min="5159" max="5159" width="9.8984375" style="26" customWidth="1"/>
    <col min="5160" max="5160" width="9.69921875" style="26" customWidth="1"/>
    <col min="5161" max="5161" width="10.296875" style="26" customWidth="1"/>
    <col min="5162" max="5162" width="3.59765625" style="26" customWidth="1"/>
    <col min="5163" max="5353" width="8.69921875" style="26"/>
    <col min="5354" max="5354" width="5.796875" style="26" customWidth="1"/>
    <col min="5355" max="5355" width="12.5" style="26" customWidth="1"/>
    <col min="5356" max="5356" width="12.8984375" style="26" customWidth="1"/>
    <col min="5357" max="5373" width="8.69921875" style="26"/>
    <col min="5374" max="5374" width="10.796875" style="26" customWidth="1"/>
    <col min="5375" max="5375" width="11.5" style="26" customWidth="1"/>
    <col min="5376" max="5376" width="10" style="26" customWidth="1"/>
    <col min="5377" max="5377" width="10.796875" style="26" customWidth="1"/>
    <col min="5378" max="5378" width="8.69921875" style="26"/>
    <col min="5379" max="5379" width="13.796875" style="26" customWidth="1"/>
    <col min="5380" max="5380" width="13.69921875" style="26" customWidth="1"/>
    <col min="5381" max="5381" width="19.296875" style="26" customWidth="1"/>
    <col min="5382" max="5397" width="8.69921875" style="26"/>
    <col min="5398" max="5399" width="12.09765625" style="26" customWidth="1"/>
    <col min="5400" max="5400" width="8.69921875" style="26"/>
    <col min="5401" max="5401" width="12.5" style="26" customWidth="1"/>
    <col min="5402" max="5402" width="9.59765625" style="26" customWidth="1"/>
    <col min="5403" max="5403" width="15.59765625" style="26" customWidth="1"/>
    <col min="5404" max="5405" width="11.3984375" style="26" customWidth="1"/>
    <col min="5406" max="5406" width="10.09765625" style="26" customWidth="1"/>
    <col min="5407" max="5407" width="16.5" style="26" customWidth="1"/>
    <col min="5408" max="5408" width="11.59765625" style="26" customWidth="1"/>
    <col min="5409" max="5410" width="11.8984375" style="26" customWidth="1"/>
    <col min="5411" max="5411" width="9.796875" style="26" customWidth="1"/>
    <col min="5412" max="5412" width="10" style="26" customWidth="1"/>
    <col min="5413" max="5413" width="13.69921875" style="26" customWidth="1"/>
    <col min="5414" max="5414" width="8.69921875" style="26"/>
    <col min="5415" max="5415" width="9.8984375" style="26" customWidth="1"/>
    <col min="5416" max="5416" width="9.69921875" style="26" customWidth="1"/>
    <col min="5417" max="5417" width="10.296875" style="26" customWidth="1"/>
    <col min="5418" max="5418" width="3.59765625" style="26" customWidth="1"/>
    <col min="5419" max="5609" width="8.69921875" style="26"/>
    <col min="5610" max="5610" width="5.796875" style="26" customWidth="1"/>
    <col min="5611" max="5611" width="12.5" style="26" customWidth="1"/>
    <col min="5612" max="5612" width="12.8984375" style="26" customWidth="1"/>
    <col min="5613" max="5629" width="8.69921875" style="26"/>
    <col min="5630" max="5630" width="10.796875" style="26" customWidth="1"/>
    <col min="5631" max="5631" width="11.5" style="26" customWidth="1"/>
    <col min="5632" max="5632" width="10" style="26" customWidth="1"/>
    <col min="5633" max="5633" width="10.796875" style="26" customWidth="1"/>
    <col min="5634" max="5634" width="8.69921875" style="26"/>
    <col min="5635" max="5635" width="13.796875" style="26" customWidth="1"/>
    <col min="5636" max="5636" width="13.69921875" style="26" customWidth="1"/>
    <col min="5637" max="5637" width="19.296875" style="26" customWidth="1"/>
    <col min="5638" max="5653" width="8.69921875" style="26"/>
    <col min="5654" max="5655" width="12.09765625" style="26" customWidth="1"/>
    <col min="5656" max="5656" width="8.69921875" style="26"/>
    <col min="5657" max="5657" width="12.5" style="26" customWidth="1"/>
    <col min="5658" max="5658" width="9.59765625" style="26" customWidth="1"/>
    <col min="5659" max="5659" width="15.59765625" style="26" customWidth="1"/>
    <col min="5660" max="5661" width="11.3984375" style="26" customWidth="1"/>
    <col min="5662" max="5662" width="10.09765625" style="26" customWidth="1"/>
    <col min="5663" max="5663" width="16.5" style="26" customWidth="1"/>
    <col min="5664" max="5664" width="11.59765625" style="26" customWidth="1"/>
    <col min="5665" max="5666" width="11.8984375" style="26" customWidth="1"/>
    <col min="5667" max="5667" width="9.796875" style="26" customWidth="1"/>
    <col min="5668" max="5668" width="10" style="26" customWidth="1"/>
    <col min="5669" max="5669" width="13.69921875" style="26" customWidth="1"/>
    <col min="5670" max="5670" width="8.69921875" style="26"/>
    <col min="5671" max="5671" width="9.8984375" style="26" customWidth="1"/>
    <col min="5672" max="5672" width="9.69921875" style="26" customWidth="1"/>
    <col min="5673" max="5673" width="10.296875" style="26" customWidth="1"/>
    <col min="5674" max="5674" width="3.59765625" style="26" customWidth="1"/>
    <col min="5675" max="5865" width="8.69921875" style="26"/>
    <col min="5866" max="5866" width="5.796875" style="26" customWidth="1"/>
    <col min="5867" max="5867" width="12.5" style="26" customWidth="1"/>
    <col min="5868" max="5868" width="12.8984375" style="26" customWidth="1"/>
    <col min="5869" max="5885" width="8.69921875" style="26"/>
    <col min="5886" max="5886" width="10.796875" style="26" customWidth="1"/>
    <col min="5887" max="5887" width="11.5" style="26" customWidth="1"/>
    <col min="5888" max="5888" width="10" style="26" customWidth="1"/>
    <col min="5889" max="5889" width="10.796875" style="26" customWidth="1"/>
    <col min="5890" max="5890" width="8.69921875" style="26"/>
    <col min="5891" max="5891" width="13.796875" style="26" customWidth="1"/>
    <col min="5892" max="5892" width="13.69921875" style="26" customWidth="1"/>
    <col min="5893" max="5893" width="19.296875" style="26" customWidth="1"/>
    <col min="5894" max="5909" width="8.69921875" style="26"/>
    <col min="5910" max="5911" width="12.09765625" style="26" customWidth="1"/>
    <col min="5912" max="5912" width="8.69921875" style="26"/>
    <col min="5913" max="5913" width="12.5" style="26" customWidth="1"/>
    <col min="5914" max="5914" width="9.59765625" style="26" customWidth="1"/>
    <col min="5915" max="5915" width="15.59765625" style="26" customWidth="1"/>
    <col min="5916" max="5917" width="11.3984375" style="26" customWidth="1"/>
    <col min="5918" max="5918" width="10.09765625" style="26" customWidth="1"/>
    <col min="5919" max="5919" width="16.5" style="26" customWidth="1"/>
    <col min="5920" max="5920" width="11.59765625" style="26" customWidth="1"/>
    <col min="5921" max="5922" width="11.8984375" style="26" customWidth="1"/>
    <col min="5923" max="5923" width="9.796875" style="26" customWidth="1"/>
    <col min="5924" max="5924" width="10" style="26" customWidth="1"/>
    <col min="5925" max="5925" width="13.69921875" style="26" customWidth="1"/>
    <col min="5926" max="5926" width="8.69921875" style="26"/>
    <col min="5927" max="5927" width="9.8984375" style="26" customWidth="1"/>
    <col min="5928" max="5928" width="9.69921875" style="26" customWidth="1"/>
    <col min="5929" max="5929" width="10.296875" style="26" customWidth="1"/>
    <col min="5930" max="5930" width="3.59765625" style="26" customWidth="1"/>
    <col min="5931" max="6121" width="8.69921875" style="26"/>
    <col min="6122" max="6122" width="5.796875" style="26" customWidth="1"/>
    <col min="6123" max="6123" width="12.5" style="26" customWidth="1"/>
    <col min="6124" max="6124" width="12.8984375" style="26" customWidth="1"/>
    <col min="6125" max="6141" width="8.69921875" style="26"/>
    <col min="6142" max="6142" width="10.796875" style="26" customWidth="1"/>
    <col min="6143" max="6143" width="11.5" style="26" customWidth="1"/>
    <col min="6144" max="6144" width="10" style="26" customWidth="1"/>
    <col min="6145" max="6145" width="10.796875" style="26" customWidth="1"/>
    <col min="6146" max="6146" width="8.69921875" style="26"/>
    <col min="6147" max="6147" width="13.796875" style="26" customWidth="1"/>
    <col min="6148" max="6148" width="13.69921875" style="26" customWidth="1"/>
    <col min="6149" max="6149" width="19.296875" style="26" customWidth="1"/>
    <col min="6150" max="6165" width="8.69921875" style="26"/>
    <col min="6166" max="6167" width="12.09765625" style="26" customWidth="1"/>
    <col min="6168" max="6168" width="8.69921875" style="26"/>
    <col min="6169" max="6169" width="12.5" style="26" customWidth="1"/>
    <col min="6170" max="6170" width="9.59765625" style="26" customWidth="1"/>
    <col min="6171" max="6171" width="15.59765625" style="26" customWidth="1"/>
    <col min="6172" max="6173" width="11.3984375" style="26" customWidth="1"/>
    <col min="6174" max="6174" width="10.09765625" style="26" customWidth="1"/>
    <col min="6175" max="6175" width="16.5" style="26" customWidth="1"/>
    <col min="6176" max="6176" width="11.59765625" style="26" customWidth="1"/>
    <col min="6177" max="6178" width="11.8984375" style="26" customWidth="1"/>
    <col min="6179" max="6179" width="9.796875" style="26" customWidth="1"/>
    <col min="6180" max="6180" width="10" style="26" customWidth="1"/>
    <col min="6181" max="6181" width="13.69921875" style="26" customWidth="1"/>
    <col min="6182" max="6182" width="8.69921875" style="26"/>
    <col min="6183" max="6183" width="9.8984375" style="26" customWidth="1"/>
    <col min="6184" max="6184" width="9.69921875" style="26" customWidth="1"/>
    <col min="6185" max="6185" width="10.296875" style="26" customWidth="1"/>
    <col min="6186" max="6186" width="3.59765625" style="26" customWidth="1"/>
    <col min="6187" max="6377" width="8.69921875" style="26"/>
    <col min="6378" max="6378" width="5.796875" style="26" customWidth="1"/>
    <col min="6379" max="6379" width="12.5" style="26" customWidth="1"/>
    <col min="6380" max="6380" width="12.8984375" style="26" customWidth="1"/>
    <col min="6381" max="6397" width="8.69921875" style="26"/>
    <col min="6398" max="6398" width="10.796875" style="26" customWidth="1"/>
    <col min="6399" max="6399" width="11.5" style="26" customWidth="1"/>
    <col min="6400" max="6400" width="10" style="26" customWidth="1"/>
    <col min="6401" max="6401" width="10.796875" style="26" customWidth="1"/>
    <col min="6402" max="6402" width="8.69921875" style="26"/>
    <col min="6403" max="6403" width="13.796875" style="26" customWidth="1"/>
    <col min="6404" max="6404" width="13.69921875" style="26" customWidth="1"/>
    <col min="6405" max="6405" width="19.296875" style="26" customWidth="1"/>
    <col min="6406" max="6421" width="8.69921875" style="26"/>
    <col min="6422" max="6423" width="12.09765625" style="26" customWidth="1"/>
    <col min="6424" max="6424" width="8.69921875" style="26"/>
    <col min="6425" max="6425" width="12.5" style="26" customWidth="1"/>
    <col min="6426" max="6426" width="9.59765625" style="26" customWidth="1"/>
    <col min="6427" max="6427" width="15.59765625" style="26" customWidth="1"/>
    <col min="6428" max="6429" width="11.3984375" style="26" customWidth="1"/>
    <col min="6430" max="6430" width="10.09765625" style="26" customWidth="1"/>
    <col min="6431" max="6431" width="16.5" style="26" customWidth="1"/>
    <col min="6432" max="6432" width="11.59765625" style="26" customWidth="1"/>
    <col min="6433" max="6434" width="11.8984375" style="26" customWidth="1"/>
    <col min="6435" max="6435" width="9.796875" style="26" customWidth="1"/>
    <col min="6436" max="6436" width="10" style="26" customWidth="1"/>
    <col min="6437" max="6437" width="13.69921875" style="26" customWidth="1"/>
    <col min="6438" max="6438" width="8.69921875" style="26"/>
    <col min="6439" max="6439" width="9.8984375" style="26" customWidth="1"/>
    <col min="6440" max="6440" width="9.69921875" style="26" customWidth="1"/>
    <col min="6441" max="6441" width="10.296875" style="26" customWidth="1"/>
    <col min="6442" max="6442" width="3.59765625" style="26" customWidth="1"/>
    <col min="6443" max="6633" width="8.69921875" style="26"/>
    <col min="6634" max="6634" width="5.796875" style="26" customWidth="1"/>
    <col min="6635" max="6635" width="12.5" style="26" customWidth="1"/>
    <col min="6636" max="6636" width="12.8984375" style="26" customWidth="1"/>
    <col min="6637" max="6653" width="8.69921875" style="26"/>
    <col min="6654" max="6654" width="10.796875" style="26" customWidth="1"/>
    <col min="6655" max="6655" width="11.5" style="26" customWidth="1"/>
    <col min="6656" max="6656" width="10" style="26" customWidth="1"/>
    <col min="6657" max="6657" width="10.796875" style="26" customWidth="1"/>
    <col min="6658" max="6658" width="8.69921875" style="26"/>
    <col min="6659" max="6659" width="13.796875" style="26" customWidth="1"/>
    <col min="6660" max="6660" width="13.69921875" style="26" customWidth="1"/>
    <col min="6661" max="6661" width="19.296875" style="26" customWidth="1"/>
    <col min="6662" max="6677" width="8.69921875" style="26"/>
    <col min="6678" max="6679" width="12.09765625" style="26" customWidth="1"/>
    <col min="6680" max="6680" width="8.69921875" style="26"/>
    <col min="6681" max="6681" width="12.5" style="26" customWidth="1"/>
    <col min="6682" max="6682" width="9.59765625" style="26" customWidth="1"/>
    <col min="6683" max="6683" width="15.59765625" style="26" customWidth="1"/>
    <col min="6684" max="6685" width="11.3984375" style="26" customWidth="1"/>
    <col min="6686" max="6686" width="10.09765625" style="26" customWidth="1"/>
    <col min="6687" max="6687" width="16.5" style="26" customWidth="1"/>
    <col min="6688" max="6688" width="11.59765625" style="26" customWidth="1"/>
    <col min="6689" max="6690" width="11.8984375" style="26" customWidth="1"/>
    <col min="6691" max="6691" width="9.796875" style="26" customWidth="1"/>
    <col min="6692" max="6692" width="10" style="26" customWidth="1"/>
    <col min="6693" max="6693" width="13.69921875" style="26" customWidth="1"/>
    <col min="6694" max="6694" width="8.69921875" style="26"/>
    <col min="6695" max="6695" width="9.8984375" style="26" customWidth="1"/>
    <col min="6696" max="6696" width="9.69921875" style="26" customWidth="1"/>
    <col min="6697" max="6697" width="10.296875" style="26" customWidth="1"/>
    <col min="6698" max="6698" width="3.59765625" style="26" customWidth="1"/>
    <col min="6699" max="6889" width="8.69921875" style="26"/>
    <col min="6890" max="6890" width="5.796875" style="26" customWidth="1"/>
    <col min="6891" max="6891" width="12.5" style="26" customWidth="1"/>
    <col min="6892" max="6892" width="12.8984375" style="26" customWidth="1"/>
    <col min="6893" max="6909" width="8.69921875" style="26"/>
    <col min="6910" max="6910" width="10.796875" style="26" customWidth="1"/>
    <col min="6911" max="6911" width="11.5" style="26" customWidth="1"/>
    <col min="6912" max="6912" width="10" style="26" customWidth="1"/>
    <col min="6913" max="6913" width="10.796875" style="26" customWidth="1"/>
    <col min="6914" max="6914" width="8.69921875" style="26"/>
    <col min="6915" max="6915" width="13.796875" style="26" customWidth="1"/>
    <col min="6916" max="6916" width="13.69921875" style="26" customWidth="1"/>
    <col min="6917" max="6917" width="19.296875" style="26" customWidth="1"/>
    <col min="6918" max="6933" width="8.69921875" style="26"/>
    <col min="6934" max="6935" width="12.09765625" style="26" customWidth="1"/>
    <col min="6936" max="6936" width="8.69921875" style="26"/>
    <col min="6937" max="6937" width="12.5" style="26" customWidth="1"/>
    <col min="6938" max="6938" width="9.59765625" style="26" customWidth="1"/>
    <col min="6939" max="6939" width="15.59765625" style="26" customWidth="1"/>
    <col min="6940" max="6941" width="11.3984375" style="26" customWidth="1"/>
    <col min="6942" max="6942" width="10.09765625" style="26" customWidth="1"/>
    <col min="6943" max="6943" width="16.5" style="26" customWidth="1"/>
    <col min="6944" max="6944" width="11.59765625" style="26" customWidth="1"/>
    <col min="6945" max="6946" width="11.8984375" style="26" customWidth="1"/>
    <col min="6947" max="6947" width="9.796875" style="26" customWidth="1"/>
    <col min="6948" max="6948" width="10" style="26" customWidth="1"/>
    <col min="6949" max="6949" width="13.69921875" style="26" customWidth="1"/>
    <col min="6950" max="6950" width="8.69921875" style="26"/>
    <col min="6951" max="6951" width="9.8984375" style="26" customWidth="1"/>
    <col min="6952" max="6952" width="9.69921875" style="26" customWidth="1"/>
    <col min="6953" max="6953" width="10.296875" style="26" customWidth="1"/>
    <col min="6954" max="6954" width="3.59765625" style="26" customWidth="1"/>
    <col min="6955" max="7145" width="8.69921875" style="26"/>
    <col min="7146" max="7146" width="5.796875" style="26" customWidth="1"/>
    <col min="7147" max="7147" width="12.5" style="26" customWidth="1"/>
    <col min="7148" max="7148" width="12.8984375" style="26" customWidth="1"/>
    <col min="7149" max="7165" width="8.69921875" style="26"/>
    <col min="7166" max="7166" width="10.796875" style="26" customWidth="1"/>
    <col min="7167" max="7167" width="11.5" style="26" customWidth="1"/>
    <col min="7168" max="7168" width="10" style="26" customWidth="1"/>
    <col min="7169" max="7169" width="10.796875" style="26" customWidth="1"/>
    <col min="7170" max="7170" width="8.69921875" style="26"/>
    <col min="7171" max="7171" width="13.796875" style="26" customWidth="1"/>
    <col min="7172" max="7172" width="13.69921875" style="26" customWidth="1"/>
    <col min="7173" max="7173" width="19.296875" style="26" customWidth="1"/>
    <col min="7174" max="7189" width="8.69921875" style="26"/>
    <col min="7190" max="7191" width="12.09765625" style="26" customWidth="1"/>
    <col min="7192" max="7192" width="8.69921875" style="26"/>
    <col min="7193" max="7193" width="12.5" style="26" customWidth="1"/>
    <col min="7194" max="7194" width="9.59765625" style="26" customWidth="1"/>
    <col min="7195" max="7195" width="15.59765625" style="26" customWidth="1"/>
    <col min="7196" max="7197" width="11.3984375" style="26" customWidth="1"/>
    <col min="7198" max="7198" width="10.09765625" style="26" customWidth="1"/>
    <col min="7199" max="7199" width="16.5" style="26" customWidth="1"/>
    <col min="7200" max="7200" width="11.59765625" style="26" customWidth="1"/>
    <col min="7201" max="7202" width="11.8984375" style="26" customWidth="1"/>
    <col min="7203" max="7203" width="9.796875" style="26" customWidth="1"/>
    <col min="7204" max="7204" width="10" style="26" customWidth="1"/>
    <col min="7205" max="7205" width="13.69921875" style="26" customWidth="1"/>
    <col min="7206" max="7206" width="8.69921875" style="26"/>
    <col min="7207" max="7207" width="9.8984375" style="26" customWidth="1"/>
    <col min="7208" max="7208" width="9.69921875" style="26" customWidth="1"/>
    <col min="7209" max="7209" width="10.296875" style="26" customWidth="1"/>
    <col min="7210" max="7210" width="3.59765625" style="26" customWidth="1"/>
    <col min="7211" max="7401" width="8.69921875" style="26"/>
    <col min="7402" max="7402" width="5.796875" style="26" customWidth="1"/>
    <col min="7403" max="7403" width="12.5" style="26" customWidth="1"/>
    <col min="7404" max="7404" width="12.8984375" style="26" customWidth="1"/>
    <col min="7405" max="7421" width="8.69921875" style="26"/>
    <col min="7422" max="7422" width="10.796875" style="26" customWidth="1"/>
    <col min="7423" max="7423" width="11.5" style="26" customWidth="1"/>
    <col min="7424" max="7424" width="10" style="26" customWidth="1"/>
    <col min="7425" max="7425" width="10.796875" style="26" customWidth="1"/>
    <col min="7426" max="7426" width="8.69921875" style="26"/>
    <col min="7427" max="7427" width="13.796875" style="26" customWidth="1"/>
    <col min="7428" max="7428" width="13.69921875" style="26" customWidth="1"/>
    <col min="7429" max="7429" width="19.296875" style="26" customWidth="1"/>
    <col min="7430" max="7445" width="8.69921875" style="26"/>
    <col min="7446" max="7447" width="12.09765625" style="26" customWidth="1"/>
    <col min="7448" max="7448" width="8.69921875" style="26"/>
    <col min="7449" max="7449" width="12.5" style="26" customWidth="1"/>
    <col min="7450" max="7450" width="9.59765625" style="26" customWidth="1"/>
    <col min="7451" max="7451" width="15.59765625" style="26" customWidth="1"/>
    <col min="7452" max="7453" width="11.3984375" style="26" customWidth="1"/>
    <col min="7454" max="7454" width="10.09765625" style="26" customWidth="1"/>
    <col min="7455" max="7455" width="16.5" style="26" customWidth="1"/>
    <col min="7456" max="7456" width="11.59765625" style="26" customWidth="1"/>
    <col min="7457" max="7458" width="11.8984375" style="26" customWidth="1"/>
    <col min="7459" max="7459" width="9.796875" style="26" customWidth="1"/>
    <col min="7460" max="7460" width="10" style="26" customWidth="1"/>
    <col min="7461" max="7461" width="13.69921875" style="26" customWidth="1"/>
    <col min="7462" max="7462" width="8.69921875" style="26"/>
    <col min="7463" max="7463" width="9.8984375" style="26" customWidth="1"/>
    <col min="7464" max="7464" width="9.69921875" style="26" customWidth="1"/>
    <col min="7465" max="7465" width="10.296875" style="26" customWidth="1"/>
    <col min="7466" max="7466" width="3.59765625" style="26" customWidth="1"/>
    <col min="7467" max="7657" width="8.69921875" style="26"/>
    <col min="7658" max="7658" width="5.796875" style="26" customWidth="1"/>
    <col min="7659" max="7659" width="12.5" style="26" customWidth="1"/>
    <col min="7660" max="7660" width="12.8984375" style="26" customWidth="1"/>
    <col min="7661" max="7677" width="8.69921875" style="26"/>
    <col min="7678" max="7678" width="10.796875" style="26" customWidth="1"/>
    <col min="7679" max="7679" width="11.5" style="26" customWidth="1"/>
    <col min="7680" max="7680" width="10" style="26" customWidth="1"/>
    <col min="7681" max="7681" width="10.796875" style="26" customWidth="1"/>
    <col min="7682" max="7682" width="8.69921875" style="26"/>
    <col min="7683" max="7683" width="13.796875" style="26" customWidth="1"/>
    <col min="7684" max="7684" width="13.69921875" style="26" customWidth="1"/>
    <col min="7685" max="7685" width="19.296875" style="26" customWidth="1"/>
    <col min="7686" max="7701" width="8.69921875" style="26"/>
    <col min="7702" max="7703" width="12.09765625" style="26" customWidth="1"/>
    <col min="7704" max="7704" width="8.69921875" style="26"/>
    <col min="7705" max="7705" width="12.5" style="26" customWidth="1"/>
    <col min="7706" max="7706" width="9.59765625" style="26" customWidth="1"/>
    <col min="7707" max="7707" width="15.59765625" style="26" customWidth="1"/>
    <col min="7708" max="7709" width="11.3984375" style="26" customWidth="1"/>
    <col min="7710" max="7710" width="10.09765625" style="26" customWidth="1"/>
    <col min="7711" max="7711" width="16.5" style="26" customWidth="1"/>
    <col min="7712" max="7712" width="11.59765625" style="26" customWidth="1"/>
    <col min="7713" max="7714" width="11.8984375" style="26" customWidth="1"/>
    <col min="7715" max="7715" width="9.796875" style="26" customWidth="1"/>
    <col min="7716" max="7716" width="10" style="26" customWidth="1"/>
    <col min="7717" max="7717" width="13.69921875" style="26" customWidth="1"/>
    <col min="7718" max="7718" width="8.69921875" style="26"/>
    <col min="7719" max="7719" width="9.8984375" style="26" customWidth="1"/>
    <col min="7720" max="7720" width="9.69921875" style="26" customWidth="1"/>
    <col min="7721" max="7721" width="10.296875" style="26" customWidth="1"/>
    <col min="7722" max="7722" width="3.59765625" style="26" customWidth="1"/>
    <col min="7723" max="7913" width="8.69921875" style="26"/>
    <col min="7914" max="7914" width="5.796875" style="26" customWidth="1"/>
    <col min="7915" max="7915" width="12.5" style="26" customWidth="1"/>
    <col min="7916" max="7916" width="12.8984375" style="26" customWidth="1"/>
    <col min="7917" max="7933" width="8.69921875" style="26"/>
    <col min="7934" max="7934" width="10.796875" style="26" customWidth="1"/>
    <col min="7935" max="7935" width="11.5" style="26" customWidth="1"/>
    <col min="7936" max="7936" width="10" style="26" customWidth="1"/>
    <col min="7937" max="7937" width="10.796875" style="26" customWidth="1"/>
    <col min="7938" max="7938" width="8.69921875" style="26"/>
    <col min="7939" max="7939" width="13.796875" style="26" customWidth="1"/>
    <col min="7940" max="7940" width="13.69921875" style="26" customWidth="1"/>
    <col min="7941" max="7941" width="19.296875" style="26" customWidth="1"/>
    <col min="7942" max="7957" width="8.69921875" style="26"/>
    <col min="7958" max="7959" width="12.09765625" style="26" customWidth="1"/>
    <col min="7960" max="7960" width="8.69921875" style="26"/>
    <col min="7961" max="7961" width="12.5" style="26" customWidth="1"/>
    <col min="7962" max="7962" width="9.59765625" style="26" customWidth="1"/>
    <col min="7963" max="7963" width="15.59765625" style="26" customWidth="1"/>
    <col min="7964" max="7965" width="11.3984375" style="26" customWidth="1"/>
    <col min="7966" max="7966" width="10.09765625" style="26" customWidth="1"/>
    <col min="7967" max="7967" width="16.5" style="26" customWidth="1"/>
    <col min="7968" max="7968" width="11.59765625" style="26" customWidth="1"/>
    <col min="7969" max="7970" width="11.8984375" style="26" customWidth="1"/>
    <col min="7971" max="7971" width="9.796875" style="26" customWidth="1"/>
    <col min="7972" max="7972" width="10" style="26" customWidth="1"/>
    <col min="7973" max="7973" width="13.69921875" style="26" customWidth="1"/>
    <col min="7974" max="7974" width="8.69921875" style="26"/>
    <col min="7975" max="7975" width="9.8984375" style="26" customWidth="1"/>
    <col min="7976" max="7976" width="9.69921875" style="26" customWidth="1"/>
    <col min="7977" max="7977" width="10.296875" style="26" customWidth="1"/>
    <col min="7978" max="7978" width="3.59765625" style="26" customWidth="1"/>
    <col min="7979" max="8169" width="8.69921875" style="26"/>
    <col min="8170" max="8170" width="5.796875" style="26" customWidth="1"/>
    <col min="8171" max="8171" width="12.5" style="26" customWidth="1"/>
    <col min="8172" max="8172" width="12.8984375" style="26" customWidth="1"/>
    <col min="8173" max="8189" width="8.69921875" style="26"/>
    <col min="8190" max="8190" width="10.796875" style="26" customWidth="1"/>
    <col min="8191" max="8191" width="11.5" style="26" customWidth="1"/>
    <col min="8192" max="8192" width="10" style="26" customWidth="1"/>
    <col min="8193" max="8193" width="10.796875" style="26" customWidth="1"/>
    <col min="8194" max="8194" width="8.69921875" style="26"/>
    <col min="8195" max="8195" width="13.796875" style="26" customWidth="1"/>
    <col min="8196" max="8196" width="13.69921875" style="26" customWidth="1"/>
    <col min="8197" max="8197" width="19.296875" style="26" customWidth="1"/>
    <col min="8198" max="8213" width="8.69921875" style="26"/>
    <col min="8214" max="8215" width="12.09765625" style="26" customWidth="1"/>
    <col min="8216" max="8216" width="8.69921875" style="26"/>
    <col min="8217" max="8217" width="12.5" style="26" customWidth="1"/>
    <col min="8218" max="8218" width="9.59765625" style="26" customWidth="1"/>
    <col min="8219" max="8219" width="15.59765625" style="26" customWidth="1"/>
    <col min="8220" max="8221" width="11.3984375" style="26" customWidth="1"/>
    <col min="8222" max="8222" width="10.09765625" style="26" customWidth="1"/>
    <col min="8223" max="8223" width="16.5" style="26" customWidth="1"/>
    <col min="8224" max="8224" width="11.59765625" style="26" customWidth="1"/>
    <col min="8225" max="8226" width="11.8984375" style="26" customWidth="1"/>
    <col min="8227" max="8227" width="9.796875" style="26" customWidth="1"/>
    <col min="8228" max="8228" width="10" style="26" customWidth="1"/>
    <col min="8229" max="8229" width="13.69921875" style="26" customWidth="1"/>
    <col min="8230" max="8230" width="8.69921875" style="26"/>
    <col min="8231" max="8231" width="9.8984375" style="26" customWidth="1"/>
    <col min="8232" max="8232" width="9.69921875" style="26" customWidth="1"/>
    <col min="8233" max="8233" width="10.296875" style="26" customWidth="1"/>
    <col min="8234" max="8234" width="3.59765625" style="26" customWidth="1"/>
    <col min="8235" max="8425" width="8.69921875" style="26"/>
    <col min="8426" max="8426" width="5.796875" style="26" customWidth="1"/>
    <col min="8427" max="8427" width="12.5" style="26" customWidth="1"/>
    <col min="8428" max="8428" width="12.8984375" style="26" customWidth="1"/>
    <col min="8429" max="8445" width="8.69921875" style="26"/>
    <col min="8446" max="8446" width="10.796875" style="26" customWidth="1"/>
    <col min="8447" max="8447" width="11.5" style="26" customWidth="1"/>
    <col min="8448" max="8448" width="10" style="26" customWidth="1"/>
    <col min="8449" max="8449" width="10.796875" style="26" customWidth="1"/>
    <col min="8450" max="8450" width="8.69921875" style="26"/>
    <col min="8451" max="8451" width="13.796875" style="26" customWidth="1"/>
    <col min="8452" max="8452" width="13.69921875" style="26" customWidth="1"/>
    <col min="8453" max="8453" width="19.296875" style="26" customWidth="1"/>
    <col min="8454" max="8469" width="8.69921875" style="26"/>
    <col min="8470" max="8471" width="12.09765625" style="26" customWidth="1"/>
    <col min="8472" max="8472" width="8.69921875" style="26"/>
    <col min="8473" max="8473" width="12.5" style="26" customWidth="1"/>
    <col min="8474" max="8474" width="9.59765625" style="26" customWidth="1"/>
    <col min="8475" max="8475" width="15.59765625" style="26" customWidth="1"/>
    <col min="8476" max="8477" width="11.3984375" style="26" customWidth="1"/>
    <col min="8478" max="8478" width="10.09765625" style="26" customWidth="1"/>
    <col min="8479" max="8479" width="16.5" style="26" customWidth="1"/>
    <col min="8480" max="8480" width="11.59765625" style="26" customWidth="1"/>
    <col min="8481" max="8482" width="11.8984375" style="26" customWidth="1"/>
    <col min="8483" max="8483" width="9.796875" style="26" customWidth="1"/>
    <col min="8484" max="8484" width="10" style="26" customWidth="1"/>
    <col min="8485" max="8485" width="13.69921875" style="26" customWidth="1"/>
    <col min="8486" max="8486" width="8.69921875" style="26"/>
    <col min="8487" max="8487" width="9.8984375" style="26" customWidth="1"/>
    <col min="8488" max="8488" width="9.69921875" style="26" customWidth="1"/>
    <col min="8489" max="8489" width="10.296875" style="26" customWidth="1"/>
    <col min="8490" max="8490" width="3.59765625" style="26" customWidth="1"/>
    <col min="8491" max="8681" width="8.69921875" style="26"/>
    <col min="8682" max="8682" width="5.796875" style="26" customWidth="1"/>
    <col min="8683" max="8683" width="12.5" style="26" customWidth="1"/>
    <col min="8684" max="8684" width="12.8984375" style="26" customWidth="1"/>
    <col min="8685" max="8701" width="8.69921875" style="26"/>
    <col min="8702" max="8702" width="10.796875" style="26" customWidth="1"/>
    <col min="8703" max="8703" width="11.5" style="26" customWidth="1"/>
    <col min="8704" max="8704" width="10" style="26" customWidth="1"/>
    <col min="8705" max="8705" width="10.796875" style="26" customWidth="1"/>
    <col min="8706" max="8706" width="8.69921875" style="26"/>
    <col min="8707" max="8707" width="13.796875" style="26" customWidth="1"/>
    <col min="8708" max="8708" width="13.69921875" style="26" customWidth="1"/>
    <col min="8709" max="8709" width="19.296875" style="26" customWidth="1"/>
    <col min="8710" max="8725" width="8.69921875" style="26"/>
    <col min="8726" max="8727" width="12.09765625" style="26" customWidth="1"/>
    <col min="8728" max="8728" width="8.69921875" style="26"/>
    <col min="8729" max="8729" width="12.5" style="26" customWidth="1"/>
    <col min="8730" max="8730" width="9.59765625" style="26" customWidth="1"/>
    <col min="8731" max="8731" width="15.59765625" style="26" customWidth="1"/>
    <col min="8732" max="8733" width="11.3984375" style="26" customWidth="1"/>
    <col min="8734" max="8734" width="10.09765625" style="26" customWidth="1"/>
    <col min="8735" max="8735" width="16.5" style="26" customWidth="1"/>
    <col min="8736" max="8736" width="11.59765625" style="26" customWidth="1"/>
    <col min="8737" max="8738" width="11.8984375" style="26" customWidth="1"/>
    <col min="8739" max="8739" width="9.796875" style="26" customWidth="1"/>
    <col min="8740" max="8740" width="10" style="26" customWidth="1"/>
    <col min="8741" max="8741" width="13.69921875" style="26" customWidth="1"/>
    <col min="8742" max="8742" width="8.69921875" style="26"/>
    <col min="8743" max="8743" width="9.8984375" style="26" customWidth="1"/>
    <col min="8744" max="8744" width="9.69921875" style="26" customWidth="1"/>
    <col min="8745" max="8745" width="10.296875" style="26" customWidth="1"/>
    <col min="8746" max="8746" width="3.59765625" style="26" customWidth="1"/>
    <col min="8747" max="8937" width="8.69921875" style="26"/>
    <col min="8938" max="8938" width="5.796875" style="26" customWidth="1"/>
    <col min="8939" max="8939" width="12.5" style="26" customWidth="1"/>
    <col min="8940" max="8940" width="12.8984375" style="26" customWidth="1"/>
    <col min="8941" max="8957" width="8.69921875" style="26"/>
    <col min="8958" max="8958" width="10.796875" style="26" customWidth="1"/>
    <col min="8959" max="8959" width="11.5" style="26" customWidth="1"/>
    <col min="8960" max="8960" width="10" style="26" customWidth="1"/>
    <col min="8961" max="8961" width="10.796875" style="26" customWidth="1"/>
    <col min="8962" max="8962" width="8.69921875" style="26"/>
    <col min="8963" max="8963" width="13.796875" style="26" customWidth="1"/>
    <col min="8964" max="8964" width="13.69921875" style="26" customWidth="1"/>
    <col min="8965" max="8965" width="19.296875" style="26" customWidth="1"/>
    <col min="8966" max="8981" width="8.69921875" style="26"/>
    <col min="8982" max="8983" width="12.09765625" style="26" customWidth="1"/>
    <col min="8984" max="8984" width="8.69921875" style="26"/>
    <col min="8985" max="8985" width="12.5" style="26" customWidth="1"/>
    <col min="8986" max="8986" width="9.59765625" style="26" customWidth="1"/>
    <col min="8987" max="8987" width="15.59765625" style="26" customWidth="1"/>
    <col min="8988" max="8989" width="11.3984375" style="26" customWidth="1"/>
    <col min="8990" max="8990" width="10.09765625" style="26" customWidth="1"/>
    <col min="8991" max="8991" width="16.5" style="26" customWidth="1"/>
    <col min="8992" max="8992" width="11.59765625" style="26" customWidth="1"/>
    <col min="8993" max="8994" width="11.8984375" style="26" customWidth="1"/>
    <col min="8995" max="8995" width="9.796875" style="26" customWidth="1"/>
    <col min="8996" max="8996" width="10" style="26" customWidth="1"/>
    <col min="8997" max="8997" width="13.69921875" style="26" customWidth="1"/>
    <col min="8998" max="8998" width="8.69921875" style="26"/>
    <col min="8999" max="8999" width="9.8984375" style="26" customWidth="1"/>
    <col min="9000" max="9000" width="9.69921875" style="26" customWidth="1"/>
    <col min="9001" max="9001" width="10.296875" style="26" customWidth="1"/>
    <col min="9002" max="9002" width="3.59765625" style="26" customWidth="1"/>
    <col min="9003" max="9193" width="8.69921875" style="26"/>
    <col min="9194" max="9194" width="5.796875" style="26" customWidth="1"/>
    <col min="9195" max="9195" width="12.5" style="26" customWidth="1"/>
    <col min="9196" max="9196" width="12.8984375" style="26" customWidth="1"/>
    <col min="9197" max="9213" width="8.69921875" style="26"/>
    <col min="9214" max="9214" width="10.796875" style="26" customWidth="1"/>
    <col min="9215" max="9215" width="11.5" style="26" customWidth="1"/>
    <col min="9216" max="9216" width="10" style="26" customWidth="1"/>
    <col min="9217" max="9217" width="10.796875" style="26" customWidth="1"/>
    <col min="9218" max="9218" width="8.69921875" style="26"/>
    <col min="9219" max="9219" width="13.796875" style="26" customWidth="1"/>
    <col min="9220" max="9220" width="13.69921875" style="26" customWidth="1"/>
    <col min="9221" max="9221" width="19.296875" style="26" customWidth="1"/>
    <col min="9222" max="9237" width="8.69921875" style="26"/>
    <col min="9238" max="9239" width="12.09765625" style="26" customWidth="1"/>
    <col min="9240" max="9240" width="8.69921875" style="26"/>
    <col min="9241" max="9241" width="12.5" style="26" customWidth="1"/>
    <col min="9242" max="9242" width="9.59765625" style="26" customWidth="1"/>
    <col min="9243" max="9243" width="15.59765625" style="26" customWidth="1"/>
    <col min="9244" max="9245" width="11.3984375" style="26" customWidth="1"/>
    <col min="9246" max="9246" width="10.09765625" style="26" customWidth="1"/>
    <col min="9247" max="9247" width="16.5" style="26" customWidth="1"/>
    <col min="9248" max="9248" width="11.59765625" style="26" customWidth="1"/>
    <col min="9249" max="9250" width="11.8984375" style="26" customWidth="1"/>
    <col min="9251" max="9251" width="9.796875" style="26" customWidth="1"/>
    <col min="9252" max="9252" width="10" style="26" customWidth="1"/>
    <col min="9253" max="9253" width="13.69921875" style="26" customWidth="1"/>
    <col min="9254" max="9254" width="8.69921875" style="26"/>
    <col min="9255" max="9255" width="9.8984375" style="26" customWidth="1"/>
    <col min="9256" max="9256" width="9.69921875" style="26" customWidth="1"/>
    <col min="9257" max="9257" width="10.296875" style="26" customWidth="1"/>
    <col min="9258" max="9258" width="3.59765625" style="26" customWidth="1"/>
    <col min="9259" max="9449" width="8.69921875" style="26"/>
    <col min="9450" max="9450" width="5.796875" style="26" customWidth="1"/>
    <col min="9451" max="9451" width="12.5" style="26" customWidth="1"/>
    <col min="9452" max="9452" width="12.8984375" style="26" customWidth="1"/>
    <col min="9453" max="9469" width="8.69921875" style="26"/>
    <col min="9470" max="9470" width="10.796875" style="26" customWidth="1"/>
    <col min="9471" max="9471" width="11.5" style="26" customWidth="1"/>
    <col min="9472" max="9472" width="10" style="26" customWidth="1"/>
    <col min="9473" max="9473" width="10.796875" style="26" customWidth="1"/>
    <col min="9474" max="9474" width="8.69921875" style="26"/>
    <col min="9475" max="9475" width="13.796875" style="26" customWidth="1"/>
    <col min="9476" max="9476" width="13.69921875" style="26" customWidth="1"/>
    <col min="9477" max="9477" width="19.296875" style="26" customWidth="1"/>
    <col min="9478" max="9493" width="8.69921875" style="26"/>
    <col min="9494" max="9495" width="12.09765625" style="26" customWidth="1"/>
    <col min="9496" max="9496" width="8.69921875" style="26"/>
    <col min="9497" max="9497" width="12.5" style="26" customWidth="1"/>
    <col min="9498" max="9498" width="9.59765625" style="26" customWidth="1"/>
    <col min="9499" max="9499" width="15.59765625" style="26" customWidth="1"/>
    <col min="9500" max="9501" width="11.3984375" style="26" customWidth="1"/>
    <col min="9502" max="9502" width="10.09765625" style="26" customWidth="1"/>
    <col min="9503" max="9503" width="16.5" style="26" customWidth="1"/>
    <col min="9504" max="9504" width="11.59765625" style="26" customWidth="1"/>
    <col min="9505" max="9506" width="11.8984375" style="26" customWidth="1"/>
    <col min="9507" max="9507" width="9.796875" style="26" customWidth="1"/>
    <col min="9508" max="9508" width="10" style="26" customWidth="1"/>
    <col min="9509" max="9509" width="13.69921875" style="26" customWidth="1"/>
    <col min="9510" max="9510" width="8.69921875" style="26"/>
    <col min="9511" max="9511" width="9.8984375" style="26" customWidth="1"/>
    <col min="9512" max="9512" width="9.69921875" style="26" customWidth="1"/>
    <col min="9513" max="9513" width="10.296875" style="26" customWidth="1"/>
    <col min="9514" max="9514" width="3.59765625" style="26" customWidth="1"/>
    <col min="9515" max="9705" width="8.69921875" style="26"/>
    <col min="9706" max="9706" width="5.796875" style="26" customWidth="1"/>
    <col min="9707" max="9707" width="12.5" style="26" customWidth="1"/>
    <col min="9708" max="9708" width="12.8984375" style="26" customWidth="1"/>
    <col min="9709" max="9725" width="8.69921875" style="26"/>
    <col min="9726" max="9726" width="10.796875" style="26" customWidth="1"/>
    <col min="9727" max="9727" width="11.5" style="26" customWidth="1"/>
    <col min="9728" max="9728" width="10" style="26" customWidth="1"/>
    <col min="9729" max="9729" width="10.796875" style="26" customWidth="1"/>
    <col min="9730" max="9730" width="8.69921875" style="26"/>
    <col min="9731" max="9731" width="13.796875" style="26" customWidth="1"/>
    <col min="9732" max="9732" width="13.69921875" style="26" customWidth="1"/>
    <col min="9733" max="9733" width="19.296875" style="26" customWidth="1"/>
    <col min="9734" max="9749" width="8.69921875" style="26"/>
    <col min="9750" max="9751" width="12.09765625" style="26" customWidth="1"/>
    <col min="9752" max="9752" width="8.69921875" style="26"/>
    <col min="9753" max="9753" width="12.5" style="26" customWidth="1"/>
    <col min="9754" max="9754" width="9.59765625" style="26" customWidth="1"/>
    <col min="9755" max="9755" width="15.59765625" style="26" customWidth="1"/>
    <col min="9756" max="9757" width="11.3984375" style="26" customWidth="1"/>
    <col min="9758" max="9758" width="10.09765625" style="26" customWidth="1"/>
    <col min="9759" max="9759" width="16.5" style="26" customWidth="1"/>
    <col min="9760" max="9760" width="11.59765625" style="26" customWidth="1"/>
    <col min="9761" max="9762" width="11.8984375" style="26" customWidth="1"/>
    <col min="9763" max="9763" width="9.796875" style="26" customWidth="1"/>
    <col min="9764" max="9764" width="10" style="26" customWidth="1"/>
    <col min="9765" max="9765" width="13.69921875" style="26" customWidth="1"/>
    <col min="9766" max="9766" width="8.69921875" style="26"/>
    <col min="9767" max="9767" width="9.8984375" style="26" customWidth="1"/>
    <col min="9768" max="9768" width="9.69921875" style="26" customWidth="1"/>
    <col min="9769" max="9769" width="10.296875" style="26" customWidth="1"/>
    <col min="9770" max="9770" width="3.59765625" style="26" customWidth="1"/>
    <col min="9771" max="9961" width="8.69921875" style="26"/>
    <col min="9962" max="9962" width="5.796875" style="26" customWidth="1"/>
    <col min="9963" max="9963" width="12.5" style="26" customWidth="1"/>
    <col min="9964" max="9964" width="12.8984375" style="26" customWidth="1"/>
    <col min="9965" max="9981" width="8.69921875" style="26"/>
    <col min="9982" max="9982" width="10.796875" style="26" customWidth="1"/>
    <col min="9983" max="9983" width="11.5" style="26" customWidth="1"/>
    <col min="9984" max="9984" width="10" style="26" customWidth="1"/>
    <col min="9985" max="9985" width="10.796875" style="26" customWidth="1"/>
    <col min="9986" max="9986" width="8.69921875" style="26"/>
    <col min="9987" max="9987" width="13.796875" style="26" customWidth="1"/>
    <col min="9988" max="9988" width="13.69921875" style="26" customWidth="1"/>
    <col min="9989" max="9989" width="19.296875" style="26" customWidth="1"/>
    <col min="9990" max="10005" width="8.69921875" style="26"/>
    <col min="10006" max="10007" width="12.09765625" style="26" customWidth="1"/>
    <col min="10008" max="10008" width="8.69921875" style="26"/>
    <col min="10009" max="10009" width="12.5" style="26" customWidth="1"/>
    <col min="10010" max="10010" width="9.59765625" style="26" customWidth="1"/>
    <col min="10011" max="10011" width="15.59765625" style="26" customWidth="1"/>
    <col min="10012" max="10013" width="11.3984375" style="26" customWidth="1"/>
    <col min="10014" max="10014" width="10.09765625" style="26" customWidth="1"/>
    <col min="10015" max="10015" width="16.5" style="26" customWidth="1"/>
    <col min="10016" max="10016" width="11.59765625" style="26" customWidth="1"/>
    <col min="10017" max="10018" width="11.8984375" style="26" customWidth="1"/>
    <col min="10019" max="10019" width="9.796875" style="26" customWidth="1"/>
    <col min="10020" max="10020" width="10" style="26" customWidth="1"/>
    <col min="10021" max="10021" width="13.69921875" style="26" customWidth="1"/>
    <col min="10022" max="10022" width="8.69921875" style="26"/>
    <col min="10023" max="10023" width="9.8984375" style="26" customWidth="1"/>
    <col min="10024" max="10024" width="9.69921875" style="26" customWidth="1"/>
    <col min="10025" max="10025" width="10.296875" style="26" customWidth="1"/>
    <col min="10026" max="10026" width="3.59765625" style="26" customWidth="1"/>
    <col min="10027" max="10217" width="8.69921875" style="26"/>
    <col min="10218" max="10218" width="5.796875" style="26" customWidth="1"/>
    <col min="10219" max="10219" width="12.5" style="26" customWidth="1"/>
    <col min="10220" max="10220" width="12.8984375" style="26" customWidth="1"/>
    <col min="10221" max="10237" width="8.69921875" style="26"/>
    <col min="10238" max="10238" width="10.796875" style="26" customWidth="1"/>
    <col min="10239" max="10239" width="11.5" style="26" customWidth="1"/>
    <col min="10240" max="10240" width="10" style="26" customWidth="1"/>
    <col min="10241" max="10241" width="10.796875" style="26" customWidth="1"/>
    <col min="10242" max="10242" width="8.69921875" style="26"/>
    <col min="10243" max="10243" width="13.796875" style="26" customWidth="1"/>
    <col min="10244" max="10244" width="13.69921875" style="26" customWidth="1"/>
    <col min="10245" max="10245" width="19.296875" style="26" customWidth="1"/>
    <col min="10246" max="10261" width="8.69921875" style="26"/>
    <col min="10262" max="10263" width="12.09765625" style="26" customWidth="1"/>
    <col min="10264" max="10264" width="8.69921875" style="26"/>
    <col min="10265" max="10265" width="12.5" style="26" customWidth="1"/>
    <col min="10266" max="10266" width="9.59765625" style="26" customWidth="1"/>
    <col min="10267" max="10267" width="15.59765625" style="26" customWidth="1"/>
    <col min="10268" max="10269" width="11.3984375" style="26" customWidth="1"/>
    <col min="10270" max="10270" width="10.09765625" style="26" customWidth="1"/>
    <col min="10271" max="10271" width="16.5" style="26" customWidth="1"/>
    <col min="10272" max="10272" width="11.59765625" style="26" customWidth="1"/>
    <col min="10273" max="10274" width="11.8984375" style="26" customWidth="1"/>
    <col min="10275" max="10275" width="9.796875" style="26" customWidth="1"/>
    <col min="10276" max="10276" width="10" style="26" customWidth="1"/>
    <col min="10277" max="10277" width="13.69921875" style="26" customWidth="1"/>
    <col min="10278" max="10278" width="8.69921875" style="26"/>
    <col min="10279" max="10279" width="9.8984375" style="26" customWidth="1"/>
    <col min="10280" max="10280" width="9.69921875" style="26" customWidth="1"/>
    <col min="10281" max="10281" width="10.296875" style="26" customWidth="1"/>
    <col min="10282" max="10282" width="3.59765625" style="26" customWidth="1"/>
    <col min="10283" max="10473" width="8.69921875" style="26"/>
    <col min="10474" max="10474" width="5.796875" style="26" customWidth="1"/>
    <col min="10475" max="10475" width="12.5" style="26" customWidth="1"/>
    <col min="10476" max="10476" width="12.8984375" style="26" customWidth="1"/>
    <col min="10477" max="10493" width="8.69921875" style="26"/>
    <col min="10494" max="10494" width="10.796875" style="26" customWidth="1"/>
    <col min="10495" max="10495" width="11.5" style="26" customWidth="1"/>
    <col min="10496" max="10496" width="10" style="26" customWidth="1"/>
    <col min="10497" max="10497" width="10.796875" style="26" customWidth="1"/>
    <col min="10498" max="10498" width="8.69921875" style="26"/>
    <col min="10499" max="10499" width="13.796875" style="26" customWidth="1"/>
    <col min="10500" max="10500" width="13.69921875" style="26" customWidth="1"/>
    <col min="10501" max="10501" width="19.296875" style="26" customWidth="1"/>
    <col min="10502" max="10517" width="8.69921875" style="26"/>
    <col min="10518" max="10519" width="12.09765625" style="26" customWidth="1"/>
    <col min="10520" max="10520" width="8.69921875" style="26"/>
    <col min="10521" max="10521" width="12.5" style="26" customWidth="1"/>
    <col min="10522" max="10522" width="9.59765625" style="26" customWidth="1"/>
    <col min="10523" max="10523" width="15.59765625" style="26" customWidth="1"/>
    <col min="10524" max="10525" width="11.3984375" style="26" customWidth="1"/>
    <col min="10526" max="10526" width="10.09765625" style="26" customWidth="1"/>
    <col min="10527" max="10527" width="16.5" style="26" customWidth="1"/>
    <col min="10528" max="10528" width="11.59765625" style="26" customWidth="1"/>
    <col min="10529" max="10530" width="11.8984375" style="26" customWidth="1"/>
    <col min="10531" max="10531" width="9.796875" style="26" customWidth="1"/>
    <col min="10532" max="10532" width="10" style="26" customWidth="1"/>
    <col min="10533" max="10533" width="13.69921875" style="26" customWidth="1"/>
    <col min="10534" max="10534" width="8.69921875" style="26"/>
    <col min="10535" max="10535" width="9.8984375" style="26" customWidth="1"/>
    <col min="10536" max="10536" width="9.69921875" style="26" customWidth="1"/>
    <col min="10537" max="10537" width="10.296875" style="26" customWidth="1"/>
    <col min="10538" max="10538" width="3.59765625" style="26" customWidth="1"/>
    <col min="10539" max="10729" width="8.69921875" style="26"/>
    <col min="10730" max="10730" width="5.796875" style="26" customWidth="1"/>
    <col min="10731" max="10731" width="12.5" style="26" customWidth="1"/>
    <col min="10732" max="10732" width="12.8984375" style="26" customWidth="1"/>
    <col min="10733" max="10749" width="8.69921875" style="26"/>
    <col min="10750" max="10750" width="10.796875" style="26" customWidth="1"/>
    <col min="10751" max="10751" width="11.5" style="26" customWidth="1"/>
    <col min="10752" max="10752" width="10" style="26" customWidth="1"/>
    <col min="10753" max="10753" width="10.796875" style="26" customWidth="1"/>
    <col min="10754" max="10754" width="8.69921875" style="26"/>
    <col min="10755" max="10755" width="13.796875" style="26" customWidth="1"/>
    <col min="10756" max="10756" width="13.69921875" style="26" customWidth="1"/>
    <col min="10757" max="10757" width="19.296875" style="26" customWidth="1"/>
    <col min="10758" max="10773" width="8.69921875" style="26"/>
    <col min="10774" max="10775" width="12.09765625" style="26" customWidth="1"/>
    <col min="10776" max="10776" width="8.69921875" style="26"/>
    <col min="10777" max="10777" width="12.5" style="26" customWidth="1"/>
    <col min="10778" max="10778" width="9.59765625" style="26" customWidth="1"/>
    <col min="10779" max="10779" width="15.59765625" style="26" customWidth="1"/>
    <col min="10780" max="10781" width="11.3984375" style="26" customWidth="1"/>
    <col min="10782" max="10782" width="10.09765625" style="26" customWidth="1"/>
    <col min="10783" max="10783" width="16.5" style="26" customWidth="1"/>
    <col min="10784" max="10784" width="11.59765625" style="26" customWidth="1"/>
    <col min="10785" max="10786" width="11.8984375" style="26" customWidth="1"/>
    <col min="10787" max="10787" width="9.796875" style="26" customWidth="1"/>
    <col min="10788" max="10788" width="10" style="26" customWidth="1"/>
    <col min="10789" max="10789" width="13.69921875" style="26" customWidth="1"/>
    <col min="10790" max="10790" width="8.69921875" style="26"/>
    <col min="10791" max="10791" width="9.8984375" style="26" customWidth="1"/>
    <col min="10792" max="10792" width="9.69921875" style="26" customWidth="1"/>
    <col min="10793" max="10793" width="10.296875" style="26" customWidth="1"/>
    <col min="10794" max="10794" width="3.59765625" style="26" customWidth="1"/>
    <col min="10795" max="10985" width="8.69921875" style="26"/>
    <col min="10986" max="10986" width="5.796875" style="26" customWidth="1"/>
    <col min="10987" max="10987" width="12.5" style="26" customWidth="1"/>
    <col min="10988" max="10988" width="12.8984375" style="26" customWidth="1"/>
    <col min="10989" max="11005" width="8.69921875" style="26"/>
    <col min="11006" max="11006" width="10.796875" style="26" customWidth="1"/>
    <col min="11007" max="11007" width="11.5" style="26" customWidth="1"/>
    <col min="11008" max="11008" width="10" style="26" customWidth="1"/>
    <col min="11009" max="11009" width="10.796875" style="26" customWidth="1"/>
    <col min="11010" max="11010" width="8.69921875" style="26"/>
    <col min="11011" max="11011" width="13.796875" style="26" customWidth="1"/>
    <col min="11012" max="11012" width="13.69921875" style="26" customWidth="1"/>
    <col min="11013" max="11013" width="19.296875" style="26" customWidth="1"/>
    <col min="11014" max="11029" width="8.69921875" style="26"/>
    <col min="11030" max="11031" width="12.09765625" style="26" customWidth="1"/>
    <col min="11032" max="11032" width="8.69921875" style="26"/>
    <col min="11033" max="11033" width="12.5" style="26" customWidth="1"/>
    <col min="11034" max="11034" width="9.59765625" style="26" customWidth="1"/>
    <col min="11035" max="11035" width="15.59765625" style="26" customWidth="1"/>
    <col min="11036" max="11037" width="11.3984375" style="26" customWidth="1"/>
    <col min="11038" max="11038" width="10.09765625" style="26" customWidth="1"/>
    <col min="11039" max="11039" width="16.5" style="26" customWidth="1"/>
    <col min="11040" max="11040" width="11.59765625" style="26" customWidth="1"/>
    <col min="11041" max="11042" width="11.8984375" style="26" customWidth="1"/>
    <col min="11043" max="11043" width="9.796875" style="26" customWidth="1"/>
    <col min="11044" max="11044" width="10" style="26" customWidth="1"/>
    <col min="11045" max="11045" width="13.69921875" style="26" customWidth="1"/>
    <col min="11046" max="11046" width="8.69921875" style="26"/>
    <col min="11047" max="11047" width="9.8984375" style="26" customWidth="1"/>
    <col min="11048" max="11048" width="9.69921875" style="26" customWidth="1"/>
    <col min="11049" max="11049" width="10.296875" style="26" customWidth="1"/>
    <col min="11050" max="11050" width="3.59765625" style="26" customWidth="1"/>
    <col min="11051" max="11241" width="8.69921875" style="26"/>
    <col min="11242" max="11242" width="5.796875" style="26" customWidth="1"/>
    <col min="11243" max="11243" width="12.5" style="26" customWidth="1"/>
    <col min="11244" max="11244" width="12.8984375" style="26" customWidth="1"/>
    <col min="11245" max="11261" width="8.69921875" style="26"/>
    <col min="11262" max="11262" width="10.796875" style="26" customWidth="1"/>
    <col min="11263" max="11263" width="11.5" style="26" customWidth="1"/>
    <col min="11264" max="11264" width="10" style="26" customWidth="1"/>
    <col min="11265" max="11265" width="10.796875" style="26" customWidth="1"/>
    <col min="11266" max="11266" width="8.69921875" style="26"/>
    <col min="11267" max="11267" width="13.796875" style="26" customWidth="1"/>
    <col min="11268" max="11268" width="13.69921875" style="26" customWidth="1"/>
    <col min="11269" max="11269" width="19.296875" style="26" customWidth="1"/>
    <col min="11270" max="11285" width="8.69921875" style="26"/>
    <col min="11286" max="11287" width="12.09765625" style="26" customWidth="1"/>
    <col min="11288" max="11288" width="8.69921875" style="26"/>
    <col min="11289" max="11289" width="12.5" style="26" customWidth="1"/>
    <col min="11290" max="11290" width="9.59765625" style="26" customWidth="1"/>
    <col min="11291" max="11291" width="15.59765625" style="26" customWidth="1"/>
    <col min="11292" max="11293" width="11.3984375" style="26" customWidth="1"/>
    <col min="11294" max="11294" width="10.09765625" style="26" customWidth="1"/>
    <col min="11295" max="11295" width="16.5" style="26" customWidth="1"/>
    <col min="11296" max="11296" width="11.59765625" style="26" customWidth="1"/>
    <col min="11297" max="11298" width="11.8984375" style="26" customWidth="1"/>
    <col min="11299" max="11299" width="9.796875" style="26" customWidth="1"/>
    <col min="11300" max="11300" width="10" style="26" customWidth="1"/>
    <col min="11301" max="11301" width="13.69921875" style="26" customWidth="1"/>
    <col min="11302" max="11302" width="8.69921875" style="26"/>
    <col min="11303" max="11303" width="9.8984375" style="26" customWidth="1"/>
    <col min="11304" max="11304" width="9.69921875" style="26" customWidth="1"/>
    <col min="11305" max="11305" width="10.296875" style="26" customWidth="1"/>
    <col min="11306" max="11306" width="3.59765625" style="26" customWidth="1"/>
    <col min="11307" max="11497" width="8.69921875" style="26"/>
    <col min="11498" max="11498" width="5.796875" style="26" customWidth="1"/>
    <col min="11499" max="11499" width="12.5" style="26" customWidth="1"/>
    <col min="11500" max="11500" width="12.8984375" style="26" customWidth="1"/>
    <col min="11501" max="11517" width="8.69921875" style="26"/>
    <col min="11518" max="11518" width="10.796875" style="26" customWidth="1"/>
    <col min="11519" max="11519" width="11.5" style="26" customWidth="1"/>
    <col min="11520" max="11520" width="10" style="26" customWidth="1"/>
    <col min="11521" max="11521" width="10.796875" style="26" customWidth="1"/>
    <col min="11522" max="11522" width="8.69921875" style="26"/>
    <col min="11523" max="11523" width="13.796875" style="26" customWidth="1"/>
    <col min="11524" max="11524" width="13.69921875" style="26" customWidth="1"/>
    <col min="11525" max="11525" width="19.296875" style="26" customWidth="1"/>
    <col min="11526" max="11541" width="8.69921875" style="26"/>
    <col min="11542" max="11543" width="12.09765625" style="26" customWidth="1"/>
    <col min="11544" max="11544" width="8.69921875" style="26"/>
    <col min="11545" max="11545" width="12.5" style="26" customWidth="1"/>
    <col min="11546" max="11546" width="9.59765625" style="26" customWidth="1"/>
    <col min="11547" max="11547" width="15.59765625" style="26" customWidth="1"/>
    <col min="11548" max="11549" width="11.3984375" style="26" customWidth="1"/>
    <col min="11550" max="11550" width="10.09765625" style="26" customWidth="1"/>
    <col min="11551" max="11551" width="16.5" style="26" customWidth="1"/>
    <col min="11552" max="11552" width="11.59765625" style="26" customWidth="1"/>
    <col min="11553" max="11554" width="11.8984375" style="26" customWidth="1"/>
    <col min="11555" max="11555" width="9.796875" style="26" customWidth="1"/>
    <col min="11556" max="11556" width="10" style="26" customWidth="1"/>
    <col min="11557" max="11557" width="13.69921875" style="26" customWidth="1"/>
    <col min="11558" max="11558" width="8.69921875" style="26"/>
    <col min="11559" max="11559" width="9.8984375" style="26" customWidth="1"/>
    <col min="11560" max="11560" width="9.69921875" style="26" customWidth="1"/>
    <col min="11561" max="11561" width="10.296875" style="26" customWidth="1"/>
    <col min="11562" max="11562" width="3.59765625" style="26" customWidth="1"/>
    <col min="11563" max="11753" width="8.69921875" style="26"/>
    <col min="11754" max="11754" width="5.796875" style="26" customWidth="1"/>
    <col min="11755" max="11755" width="12.5" style="26" customWidth="1"/>
    <col min="11756" max="11756" width="12.8984375" style="26" customWidth="1"/>
    <col min="11757" max="11773" width="8.69921875" style="26"/>
    <col min="11774" max="11774" width="10.796875" style="26" customWidth="1"/>
    <col min="11775" max="11775" width="11.5" style="26" customWidth="1"/>
    <col min="11776" max="11776" width="10" style="26" customWidth="1"/>
    <col min="11777" max="11777" width="10.796875" style="26" customWidth="1"/>
    <col min="11778" max="11778" width="8.69921875" style="26"/>
    <col min="11779" max="11779" width="13.796875" style="26" customWidth="1"/>
    <col min="11780" max="11780" width="13.69921875" style="26" customWidth="1"/>
    <col min="11781" max="11781" width="19.296875" style="26" customWidth="1"/>
    <col min="11782" max="11797" width="8.69921875" style="26"/>
    <col min="11798" max="11799" width="12.09765625" style="26" customWidth="1"/>
    <col min="11800" max="11800" width="8.69921875" style="26"/>
    <col min="11801" max="11801" width="12.5" style="26" customWidth="1"/>
    <col min="11802" max="11802" width="9.59765625" style="26" customWidth="1"/>
    <col min="11803" max="11803" width="15.59765625" style="26" customWidth="1"/>
    <col min="11804" max="11805" width="11.3984375" style="26" customWidth="1"/>
    <col min="11806" max="11806" width="10.09765625" style="26" customWidth="1"/>
    <col min="11807" max="11807" width="16.5" style="26" customWidth="1"/>
    <col min="11808" max="11808" width="11.59765625" style="26" customWidth="1"/>
    <col min="11809" max="11810" width="11.8984375" style="26" customWidth="1"/>
    <col min="11811" max="11811" width="9.796875" style="26" customWidth="1"/>
    <col min="11812" max="11812" width="10" style="26" customWidth="1"/>
    <col min="11813" max="11813" width="13.69921875" style="26" customWidth="1"/>
    <col min="11814" max="11814" width="8.69921875" style="26"/>
    <col min="11815" max="11815" width="9.8984375" style="26" customWidth="1"/>
    <col min="11816" max="11816" width="9.69921875" style="26" customWidth="1"/>
    <col min="11817" max="11817" width="10.296875" style="26" customWidth="1"/>
    <col min="11818" max="11818" width="3.59765625" style="26" customWidth="1"/>
    <col min="11819" max="12009" width="8.69921875" style="26"/>
    <col min="12010" max="12010" width="5.796875" style="26" customWidth="1"/>
    <col min="12011" max="12011" width="12.5" style="26" customWidth="1"/>
    <col min="12012" max="12012" width="12.8984375" style="26" customWidth="1"/>
    <col min="12013" max="12029" width="8.69921875" style="26"/>
    <col min="12030" max="12030" width="10.796875" style="26" customWidth="1"/>
    <col min="12031" max="12031" width="11.5" style="26" customWidth="1"/>
    <col min="12032" max="12032" width="10" style="26" customWidth="1"/>
    <col min="12033" max="12033" width="10.796875" style="26" customWidth="1"/>
    <col min="12034" max="12034" width="8.69921875" style="26"/>
    <col min="12035" max="12035" width="13.796875" style="26" customWidth="1"/>
    <col min="12036" max="12036" width="13.69921875" style="26" customWidth="1"/>
    <col min="12037" max="12037" width="19.296875" style="26" customWidth="1"/>
    <col min="12038" max="12053" width="8.69921875" style="26"/>
    <col min="12054" max="12055" width="12.09765625" style="26" customWidth="1"/>
    <col min="12056" max="12056" width="8.69921875" style="26"/>
    <col min="12057" max="12057" width="12.5" style="26" customWidth="1"/>
    <col min="12058" max="12058" width="9.59765625" style="26" customWidth="1"/>
    <col min="12059" max="12059" width="15.59765625" style="26" customWidth="1"/>
    <col min="12060" max="12061" width="11.3984375" style="26" customWidth="1"/>
    <col min="12062" max="12062" width="10.09765625" style="26" customWidth="1"/>
    <col min="12063" max="12063" width="16.5" style="26" customWidth="1"/>
    <col min="12064" max="12064" width="11.59765625" style="26" customWidth="1"/>
    <col min="12065" max="12066" width="11.8984375" style="26" customWidth="1"/>
    <col min="12067" max="12067" width="9.796875" style="26" customWidth="1"/>
    <col min="12068" max="12068" width="10" style="26" customWidth="1"/>
    <col min="12069" max="12069" width="13.69921875" style="26" customWidth="1"/>
    <col min="12070" max="12070" width="8.69921875" style="26"/>
    <col min="12071" max="12071" width="9.8984375" style="26" customWidth="1"/>
    <col min="12072" max="12072" width="9.69921875" style="26" customWidth="1"/>
    <col min="12073" max="12073" width="10.296875" style="26" customWidth="1"/>
    <col min="12074" max="12074" width="3.59765625" style="26" customWidth="1"/>
    <col min="12075" max="12265" width="8.69921875" style="26"/>
    <col min="12266" max="12266" width="5.796875" style="26" customWidth="1"/>
    <col min="12267" max="12267" width="12.5" style="26" customWidth="1"/>
    <col min="12268" max="12268" width="12.8984375" style="26" customWidth="1"/>
    <col min="12269" max="12285" width="8.69921875" style="26"/>
    <col min="12286" max="12286" width="10.796875" style="26" customWidth="1"/>
    <col min="12287" max="12287" width="11.5" style="26" customWidth="1"/>
    <col min="12288" max="12288" width="10" style="26" customWidth="1"/>
    <col min="12289" max="12289" width="10.796875" style="26" customWidth="1"/>
    <col min="12290" max="12290" width="8.69921875" style="26"/>
    <col min="12291" max="12291" width="13.796875" style="26" customWidth="1"/>
    <col min="12292" max="12292" width="13.69921875" style="26" customWidth="1"/>
    <col min="12293" max="12293" width="19.296875" style="26" customWidth="1"/>
    <col min="12294" max="12309" width="8.69921875" style="26"/>
    <col min="12310" max="12311" width="12.09765625" style="26" customWidth="1"/>
    <col min="12312" max="12312" width="8.69921875" style="26"/>
    <col min="12313" max="12313" width="12.5" style="26" customWidth="1"/>
    <col min="12314" max="12314" width="9.59765625" style="26" customWidth="1"/>
    <col min="12315" max="12315" width="15.59765625" style="26" customWidth="1"/>
    <col min="12316" max="12317" width="11.3984375" style="26" customWidth="1"/>
    <col min="12318" max="12318" width="10.09765625" style="26" customWidth="1"/>
    <col min="12319" max="12319" width="16.5" style="26" customWidth="1"/>
    <col min="12320" max="12320" width="11.59765625" style="26" customWidth="1"/>
    <col min="12321" max="12322" width="11.8984375" style="26" customWidth="1"/>
    <col min="12323" max="12323" width="9.796875" style="26" customWidth="1"/>
    <col min="12324" max="12324" width="10" style="26" customWidth="1"/>
    <col min="12325" max="12325" width="13.69921875" style="26" customWidth="1"/>
    <col min="12326" max="12326" width="8.69921875" style="26"/>
    <col min="12327" max="12327" width="9.8984375" style="26" customWidth="1"/>
    <col min="12328" max="12328" width="9.69921875" style="26" customWidth="1"/>
    <col min="12329" max="12329" width="10.296875" style="26" customWidth="1"/>
    <col min="12330" max="12330" width="3.59765625" style="26" customWidth="1"/>
    <col min="12331" max="12521" width="8.69921875" style="26"/>
    <col min="12522" max="12522" width="5.796875" style="26" customWidth="1"/>
    <col min="12523" max="12523" width="12.5" style="26" customWidth="1"/>
    <col min="12524" max="12524" width="12.8984375" style="26" customWidth="1"/>
    <col min="12525" max="12541" width="8.69921875" style="26"/>
    <col min="12542" max="12542" width="10.796875" style="26" customWidth="1"/>
    <col min="12543" max="12543" width="11.5" style="26" customWidth="1"/>
    <col min="12544" max="12544" width="10" style="26" customWidth="1"/>
    <col min="12545" max="12545" width="10.796875" style="26" customWidth="1"/>
    <col min="12546" max="12546" width="8.69921875" style="26"/>
    <col min="12547" max="12547" width="13.796875" style="26" customWidth="1"/>
    <col min="12548" max="12548" width="13.69921875" style="26" customWidth="1"/>
    <col min="12549" max="12549" width="19.296875" style="26" customWidth="1"/>
    <col min="12550" max="12565" width="8.69921875" style="26"/>
    <col min="12566" max="12567" width="12.09765625" style="26" customWidth="1"/>
    <col min="12568" max="12568" width="8.69921875" style="26"/>
    <col min="12569" max="12569" width="12.5" style="26" customWidth="1"/>
    <col min="12570" max="12570" width="9.59765625" style="26" customWidth="1"/>
    <col min="12571" max="12571" width="15.59765625" style="26" customWidth="1"/>
    <col min="12572" max="12573" width="11.3984375" style="26" customWidth="1"/>
    <col min="12574" max="12574" width="10.09765625" style="26" customWidth="1"/>
    <col min="12575" max="12575" width="16.5" style="26" customWidth="1"/>
    <col min="12576" max="12576" width="11.59765625" style="26" customWidth="1"/>
    <col min="12577" max="12578" width="11.8984375" style="26" customWidth="1"/>
    <col min="12579" max="12579" width="9.796875" style="26" customWidth="1"/>
    <col min="12580" max="12580" width="10" style="26" customWidth="1"/>
    <col min="12581" max="12581" width="13.69921875" style="26" customWidth="1"/>
    <col min="12582" max="12582" width="8.69921875" style="26"/>
    <col min="12583" max="12583" width="9.8984375" style="26" customWidth="1"/>
    <col min="12584" max="12584" width="9.69921875" style="26" customWidth="1"/>
    <col min="12585" max="12585" width="10.296875" style="26" customWidth="1"/>
    <col min="12586" max="12586" width="3.59765625" style="26" customWidth="1"/>
    <col min="12587" max="12777" width="8.69921875" style="26"/>
    <col min="12778" max="12778" width="5.796875" style="26" customWidth="1"/>
    <col min="12779" max="12779" width="12.5" style="26" customWidth="1"/>
    <col min="12780" max="12780" width="12.8984375" style="26" customWidth="1"/>
    <col min="12781" max="12797" width="8.69921875" style="26"/>
    <col min="12798" max="12798" width="10.796875" style="26" customWidth="1"/>
    <col min="12799" max="12799" width="11.5" style="26" customWidth="1"/>
    <col min="12800" max="12800" width="10" style="26" customWidth="1"/>
    <col min="12801" max="12801" width="10.796875" style="26" customWidth="1"/>
    <col min="12802" max="12802" width="8.69921875" style="26"/>
    <col min="12803" max="12803" width="13.796875" style="26" customWidth="1"/>
    <col min="12804" max="12804" width="13.69921875" style="26" customWidth="1"/>
    <col min="12805" max="12805" width="19.296875" style="26" customWidth="1"/>
    <col min="12806" max="12821" width="8.69921875" style="26"/>
    <col min="12822" max="12823" width="12.09765625" style="26" customWidth="1"/>
    <col min="12824" max="12824" width="8.69921875" style="26"/>
    <col min="12825" max="12825" width="12.5" style="26" customWidth="1"/>
    <col min="12826" max="12826" width="9.59765625" style="26" customWidth="1"/>
    <col min="12827" max="12827" width="15.59765625" style="26" customWidth="1"/>
    <col min="12828" max="12829" width="11.3984375" style="26" customWidth="1"/>
    <col min="12830" max="12830" width="10.09765625" style="26" customWidth="1"/>
    <col min="12831" max="12831" width="16.5" style="26" customWidth="1"/>
    <col min="12832" max="12832" width="11.59765625" style="26" customWidth="1"/>
    <col min="12833" max="12834" width="11.8984375" style="26" customWidth="1"/>
    <col min="12835" max="12835" width="9.796875" style="26" customWidth="1"/>
    <col min="12836" max="12836" width="10" style="26" customWidth="1"/>
    <col min="12837" max="12837" width="13.69921875" style="26" customWidth="1"/>
    <col min="12838" max="12838" width="8.69921875" style="26"/>
    <col min="12839" max="12839" width="9.8984375" style="26" customWidth="1"/>
    <col min="12840" max="12840" width="9.69921875" style="26" customWidth="1"/>
    <col min="12841" max="12841" width="10.296875" style="26" customWidth="1"/>
    <col min="12842" max="12842" width="3.59765625" style="26" customWidth="1"/>
    <col min="12843" max="13033" width="8.69921875" style="26"/>
    <col min="13034" max="13034" width="5.796875" style="26" customWidth="1"/>
    <col min="13035" max="13035" width="12.5" style="26" customWidth="1"/>
    <col min="13036" max="13036" width="12.8984375" style="26" customWidth="1"/>
    <col min="13037" max="13053" width="8.69921875" style="26"/>
    <col min="13054" max="13054" width="10.796875" style="26" customWidth="1"/>
    <col min="13055" max="13055" width="11.5" style="26" customWidth="1"/>
    <col min="13056" max="13056" width="10" style="26" customWidth="1"/>
    <col min="13057" max="13057" width="10.796875" style="26" customWidth="1"/>
    <col min="13058" max="13058" width="8.69921875" style="26"/>
    <col min="13059" max="13059" width="13.796875" style="26" customWidth="1"/>
    <col min="13060" max="13060" width="13.69921875" style="26" customWidth="1"/>
    <col min="13061" max="13061" width="19.296875" style="26" customWidth="1"/>
    <col min="13062" max="13077" width="8.69921875" style="26"/>
    <col min="13078" max="13079" width="12.09765625" style="26" customWidth="1"/>
    <col min="13080" max="13080" width="8.69921875" style="26"/>
    <col min="13081" max="13081" width="12.5" style="26" customWidth="1"/>
    <col min="13082" max="13082" width="9.59765625" style="26" customWidth="1"/>
    <col min="13083" max="13083" width="15.59765625" style="26" customWidth="1"/>
    <col min="13084" max="13085" width="11.3984375" style="26" customWidth="1"/>
    <col min="13086" max="13086" width="10.09765625" style="26" customWidth="1"/>
    <col min="13087" max="13087" width="16.5" style="26" customWidth="1"/>
    <col min="13088" max="13088" width="11.59765625" style="26" customWidth="1"/>
    <col min="13089" max="13090" width="11.8984375" style="26" customWidth="1"/>
    <col min="13091" max="13091" width="9.796875" style="26" customWidth="1"/>
    <col min="13092" max="13092" width="10" style="26" customWidth="1"/>
    <col min="13093" max="13093" width="13.69921875" style="26" customWidth="1"/>
    <col min="13094" max="13094" width="8.69921875" style="26"/>
    <col min="13095" max="13095" width="9.8984375" style="26" customWidth="1"/>
    <col min="13096" max="13096" width="9.69921875" style="26" customWidth="1"/>
    <col min="13097" max="13097" width="10.296875" style="26" customWidth="1"/>
    <col min="13098" max="13098" width="3.59765625" style="26" customWidth="1"/>
    <col min="13099" max="13289" width="8.69921875" style="26"/>
    <col min="13290" max="13290" width="5.796875" style="26" customWidth="1"/>
    <col min="13291" max="13291" width="12.5" style="26" customWidth="1"/>
    <col min="13292" max="13292" width="12.8984375" style="26" customWidth="1"/>
    <col min="13293" max="13309" width="8.69921875" style="26"/>
    <col min="13310" max="13310" width="10.796875" style="26" customWidth="1"/>
    <col min="13311" max="13311" width="11.5" style="26" customWidth="1"/>
    <col min="13312" max="13312" width="10" style="26" customWidth="1"/>
    <col min="13313" max="13313" width="10.796875" style="26" customWidth="1"/>
    <col min="13314" max="13314" width="8.69921875" style="26"/>
    <col min="13315" max="13315" width="13.796875" style="26" customWidth="1"/>
    <col min="13316" max="13316" width="13.69921875" style="26" customWidth="1"/>
    <col min="13317" max="13317" width="19.296875" style="26" customWidth="1"/>
    <col min="13318" max="13333" width="8.69921875" style="26"/>
    <col min="13334" max="13335" width="12.09765625" style="26" customWidth="1"/>
    <col min="13336" max="13336" width="8.69921875" style="26"/>
    <col min="13337" max="13337" width="12.5" style="26" customWidth="1"/>
    <col min="13338" max="13338" width="9.59765625" style="26" customWidth="1"/>
    <col min="13339" max="13339" width="15.59765625" style="26" customWidth="1"/>
    <col min="13340" max="13341" width="11.3984375" style="26" customWidth="1"/>
    <col min="13342" max="13342" width="10.09765625" style="26" customWidth="1"/>
    <col min="13343" max="13343" width="16.5" style="26" customWidth="1"/>
    <col min="13344" max="13344" width="11.59765625" style="26" customWidth="1"/>
    <col min="13345" max="13346" width="11.8984375" style="26" customWidth="1"/>
    <col min="13347" max="13347" width="9.796875" style="26" customWidth="1"/>
    <col min="13348" max="13348" width="10" style="26" customWidth="1"/>
    <col min="13349" max="13349" width="13.69921875" style="26" customWidth="1"/>
    <col min="13350" max="13350" width="8.69921875" style="26"/>
    <col min="13351" max="13351" width="9.8984375" style="26" customWidth="1"/>
    <col min="13352" max="13352" width="9.69921875" style="26" customWidth="1"/>
    <col min="13353" max="13353" width="10.296875" style="26" customWidth="1"/>
    <col min="13354" max="13354" width="3.59765625" style="26" customWidth="1"/>
    <col min="13355" max="13545" width="8.69921875" style="26"/>
    <col min="13546" max="13546" width="5.796875" style="26" customWidth="1"/>
    <col min="13547" max="13547" width="12.5" style="26" customWidth="1"/>
    <col min="13548" max="13548" width="12.8984375" style="26" customWidth="1"/>
    <col min="13549" max="13565" width="8.69921875" style="26"/>
    <col min="13566" max="13566" width="10.796875" style="26" customWidth="1"/>
    <col min="13567" max="13567" width="11.5" style="26" customWidth="1"/>
    <col min="13568" max="13568" width="10" style="26" customWidth="1"/>
    <col min="13569" max="13569" width="10.796875" style="26" customWidth="1"/>
    <col min="13570" max="13570" width="8.69921875" style="26"/>
    <col min="13571" max="13571" width="13.796875" style="26" customWidth="1"/>
    <col min="13572" max="13572" width="13.69921875" style="26" customWidth="1"/>
    <col min="13573" max="13573" width="19.296875" style="26" customWidth="1"/>
    <col min="13574" max="13589" width="8.69921875" style="26"/>
    <col min="13590" max="13591" width="12.09765625" style="26" customWidth="1"/>
    <col min="13592" max="13592" width="8.69921875" style="26"/>
    <col min="13593" max="13593" width="12.5" style="26" customWidth="1"/>
    <col min="13594" max="13594" width="9.59765625" style="26" customWidth="1"/>
    <col min="13595" max="13595" width="15.59765625" style="26" customWidth="1"/>
    <col min="13596" max="13597" width="11.3984375" style="26" customWidth="1"/>
    <col min="13598" max="13598" width="10.09765625" style="26" customWidth="1"/>
    <col min="13599" max="13599" width="16.5" style="26" customWidth="1"/>
    <col min="13600" max="13600" width="11.59765625" style="26" customWidth="1"/>
    <col min="13601" max="13602" width="11.8984375" style="26" customWidth="1"/>
    <col min="13603" max="13603" width="9.796875" style="26" customWidth="1"/>
    <col min="13604" max="13604" width="10" style="26" customWidth="1"/>
    <col min="13605" max="13605" width="13.69921875" style="26" customWidth="1"/>
    <col min="13606" max="13606" width="8.69921875" style="26"/>
    <col min="13607" max="13607" width="9.8984375" style="26" customWidth="1"/>
    <col min="13608" max="13608" width="9.69921875" style="26" customWidth="1"/>
    <col min="13609" max="13609" width="10.296875" style="26" customWidth="1"/>
    <col min="13610" max="13610" width="3.59765625" style="26" customWidth="1"/>
    <col min="13611" max="13801" width="8.69921875" style="26"/>
    <col min="13802" max="13802" width="5.796875" style="26" customWidth="1"/>
    <col min="13803" max="13803" width="12.5" style="26" customWidth="1"/>
    <col min="13804" max="13804" width="12.8984375" style="26" customWidth="1"/>
    <col min="13805" max="13821" width="8.69921875" style="26"/>
    <col min="13822" max="13822" width="10.796875" style="26" customWidth="1"/>
    <col min="13823" max="13823" width="11.5" style="26" customWidth="1"/>
    <col min="13824" max="13824" width="10" style="26" customWidth="1"/>
    <col min="13825" max="13825" width="10.796875" style="26" customWidth="1"/>
    <col min="13826" max="13826" width="8.69921875" style="26"/>
    <col min="13827" max="13827" width="13.796875" style="26" customWidth="1"/>
    <col min="13828" max="13828" width="13.69921875" style="26" customWidth="1"/>
    <col min="13829" max="13829" width="19.296875" style="26" customWidth="1"/>
    <col min="13830" max="13845" width="8.69921875" style="26"/>
    <col min="13846" max="13847" width="12.09765625" style="26" customWidth="1"/>
    <col min="13848" max="13848" width="8.69921875" style="26"/>
    <col min="13849" max="13849" width="12.5" style="26" customWidth="1"/>
    <col min="13850" max="13850" width="9.59765625" style="26" customWidth="1"/>
    <col min="13851" max="13851" width="15.59765625" style="26" customWidth="1"/>
    <col min="13852" max="13853" width="11.3984375" style="26" customWidth="1"/>
    <col min="13854" max="13854" width="10.09765625" style="26" customWidth="1"/>
    <col min="13855" max="13855" width="16.5" style="26" customWidth="1"/>
    <col min="13856" max="13856" width="11.59765625" style="26" customWidth="1"/>
    <col min="13857" max="13858" width="11.8984375" style="26" customWidth="1"/>
    <col min="13859" max="13859" width="9.796875" style="26" customWidth="1"/>
    <col min="13860" max="13860" width="10" style="26" customWidth="1"/>
    <col min="13861" max="13861" width="13.69921875" style="26" customWidth="1"/>
    <col min="13862" max="13862" width="8.69921875" style="26"/>
    <col min="13863" max="13863" width="9.8984375" style="26" customWidth="1"/>
    <col min="13864" max="13864" width="9.69921875" style="26" customWidth="1"/>
    <col min="13865" max="13865" width="10.296875" style="26" customWidth="1"/>
    <col min="13866" max="13866" width="3.59765625" style="26" customWidth="1"/>
    <col min="13867" max="14057" width="8.69921875" style="26"/>
    <col min="14058" max="14058" width="5.796875" style="26" customWidth="1"/>
    <col min="14059" max="14059" width="12.5" style="26" customWidth="1"/>
    <col min="14060" max="14060" width="12.8984375" style="26" customWidth="1"/>
    <col min="14061" max="14077" width="8.69921875" style="26"/>
    <col min="14078" max="14078" width="10.796875" style="26" customWidth="1"/>
    <col min="14079" max="14079" width="11.5" style="26" customWidth="1"/>
    <col min="14080" max="14080" width="10" style="26" customWidth="1"/>
    <col min="14081" max="14081" width="10.796875" style="26" customWidth="1"/>
    <col min="14082" max="14082" width="8.69921875" style="26"/>
    <col min="14083" max="14083" width="13.796875" style="26" customWidth="1"/>
    <col min="14084" max="14084" width="13.69921875" style="26" customWidth="1"/>
    <col min="14085" max="14085" width="19.296875" style="26" customWidth="1"/>
    <col min="14086" max="14101" width="8.69921875" style="26"/>
    <col min="14102" max="14103" width="12.09765625" style="26" customWidth="1"/>
    <col min="14104" max="14104" width="8.69921875" style="26"/>
    <col min="14105" max="14105" width="12.5" style="26" customWidth="1"/>
    <col min="14106" max="14106" width="9.59765625" style="26" customWidth="1"/>
    <col min="14107" max="14107" width="15.59765625" style="26" customWidth="1"/>
    <col min="14108" max="14109" width="11.3984375" style="26" customWidth="1"/>
    <col min="14110" max="14110" width="10.09765625" style="26" customWidth="1"/>
    <col min="14111" max="14111" width="16.5" style="26" customWidth="1"/>
    <col min="14112" max="14112" width="11.59765625" style="26" customWidth="1"/>
    <col min="14113" max="14114" width="11.8984375" style="26" customWidth="1"/>
    <col min="14115" max="14115" width="9.796875" style="26" customWidth="1"/>
    <col min="14116" max="14116" width="10" style="26" customWidth="1"/>
    <col min="14117" max="14117" width="13.69921875" style="26" customWidth="1"/>
    <col min="14118" max="14118" width="8.69921875" style="26"/>
    <col min="14119" max="14119" width="9.8984375" style="26" customWidth="1"/>
    <col min="14120" max="14120" width="9.69921875" style="26" customWidth="1"/>
    <col min="14121" max="14121" width="10.296875" style="26" customWidth="1"/>
    <col min="14122" max="14122" width="3.59765625" style="26" customWidth="1"/>
    <col min="14123" max="14313" width="8.69921875" style="26"/>
    <col min="14314" max="14314" width="5.796875" style="26" customWidth="1"/>
    <col min="14315" max="14315" width="12.5" style="26" customWidth="1"/>
    <col min="14316" max="14316" width="12.8984375" style="26" customWidth="1"/>
    <col min="14317" max="14333" width="8.69921875" style="26"/>
    <col min="14334" max="14334" width="10.796875" style="26" customWidth="1"/>
    <col min="14335" max="14335" width="11.5" style="26" customWidth="1"/>
    <col min="14336" max="14336" width="10" style="26" customWidth="1"/>
    <col min="14337" max="14337" width="10.796875" style="26" customWidth="1"/>
    <col min="14338" max="14338" width="8.69921875" style="26"/>
    <col min="14339" max="14339" width="13.796875" style="26" customWidth="1"/>
    <col min="14340" max="14340" width="13.69921875" style="26" customWidth="1"/>
    <col min="14341" max="14341" width="19.296875" style="26" customWidth="1"/>
    <col min="14342" max="14357" width="8.69921875" style="26"/>
    <col min="14358" max="14359" width="12.09765625" style="26" customWidth="1"/>
    <col min="14360" max="14360" width="8.69921875" style="26"/>
    <col min="14361" max="14361" width="12.5" style="26" customWidth="1"/>
    <col min="14362" max="14362" width="9.59765625" style="26" customWidth="1"/>
    <col min="14363" max="14363" width="15.59765625" style="26" customWidth="1"/>
    <col min="14364" max="14365" width="11.3984375" style="26" customWidth="1"/>
    <col min="14366" max="14366" width="10.09765625" style="26" customWidth="1"/>
    <col min="14367" max="14367" width="16.5" style="26" customWidth="1"/>
    <col min="14368" max="14368" width="11.59765625" style="26" customWidth="1"/>
    <col min="14369" max="14370" width="11.8984375" style="26" customWidth="1"/>
    <col min="14371" max="14371" width="9.796875" style="26" customWidth="1"/>
    <col min="14372" max="14372" width="10" style="26" customWidth="1"/>
    <col min="14373" max="14373" width="13.69921875" style="26" customWidth="1"/>
    <col min="14374" max="14374" width="8.69921875" style="26"/>
    <col min="14375" max="14375" width="9.8984375" style="26" customWidth="1"/>
    <col min="14376" max="14376" width="9.69921875" style="26" customWidth="1"/>
    <col min="14377" max="14377" width="10.296875" style="26" customWidth="1"/>
    <col min="14378" max="14378" width="3.59765625" style="26" customWidth="1"/>
    <col min="14379" max="14569" width="8.69921875" style="26"/>
    <col min="14570" max="14570" width="5.796875" style="26" customWidth="1"/>
    <col min="14571" max="14571" width="12.5" style="26" customWidth="1"/>
    <col min="14572" max="14572" width="12.8984375" style="26" customWidth="1"/>
    <col min="14573" max="14589" width="8.69921875" style="26"/>
    <col min="14590" max="14590" width="10.796875" style="26" customWidth="1"/>
    <col min="14591" max="14591" width="11.5" style="26" customWidth="1"/>
    <col min="14592" max="14592" width="10" style="26" customWidth="1"/>
    <col min="14593" max="14593" width="10.796875" style="26" customWidth="1"/>
    <col min="14594" max="14594" width="8.69921875" style="26"/>
    <col min="14595" max="14595" width="13.796875" style="26" customWidth="1"/>
    <col min="14596" max="14596" width="13.69921875" style="26" customWidth="1"/>
    <col min="14597" max="14597" width="19.296875" style="26" customWidth="1"/>
    <col min="14598" max="14613" width="8.69921875" style="26"/>
    <col min="14614" max="14615" width="12.09765625" style="26" customWidth="1"/>
    <col min="14616" max="14616" width="8.69921875" style="26"/>
    <col min="14617" max="14617" width="12.5" style="26" customWidth="1"/>
    <col min="14618" max="14618" width="9.59765625" style="26" customWidth="1"/>
    <col min="14619" max="14619" width="15.59765625" style="26" customWidth="1"/>
    <col min="14620" max="14621" width="11.3984375" style="26" customWidth="1"/>
    <col min="14622" max="14622" width="10.09765625" style="26" customWidth="1"/>
    <col min="14623" max="14623" width="16.5" style="26" customWidth="1"/>
    <col min="14624" max="14624" width="11.59765625" style="26" customWidth="1"/>
    <col min="14625" max="14626" width="11.8984375" style="26" customWidth="1"/>
    <col min="14627" max="14627" width="9.796875" style="26" customWidth="1"/>
    <col min="14628" max="14628" width="10" style="26" customWidth="1"/>
    <col min="14629" max="14629" width="13.69921875" style="26" customWidth="1"/>
    <col min="14630" max="14630" width="8.69921875" style="26"/>
    <col min="14631" max="14631" width="9.8984375" style="26" customWidth="1"/>
    <col min="14632" max="14632" width="9.69921875" style="26" customWidth="1"/>
    <col min="14633" max="14633" width="10.296875" style="26" customWidth="1"/>
    <col min="14634" max="14634" width="3.59765625" style="26" customWidth="1"/>
    <col min="14635" max="14825" width="8.69921875" style="26"/>
    <col min="14826" max="14826" width="5.796875" style="26" customWidth="1"/>
    <col min="14827" max="14827" width="12.5" style="26" customWidth="1"/>
    <col min="14828" max="14828" width="12.8984375" style="26" customWidth="1"/>
    <col min="14829" max="14845" width="8.69921875" style="26"/>
    <col min="14846" max="14846" width="10.796875" style="26" customWidth="1"/>
    <col min="14847" max="14847" width="11.5" style="26" customWidth="1"/>
    <col min="14848" max="14848" width="10" style="26" customWidth="1"/>
    <col min="14849" max="14849" width="10.796875" style="26" customWidth="1"/>
    <col min="14850" max="14850" width="8.69921875" style="26"/>
    <col min="14851" max="14851" width="13.796875" style="26" customWidth="1"/>
    <col min="14852" max="14852" width="13.69921875" style="26" customWidth="1"/>
    <col min="14853" max="14853" width="19.296875" style="26" customWidth="1"/>
    <col min="14854" max="14869" width="8.69921875" style="26"/>
    <col min="14870" max="14871" width="12.09765625" style="26" customWidth="1"/>
    <col min="14872" max="14872" width="8.69921875" style="26"/>
    <col min="14873" max="14873" width="12.5" style="26" customWidth="1"/>
    <col min="14874" max="14874" width="9.59765625" style="26" customWidth="1"/>
    <col min="14875" max="14875" width="15.59765625" style="26" customWidth="1"/>
    <col min="14876" max="14877" width="11.3984375" style="26" customWidth="1"/>
    <col min="14878" max="14878" width="10.09765625" style="26" customWidth="1"/>
    <col min="14879" max="14879" width="16.5" style="26" customWidth="1"/>
    <col min="14880" max="14880" width="11.59765625" style="26" customWidth="1"/>
    <col min="14881" max="14882" width="11.8984375" style="26" customWidth="1"/>
    <col min="14883" max="14883" width="9.796875" style="26" customWidth="1"/>
    <col min="14884" max="14884" width="10" style="26" customWidth="1"/>
    <col min="14885" max="14885" width="13.69921875" style="26" customWidth="1"/>
    <col min="14886" max="14886" width="8.69921875" style="26"/>
    <col min="14887" max="14887" width="9.8984375" style="26" customWidth="1"/>
    <col min="14888" max="14888" width="9.69921875" style="26" customWidth="1"/>
    <col min="14889" max="14889" width="10.296875" style="26" customWidth="1"/>
    <col min="14890" max="14890" width="3.59765625" style="26" customWidth="1"/>
    <col min="14891" max="15081" width="8.69921875" style="26"/>
    <col min="15082" max="15082" width="5.796875" style="26" customWidth="1"/>
    <col min="15083" max="15083" width="12.5" style="26" customWidth="1"/>
    <col min="15084" max="15084" width="12.8984375" style="26" customWidth="1"/>
    <col min="15085" max="15101" width="8.69921875" style="26"/>
    <col min="15102" max="15102" width="10.796875" style="26" customWidth="1"/>
    <col min="15103" max="15103" width="11.5" style="26" customWidth="1"/>
    <col min="15104" max="15104" width="10" style="26" customWidth="1"/>
    <col min="15105" max="15105" width="10.796875" style="26" customWidth="1"/>
    <col min="15106" max="15106" width="8.69921875" style="26"/>
    <col min="15107" max="15107" width="13.796875" style="26" customWidth="1"/>
    <col min="15108" max="15108" width="13.69921875" style="26" customWidth="1"/>
    <col min="15109" max="15109" width="19.296875" style="26" customWidth="1"/>
    <col min="15110" max="15125" width="8.69921875" style="26"/>
    <col min="15126" max="15127" width="12.09765625" style="26" customWidth="1"/>
    <col min="15128" max="15128" width="8.69921875" style="26"/>
    <col min="15129" max="15129" width="12.5" style="26" customWidth="1"/>
    <col min="15130" max="15130" width="9.59765625" style="26" customWidth="1"/>
    <col min="15131" max="15131" width="15.59765625" style="26" customWidth="1"/>
    <col min="15132" max="15133" width="11.3984375" style="26" customWidth="1"/>
    <col min="15134" max="15134" width="10.09765625" style="26" customWidth="1"/>
    <col min="15135" max="15135" width="16.5" style="26" customWidth="1"/>
    <col min="15136" max="15136" width="11.59765625" style="26" customWidth="1"/>
    <col min="15137" max="15138" width="11.8984375" style="26" customWidth="1"/>
    <col min="15139" max="15139" width="9.796875" style="26" customWidth="1"/>
    <col min="15140" max="15140" width="10" style="26" customWidth="1"/>
    <col min="15141" max="15141" width="13.69921875" style="26" customWidth="1"/>
    <col min="15142" max="15142" width="8.69921875" style="26"/>
    <col min="15143" max="15143" width="9.8984375" style="26" customWidth="1"/>
    <col min="15144" max="15144" width="9.69921875" style="26" customWidth="1"/>
    <col min="15145" max="15145" width="10.296875" style="26" customWidth="1"/>
    <col min="15146" max="15146" width="3.59765625" style="26" customWidth="1"/>
    <col min="15147" max="15337" width="8.69921875" style="26"/>
    <col min="15338" max="15338" width="5.796875" style="26" customWidth="1"/>
    <col min="15339" max="15339" width="12.5" style="26" customWidth="1"/>
    <col min="15340" max="15340" width="12.8984375" style="26" customWidth="1"/>
    <col min="15341" max="15357" width="8.69921875" style="26"/>
    <col min="15358" max="15358" width="10.796875" style="26" customWidth="1"/>
    <col min="15359" max="15359" width="11.5" style="26" customWidth="1"/>
    <col min="15360" max="15360" width="10" style="26" customWidth="1"/>
    <col min="15361" max="15361" width="10.796875" style="26" customWidth="1"/>
    <col min="15362" max="15362" width="8.69921875" style="26"/>
    <col min="15363" max="15363" width="13.796875" style="26" customWidth="1"/>
    <col min="15364" max="15364" width="13.69921875" style="26" customWidth="1"/>
    <col min="15365" max="15365" width="19.296875" style="26" customWidth="1"/>
    <col min="15366" max="15381" width="8.69921875" style="26"/>
    <col min="15382" max="15383" width="12.09765625" style="26" customWidth="1"/>
    <col min="15384" max="15384" width="8.69921875" style="26"/>
    <col min="15385" max="15385" width="12.5" style="26" customWidth="1"/>
    <col min="15386" max="15386" width="9.59765625" style="26" customWidth="1"/>
    <col min="15387" max="15387" width="15.59765625" style="26" customWidth="1"/>
    <col min="15388" max="15389" width="11.3984375" style="26" customWidth="1"/>
    <col min="15390" max="15390" width="10.09765625" style="26" customWidth="1"/>
    <col min="15391" max="15391" width="16.5" style="26" customWidth="1"/>
    <col min="15392" max="15392" width="11.59765625" style="26" customWidth="1"/>
    <col min="15393" max="15394" width="11.8984375" style="26" customWidth="1"/>
    <col min="15395" max="15395" width="9.796875" style="26" customWidth="1"/>
    <col min="15396" max="15396" width="10" style="26" customWidth="1"/>
    <col min="15397" max="15397" width="13.69921875" style="26" customWidth="1"/>
    <col min="15398" max="15398" width="8.69921875" style="26"/>
    <col min="15399" max="15399" width="9.8984375" style="26" customWidth="1"/>
    <col min="15400" max="15400" width="9.69921875" style="26" customWidth="1"/>
    <col min="15401" max="15401" width="10.296875" style="26" customWidth="1"/>
    <col min="15402" max="15402" width="3.59765625" style="26" customWidth="1"/>
    <col min="15403" max="15593" width="8.69921875" style="26"/>
    <col min="15594" max="15594" width="5.796875" style="26" customWidth="1"/>
    <col min="15595" max="15595" width="12.5" style="26" customWidth="1"/>
    <col min="15596" max="15596" width="12.8984375" style="26" customWidth="1"/>
    <col min="15597" max="15613" width="8.69921875" style="26"/>
    <col min="15614" max="15614" width="10.796875" style="26" customWidth="1"/>
    <col min="15615" max="15615" width="11.5" style="26" customWidth="1"/>
    <col min="15616" max="15616" width="10" style="26" customWidth="1"/>
    <col min="15617" max="15617" width="10.796875" style="26" customWidth="1"/>
    <col min="15618" max="15618" width="8.69921875" style="26"/>
    <col min="15619" max="15619" width="13.796875" style="26" customWidth="1"/>
    <col min="15620" max="15620" width="13.69921875" style="26" customWidth="1"/>
    <col min="15621" max="15621" width="19.296875" style="26" customWidth="1"/>
    <col min="15622" max="15637" width="8.69921875" style="26"/>
    <col min="15638" max="15639" width="12.09765625" style="26" customWidth="1"/>
    <col min="15640" max="15640" width="8.69921875" style="26"/>
    <col min="15641" max="15641" width="12.5" style="26" customWidth="1"/>
    <col min="15642" max="15642" width="9.59765625" style="26" customWidth="1"/>
    <col min="15643" max="15643" width="15.59765625" style="26" customWidth="1"/>
    <col min="15644" max="15645" width="11.3984375" style="26" customWidth="1"/>
    <col min="15646" max="15646" width="10.09765625" style="26" customWidth="1"/>
    <col min="15647" max="15647" width="16.5" style="26" customWidth="1"/>
    <col min="15648" max="15648" width="11.59765625" style="26" customWidth="1"/>
    <col min="15649" max="15650" width="11.8984375" style="26" customWidth="1"/>
    <col min="15651" max="15651" width="9.796875" style="26" customWidth="1"/>
    <col min="15652" max="15652" width="10" style="26" customWidth="1"/>
    <col min="15653" max="15653" width="13.69921875" style="26" customWidth="1"/>
    <col min="15654" max="15654" width="8.69921875" style="26"/>
    <col min="15655" max="15655" width="9.8984375" style="26" customWidth="1"/>
    <col min="15656" max="15656" width="9.69921875" style="26" customWidth="1"/>
    <col min="15657" max="15657" width="10.296875" style="26" customWidth="1"/>
    <col min="15658" max="15658" width="3.59765625" style="26" customWidth="1"/>
    <col min="15659" max="15849" width="8.69921875" style="26"/>
    <col min="15850" max="15850" width="5.796875" style="26" customWidth="1"/>
    <col min="15851" max="15851" width="12.5" style="26" customWidth="1"/>
    <col min="15852" max="15852" width="12.8984375" style="26" customWidth="1"/>
    <col min="15853" max="15869" width="8.69921875" style="26"/>
    <col min="15870" max="15870" width="10.796875" style="26" customWidth="1"/>
    <col min="15871" max="15871" width="11.5" style="26" customWidth="1"/>
    <col min="15872" max="15872" width="10" style="26" customWidth="1"/>
    <col min="15873" max="15873" width="10.796875" style="26" customWidth="1"/>
    <col min="15874" max="15874" width="8.69921875" style="26"/>
    <col min="15875" max="15875" width="13.796875" style="26" customWidth="1"/>
    <col min="15876" max="15876" width="13.69921875" style="26" customWidth="1"/>
    <col min="15877" max="15877" width="19.296875" style="26" customWidth="1"/>
    <col min="15878" max="15893" width="8.69921875" style="26"/>
    <col min="15894" max="15895" width="12.09765625" style="26" customWidth="1"/>
    <col min="15896" max="15896" width="8.69921875" style="26"/>
    <col min="15897" max="15897" width="12.5" style="26" customWidth="1"/>
    <col min="15898" max="15898" width="9.59765625" style="26" customWidth="1"/>
    <col min="15899" max="15899" width="15.59765625" style="26" customWidth="1"/>
    <col min="15900" max="15901" width="11.3984375" style="26" customWidth="1"/>
    <col min="15902" max="15902" width="10.09765625" style="26" customWidth="1"/>
    <col min="15903" max="15903" width="16.5" style="26" customWidth="1"/>
    <col min="15904" max="15904" width="11.59765625" style="26" customWidth="1"/>
    <col min="15905" max="15906" width="11.8984375" style="26" customWidth="1"/>
    <col min="15907" max="15907" width="9.796875" style="26" customWidth="1"/>
    <col min="15908" max="15908" width="10" style="26" customWidth="1"/>
    <col min="15909" max="15909" width="13.69921875" style="26" customWidth="1"/>
    <col min="15910" max="15910" width="8.69921875" style="26"/>
    <col min="15911" max="15911" width="9.8984375" style="26" customWidth="1"/>
    <col min="15912" max="15912" width="9.69921875" style="26" customWidth="1"/>
    <col min="15913" max="15913" width="10.296875" style="26" customWidth="1"/>
    <col min="15914" max="15914" width="3.59765625" style="26" customWidth="1"/>
    <col min="15915" max="16105" width="8.69921875" style="26"/>
    <col min="16106" max="16106" width="5.796875" style="26" customWidth="1"/>
    <col min="16107" max="16107" width="12.5" style="26" customWidth="1"/>
    <col min="16108" max="16108" width="12.8984375" style="26" customWidth="1"/>
    <col min="16109" max="16125" width="8.69921875" style="26"/>
    <col min="16126" max="16126" width="10.796875" style="26" customWidth="1"/>
    <col min="16127" max="16127" width="11.5" style="26" customWidth="1"/>
    <col min="16128" max="16128" width="10" style="26" customWidth="1"/>
    <col min="16129" max="16129" width="10.796875" style="26" customWidth="1"/>
    <col min="16130" max="16130" width="8.69921875" style="26"/>
    <col min="16131" max="16131" width="13.796875" style="26" customWidth="1"/>
    <col min="16132" max="16132" width="13.69921875" style="26" customWidth="1"/>
    <col min="16133" max="16133" width="19.296875" style="26" customWidth="1"/>
    <col min="16134" max="16149" width="8.69921875" style="26"/>
    <col min="16150" max="16151" width="12.09765625" style="26" customWidth="1"/>
    <col min="16152" max="16152" width="8.69921875" style="26"/>
    <col min="16153" max="16153" width="12.5" style="26" customWidth="1"/>
    <col min="16154" max="16154" width="9.59765625" style="26" customWidth="1"/>
    <col min="16155" max="16155" width="15.59765625" style="26" customWidth="1"/>
    <col min="16156" max="16157" width="11.3984375" style="26" customWidth="1"/>
    <col min="16158" max="16158" width="10.09765625" style="26" customWidth="1"/>
    <col min="16159" max="16159" width="16.5" style="26" customWidth="1"/>
    <col min="16160" max="16160" width="11.59765625" style="26" customWidth="1"/>
    <col min="16161" max="16162" width="11.8984375" style="26" customWidth="1"/>
    <col min="16163" max="16163" width="9.796875" style="26" customWidth="1"/>
    <col min="16164" max="16164" width="10" style="26" customWidth="1"/>
    <col min="16165" max="16165" width="13.69921875" style="26" customWidth="1"/>
    <col min="16166" max="16166" width="8.69921875" style="26"/>
    <col min="16167" max="16167" width="9.8984375" style="26" customWidth="1"/>
    <col min="16168" max="16168" width="9.69921875" style="26" customWidth="1"/>
    <col min="16169" max="16169" width="10.296875" style="26" customWidth="1"/>
    <col min="16170" max="16170" width="3.59765625" style="26" customWidth="1"/>
    <col min="16171" max="16384" width="8.69921875" style="26"/>
  </cols>
  <sheetData>
    <row r="1" spans="1:159" ht="13.2" x14ac:dyDescent="0.2">
      <c r="A1" s="25" t="s">
        <v>182</v>
      </c>
    </row>
    <row r="2" spans="1:159" x14ac:dyDescent="0.2">
      <c r="C2" s="28" t="s">
        <v>183</v>
      </c>
    </row>
    <row r="3" spans="1:159" s="27" customFormat="1" x14ac:dyDescent="0.2">
      <c r="A3" s="29"/>
      <c r="B3" s="30" t="s">
        <v>184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1"/>
      <c r="DW3" s="31"/>
      <c r="DX3" s="31"/>
      <c r="DY3" s="31"/>
      <c r="DZ3" s="31"/>
      <c r="EA3" s="31"/>
      <c r="EB3" s="31"/>
      <c r="EC3" s="31"/>
      <c r="ED3" s="31"/>
      <c r="EE3" s="31"/>
      <c r="EF3" s="31"/>
      <c r="EG3" s="31"/>
      <c r="EH3" s="31"/>
      <c r="EI3" s="31"/>
      <c r="EJ3" s="31"/>
      <c r="EK3" s="31"/>
      <c r="EL3" s="31"/>
      <c r="EM3" s="31"/>
      <c r="EN3" s="31"/>
      <c r="EO3" s="31"/>
      <c r="EP3" s="31"/>
      <c r="EQ3" s="31"/>
    </row>
    <row r="4" spans="1:159" s="27" customFormat="1" x14ac:dyDescent="0.2">
      <c r="A4" s="29"/>
      <c r="B4" s="32" t="s">
        <v>185</v>
      </c>
      <c r="C4" s="31" t="s">
        <v>336</v>
      </c>
      <c r="D4" s="31" t="s">
        <v>333</v>
      </c>
      <c r="E4" s="31" t="s">
        <v>337</v>
      </c>
      <c r="F4" s="31" t="s">
        <v>336</v>
      </c>
      <c r="G4" s="31" t="s">
        <v>338</v>
      </c>
      <c r="H4" s="31" t="s">
        <v>337</v>
      </c>
      <c r="I4" s="31" t="s">
        <v>338</v>
      </c>
      <c r="J4" s="31" t="s">
        <v>306</v>
      </c>
      <c r="K4" s="31" t="s">
        <v>337</v>
      </c>
      <c r="L4" s="31" t="s">
        <v>306</v>
      </c>
      <c r="M4" s="31" t="s">
        <v>338</v>
      </c>
      <c r="N4" s="31" t="s">
        <v>306</v>
      </c>
      <c r="O4" s="31" t="s">
        <v>325</v>
      </c>
      <c r="P4" s="31" t="s">
        <v>306</v>
      </c>
      <c r="Q4" s="31" t="s">
        <v>306</v>
      </c>
      <c r="R4" s="31" t="s">
        <v>334</v>
      </c>
      <c r="S4" s="31" t="s">
        <v>337</v>
      </c>
      <c r="T4" s="31" t="s">
        <v>306</v>
      </c>
      <c r="U4" s="31" t="s">
        <v>337</v>
      </c>
      <c r="V4" s="31" t="s">
        <v>334</v>
      </c>
      <c r="W4" s="31" t="s">
        <v>306</v>
      </c>
      <c r="X4" s="31" t="s">
        <v>306</v>
      </c>
      <c r="Y4" s="31" t="s">
        <v>339</v>
      </c>
      <c r="Z4" s="31" t="s">
        <v>306</v>
      </c>
      <c r="AA4" s="31" t="s">
        <v>306</v>
      </c>
      <c r="AB4" s="31" t="s">
        <v>306</v>
      </c>
      <c r="AC4" s="31" t="s">
        <v>306</v>
      </c>
      <c r="AD4" s="31" t="s">
        <v>337</v>
      </c>
      <c r="AE4" s="31" t="s">
        <v>306</v>
      </c>
      <c r="AF4" s="31" t="s">
        <v>334</v>
      </c>
      <c r="AG4" s="31" t="s">
        <v>306</v>
      </c>
      <c r="AH4" s="31" t="s">
        <v>306</v>
      </c>
      <c r="AI4" s="31" t="s">
        <v>306</v>
      </c>
      <c r="AJ4" s="31" t="s">
        <v>318</v>
      </c>
      <c r="AK4" s="31" t="s">
        <v>306</v>
      </c>
      <c r="AL4" s="31" t="s">
        <v>306</v>
      </c>
      <c r="AM4" s="31" t="s">
        <v>306</v>
      </c>
      <c r="AN4" s="31" t="s">
        <v>306</v>
      </c>
      <c r="AO4" s="31" t="s">
        <v>306</v>
      </c>
      <c r="AP4" s="31" t="s">
        <v>306</v>
      </c>
      <c r="AQ4" s="31" t="s">
        <v>306</v>
      </c>
      <c r="AR4" s="31" t="s">
        <v>306</v>
      </c>
      <c r="AS4" s="31" t="s">
        <v>306</v>
      </c>
      <c r="AT4" s="31" t="s">
        <v>306</v>
      </c>
      <c r="AU4" s="31" t="s">
        <v>306</v>
      </c>
      <c r="AV4" s="31" t="s">
        <v>306</v>
      </c>
      <c r="AW4" s="31" t="s">
        <v>332</v>
      </c>
      <c r="AX4" s="31" t="s">
        <v>306</v>
      </c>
      <c r="AY4" s="31" t="s">
        <v>332</v>
      </c>
      <c r="AZ4" s="31" t="s">
        <v>306</v>
      </c>
      <c r="BA4" s="31" t="s">
        <v>306</v>
      </c>
      <c r="BB4" s="31" t="s">
        <v>306</v>
      </c>
      <c r="BC4" s="31" t="s">
        <v>306</v>
      </c>
      <c r="BD4" s="31" t="s">
        <v>306</v>
      </c>
      <c r="BE4" s="31" t="s">
        <v>332</v>
      </c>
      <c r="BF4" s="31" t="s">
        <v>333</v>
      </c>
      <c r="BG4" s="31" t="s">
        <v>337</v>
      </c>
      <c r="BH4" s="31" t="s">
        <v>337</v>
      </c>
      <c r="BI4" s="31" t="s">
        <v>306</v>
      </c>
      <c r="BJ4" s="31" t="s">
        <v>306</v>
      </c>
      <c r="BK4" s="31" t="s">
        <v>319</v>
      </c>
      <c r="BL4" s="31" t="s">
        <v>319</v>
      </c>
      <c r="BM4" s="31" t="s">
        <v>306</v>
      </c>
      <c r="BN4" s="31" t="s">
        <v>306</v>
      </c>
      <c r="BO4" s="31" t="s">
        <v>340</v>
      </c>
      <c r="BP4" s="31" t="s">
        <v>306</v>
      </c>
      <c r="BQ4" s="31" t="s">
        <v>332</v>
      </c>
      <c r="BR4" s="31" t="s">
        <v>329</v>
      </c>
      <c r="BS4" s="31" t="s">
        <v>306</v>
      </c>
      <c r="BT4" s="31" t="s">
        <v>306</v>
      </c>
      <c r="BU4" s="31" t="s">
        <v>306</v>
      </c>
      <c r="BV4" s="31" t="s">
        <v>306</v>
      </c>
      <c r="BW4" s="31" t="s">
        <v>306</v>
      </c>
      <c r="BX4" s="31" t="s">
        <v>306</v>
      </c>
      <c r="BY4" s="31" t="s">
        <v>332</v>
      </c>
      <c r="BZ4" s="31" t="s">
        <v>306</v>
      </c>
      <c r="CA4" s="31" t="s">
        <v>337</v>
      </c>
      <c r="CB4" s="31" t="s">
        <v>306</v>
      </c>
      <c r="CC4" s="31" t="s">
        <v>333</v>
      </c>
      <c r="CD4" s="31" t="s">
        <v>342</v>
      </c>
      <c r="CE4" s="31" t="s">
        <v>341</v>
      </c>
      <c r="CF4" s="31" t="s">
        <v>306</v>
      </c>
      <c r="CG4" s="31" t="s">
        <v>306</v>
      </c>
      <c r="CH4" s="31" t="s">
        <v>306</v>
      </c>
      <c r="CI4" s="31" t="s">
        <v>306</v>
      </c>
      <c r="CJ4" s="31" t="s">
        <v>335</v>
      </c>
      <c r="CK4" s="31" t="s">
        <v>306</v>
      </c>
      <c r="CL4" s="31" t="s">
        <v>306</v>
      </c>
      <c r="CM4" s="31" t="s">
        <v>306</v>
      </c>
      <c r="CN4" s="31" t="s">
        <v>306</v>
      </c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</row>
    <row r="5" spans="1:159" s="27" customFormat="1" x14ac:dyDescent="0.2">
      <c r="A5" s="29"/>
      <c r="B5" s="30" t="s">
        <v>186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/>
    </row>
    <row r="6" spans="1:159" s="35" customFormat="1" x14ac:dyDescent="0.2">
      <c r="A6" s="33"/>
      <c r="B6" s="30" t="s">
        <v>187</v>
      </c>
      <c r="C6" s="34"/>
      <c r="D6" s="34" t="s">
        <v>330</v>
      </c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 t="s">
        <v>326</v>
      </c>
      <c r="BI6" s="34"/>
      <c r="BJ6" s="34"/>
      <c r="BK6" s="34"/>
      <c r="BL6" s="34"/>
      <c r="BM6" s="34"/>
      <c r="BN6" s="34"/>
      <c r="BO6" s="34"/>
      <c r="BP6" s="34"/>
      <c r="BQ6" s="34" t="s">
        <v>328</v>
      </c>
      <c r="BR6" s="34" t="s">
        <v>328</v>
      </c>
      <c r="BS6" s="34"/>
      <c r="BT6" s="34"/>
      <c r="BU6" s="34" t="s">
        <v>327</v>
      </c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</row>
    <row r="7" spans="1:159" s="38" customFormat="1" ht="22.2" customHeight="1" x14ac:dyDescent="0.3">
      <c r="A7" s="36"/>
      <c r="B7" s="37" t="s">
        <v>188</v>
      </c>
      <c r="C7" s="37" t="s">
        <v>45</v>
      </c>
      <c r="D7" s="37" t="s">
        <v>344</v>
      </c>
      <c r="E7" s="37" t="s">
        <v>59</v>
      </c>
      <c r="F7" s="37" t="s">
        <v>259</v>
      </c>
      <c r="G7" s="37" t="s">
        <v>64</v>
      </c>
      <c r="H7" s="37" t="s">
        <v>46</v>
      </c>
      <c r="I7" s="37" t="s">
        <v>63</v>
      </c>
      <c r="J7" s="37" t="s">
        <v>77</v>
      </c>
      <c r="K7" s="37" t="s">
        <v>47</v>
      </c>
      <c r="L7" s="37" t="s">
        <v>66</v>
      </c>
      <c r="M7" s="37" t="s">
        <v>62</v>
      </c>
      <c r="N7" s="37" t="s">
        <v>3</v>
      </c>
      <c r="O7" s="37" t="s">
        <v>6</v>
      </c>
      <c r="P7" s="37" t="s">
        <v>6</v>
      </c>
      <c r="Q7" s="37" t="s">
        <v>190</v>
      </c>
      <c r="R7" s="37" t="s">
        <v>190</v>
      </c>
      <c r="S7" s="37" t="s">
        <v>190</v>
      </c>
      <c r="T7" s="37" t="s">
        <v>260</v>
      </c>
      <c r="U7" s="37" t="s">
        <v>261</v>
      </c>
      <c r="V7" s="37" t="s">
        <v>292</v>
      </c>
      <c r="W7" s="37" t="s">
        <v>14</v>
      </c>
      <c r="X7" s="37" t="s">
        <v>7</v>
      </c>
      <c r="Y7" s="37" t="s">
        <v>262</v>
      </c>
      <c r="Z7" s="37" t="s">
        <v>68</v>
      </c>
      <c r="AA7" s="37" t="s">
        <v>73</v>
      </c>
      <c r="AB7" s="37" t="s">
        <v>263</v>
      </c>
      <c r="AC7" s="37" t="s">
        <v>264</v>
      </c>
      <c r="AD7" s="37" t="s">
        <v>191</v>
      </c>
      <c r="AE7" s="37" t="s">
        <v>265</v>
      </c>
      <c r="AF7" s="37" t="s">
        <v>43</v>
      </c>
      <c r="AG7" s="37" t="s">
        <v>5</v>
      </c>
      <c r="AH7" s="37" t="s">
        <v>266</v>
      </c>
      <c r="AI7" s="37" t="s">
        <v>93</v>
      </c>
      <c r="AJ7" s="37" t="s">
        <v>67</v>
      </c>
      <c r="AK7" s="37" t="s">
        <v>67</v>
      </c>
      <c r="AL7" s="37" t="s">
        <v>75</v>
      </c>
      <c r="AM7" s="37" t="s">
        <v>60</v>
      </c>
      <c r="AN7" s="37" t="s">
        <v>89</v>
      </c>
      <c r="AO7" s="37" t="s">
        <v>268</v>
      </c>
      <c r="AP7" s="37" t="s">
        <v>192</v>
      </c>
      <c r="AQ7" s="37" t="s">
        <v>269</v>
      </c>
      <c r="AR7" s="37" t="s">
        <v>270</v>
      </c>
      <c r="AS7" s="37" t="s">
        <v>94</v>
      </c>
      <c r="AT7" s="37" t="s">
        <v>79</v>
      </c>
      <c r="AU7" s="37" t="s">
        <v>271</v>
      </c>
      <c r="AV7" s="37" t="s">
        <v>85</v>
      </c>
      <c r="AW7" s="37" t="s">
        <v>344</v>
      </c>
      <c r="AX7" s="37" t="s">
        <v>344</v>
      </c>
      <c r="AY7" s="37" t="s">
        <v>344</v>
      </c>
      <c r="AZ7" s="37" t="s">
        <v>344</v>
      </c>
      <c r="BA7" s="37" t="s">
        <v>344</v>
      </c>
      <c r="BB7" s="37" t="s">
        <v>76</v>
      </c>
      <c r="BC7" s="37" t="s">
        <v>65</v>
      </c>
      <c r="BD7" s="37" t="s">
        <v>72</v>
      </c>
      <c r="BE7" s="37" t="s">
        <v>273</v>
      </c>
      <c r="BF7" s="37" t="s">
        <v>92</v>
      </c>
      <c r="BG7" s="37" t="s">
        <v>92</v>
      </c>
      <c r="BH7" s="37" t="s">
        <v>92</v>
      </c>
      <c r="BI7" s="37" t="s">
        <v>345</v>
      </c>
      <c r="BJ7" s="37" t="s">
        <v>143</v>
      </c>
      <c r="BK7" s="37" t="s">
        <v>346</v>
      </c>
      <c r="BL7" s="37" t="s">
        <v>74</v>
      </c>
      <c r="BM7" s="37" t="s">
        <v>78</v>
      </c>
      <c r="BN7" s="37" t="s">
        <v>22</v>
      </c>
      <c r="BO7" s="37" t="s">
        <v>57</v>
      </c>
      <c r="BP7" s="37" t="s">
        <v>9</v>
      </c>
      <c r="BQ7" s="37" t="s">
        <v>9</v>
      </c>
      <c r="BR7" s="37" t="s">
        <v>9</v>
      </c>
      <c r="BS7" s="37" t="s">
        <v>277</v>
      </c>
      <c r="BT7" s="37" t="s">
        <v>193</v>
      </c>
      <c r="BU7" s="37" t="s">
        <v>9</v>
      </c>
      <c r="BV7" s="37" t="s">
        <v>279</v>
      </c>
      <c r="BW7" s="37" t="s">
        <v>280</v>
      </c>
      <c r="BX7" s="37" t="s">
        <v>281</v>
      </c>
      <c r="BY7" s="37" t="s">
        <v>56</v>
      </c>
      <c r="BZ7" s="37" t="s">
        <v>49</v>
      </c>
      <c r="CA7" s="37" t="s">
        <v>347</v>
      </c>
      <c r="CB7" s="37" t="s">
        <v>347</v>
      </c>
      <c r="CC7" s="37" t="s">
        <v>347</v>
      </c>
      <c r="CD7" s="37" t="s">
        <v>52</v>
      </c>
      <c r="CE7" s="37" t="s">
        <v>55</v>
      </c>
      <c r="CF7" s="37" t="s">
        <v>283</v>
      </c>
      <c r="CG7" s="37" t="s">
        <v>284</v>
      </c>
      <c r="CH7" s="37" t="s">
        <v>285</v>
      </c>
      <c r="CI7" s="37" t="s">
        <v>286</v>
      </c>
      <c r="CJ7" s="37" t="s">
        <v>18</v>
      </c>
      <c r="CK7" s="37" t="s">
        <v>12</v>
      </c>
      <c r="CL7" s="37" t="s">
        <v>61</v>
      </c>
      <c r="CM7" s="37" t="s">
        <v>71</v>
      </c>
      <c r="CN7" s="37" t="s">
        <v>287</v>
      </c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</row>
    <row r="8" spans="1:159" x14ac:dyDescent="0.2">
      <c r="A8" s="39" t="s">
        <v>194</v>
      </c>
      <c r="B8" s="40"/>
    </row>
    <row r="9" spans="1:159" x14ac:dyDescent="0.2">
      <c r="A9" s="43" t="s">
        <v>195</v>
      </c>
      <c r="C9" s="41">
        <v>1.5125</v>
      </c>
      <c r="D9" s="41" t="s">
        <v>324</v>
      </c>
      <c r="E9" s="41">
        <v>1.971830985915493</v>
      </c>
      <c r="F9" s="41" t="s">
        <v>324</v>
      </c>
      <c r="G9" s="41" t="s">
        <v>324</v>
      </c>
      <c r="H9" s="41">
        <v>1.5254237288135593</v>
      </c>
      <c r="I9" s="41" t="s">
        <v>324</v>
      </c>
      <c r="J9" s="41" t="s">
        <v>324</v>
      </c>
      <c r="K9" s="41" t="s">
        <v>324</v>
      </c>
      <c r="L9" s="41" t="s">
        <v>324</v>
      </c>
      <c r="M9" s="41" t="s">
        <v>324</v>
      </c>
      <c r="N9" s="41">
        <v>4.141549725442343</v>
      </c>
      <c r="O9" s="41" t="s">
        <v>324</v>
      </c>
      <c r="P9" s="41" t="s">
        <v>324</v>
      </c>
      <c r="Q9" s="41" t="s">
        <v>324</v>
      </c>
      <c r="R9" s="41" t="s">
        <v>324</v>
      </c>
      <c r="S9" s="41" t="s">
        <v>324</v>
      </c>
      <c r="T9" s="41" t="s">
        <v>324</v>
      </c>
      <c r="U9" s="41" t="s">
        <v>324</v>
      </c>
      <c r="V9" s="41" t="s">
        <v>324</v>
      </c>
      <c r="W9" s="41" t="s">
        <v>324</v>
      </c>
      <c r="X9" s="41" t="s">
        <v>324</v>
      </c>
      <c r="Y9" s="41" t="s">
        <v>324</v>
      </c>
      <c r="Z9" s="41" t="s">
        <v>324</v>
      </c>
      <c r="AA9" s="41" t="s">
        <v>324</v>
      </c>
      <c r="AB9" s="41" t="s">
        <v>324</v>
      </c>
      <c r="AC9" s="41" t="s">
        <v>324</v>
      </c>
      <c r="AD9" s="41" t="s">
        <v>324</v>
      </c>
      <c r="AE9" s="41">
        <v>1.6</v>
      </c>
      <c r="AF9" s="41">
        <v>0.75854214123006836</v>
      </c>
      <c r="AG9" s="41" t="s">
        <v>324</v>
      </c>
      <c r="AH9" s="41" t="s">
        <v>324</v>
      </c>
      <c r="AI9" s="41" t="s">
        <v>324</v>
      </c>
      <c r="AJ9" s="41">
        <v>4.3703703703703703E-2</v>
      </c>
      <c r="AK9" s="41">
        <v>4.3703703703703703E-2</v>
      </c>
      <c r="AL9" s="41" t="s">
        <v>324</v>
      </c>
      <c r="AM9" s="41">
        <v>0.91891891891891897</v>
      </c>
      <c r="AN9" s="41" t="s">
        <v>324</v>
      </c>
      <c r="AO9" s="41" t="s">
        <v>324</v>
      </c>
      <c r="AP9" s="41" t="s">
        <v>324</v>
      </c>
      <c r="AQ9" s="41" t="s">
        <v>324</v>
      </c>
      <c r="AR9" s="41" t="s">
        <v>324</v>
      </c>
      <c r="AS9" s="41" t="s">
        <v>324</v>
      </c>
      <c r="AT9" s="41" t="s">
        <v>324</v>
      </c>
      <c r="AU9" s="41" t="s">
        <v>324</v>
      </c>
      <c r="AV9" s="41">
        <v>3.4239631336405529</v>
      </c>
      <c r="AW9" s="41">
        <v>20</v>
      </c>
      <c r="AX9" s="41"/>
      <c r="AY9" s="41"/>
      <c r="AZ9" s="41">
        <v>16.128667597809208</v>
      </c>
      <c r="BA9" s="41">
        <v>11.356606651385919</v>
      </c>
      <c r="BB9" s="41" t="s">
        <v>324</v>
      </c>
      <c r="BC9" s="41">
        <v>0.29880341880341882</v>
      </c>
      <c r="BD9" s="41" t="s">
        <v>324</v>
      </c>
      <c r="BE9" s="41" t="s">
        <v>324</v>
      </c>
      <c r="BF9" s="41" t="s">
        <v>324</v>
      </c>
      <c r="BG9" s="41" t="s">
        <v>324</v>
      </c>
      <c r="BH9" s="41" t="s">
        <v>324</v>
      </c>
      <c r="BI9" s="41">
        <v>6.3633066666666656</v>
      </c>
      <c r="BJ9" s="41" t="s">
        <v>324</v>
      </c>
      <c r="BK9" s="41" t="s">
        <v>324</v>
      </c>
      <c r="BL9" s="41" t="s">
        <v>324</v>
      </c>
      <c r="BM9" s="41" t="s">
        <v>324</v>
      </c>
      <c r="BN9" s="41" t="s">
        <v>324</v>
      </c>
      <c r="BO9" s="41">
        <v>0.81666666666666665</v>
      </c>
      <c r="BP9" s="41">
        <v>0.91142857142857148</v>
      </c>
      <c r="BQ9" s="41" t="s">
        <v>324</v>
      </c>
      <c r="BR9" s="41" t="s">
        <v>324</v>
      </c>
      <c r="BS9" s="41" t="s">
        <v>324</v>
      </c>
      <c r="BT9" s="41">
        <v>1.1635781041388518</v>
      </c>
      <c r="BU9" s="41" t="s">
        <v>324</v>
      </c>
      <c r="BV9" s="41" t="s">
        <v>324</v>
      </c>
      <c r="BW9" s="41" t="s">
        <v>324</v>
      </c>
      <c r="BX9" s="41" t="s">
        <v>324</v>
      </c>
      <c r="BY9" s="41">
        <v>7.5799721835883169E-2</v>
      </c>
      <c r="BZ9" s="41">
        <v>5.8439498422133545</v>
      </c>
      <c r="CA9" s="41" t="s">
        <v>324</v>
      </c>
      <c r="CB9" s="41" t="s">
        <v>324</v>
      </c>
      <c r="CC9" s="41">
        <v>20.754716981132077</v>
      </c>
      <c r="CD9" s="41" t="s">
        <v>324</v>
      </c>
      <c r="CE9" s="41" t="s">
        <v>324</v>
      </c>
      <c r="CF9" s="41" t="s">
        <v>324</v>
      </c>
      <c r="CG9" s="41" t="s">
        <v>324</v>
      </c>
      <c r="CH9" s="41" t="s">
        <v>324</v>
      </c>
      <c r="CI9" s="41" t="s">
        <v>324</v>
      </c>
      <c r="CJ9" s="41">
        <v>0.45569620253164556</v>
      </c>
      <c r="CK9" s="41" t="s">
        <v>324</v>
      </c>
      <c r="CL9" s="41" t="s">
        <v>324</v>
      </c>
      <c r="CM9" s="41" t="s">
        <v>324</v>
      </c>
      <c r="CN9" s="41" t="s">
        <v>324</v>
      </c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2"/>
      <c r="FA9" s="42"/>
      <c r="FB9" s="42"/>
      <c r="FC9" s="42"/>
    </row>
    <row r="10" spans="1:159" x14ac:dyDescent="0.2">
      <c r="A10" s="43" t="s">
        <v>196</v>
      </c>
      <c r="C10" s="41">
        <v>1.4942528735632183</v>
      </c>
      <c r="D10" s="41" t="s">
        <v>324</v>
      </c>
      <c r="E10" s="41" t="s">
        <v>324</v>
      </c>
      <c r="F10" s="41">
        <v>1.5</v>
      </c>
      <c r="G10" s="41" t="s">
        <v>324</v>
      </c>
      <c r="H10" s="41">
        <v>0.91549295774647887</v>
      </c>
      <c r="I10" s="41" t="s">
        <v>324</v>
      </c>
      <c r="J10" s="41" t="s">
        <v>324</v>
      </c>
      <c r="K10" s="41">
        <v>55</v>
      </c>
      <c r="L10" s="41" t="s">
        <v>324</v>
      </c>
      <c r="M10" s="41">
        <v>1.9911504424778761</v>
      </c>
      <c r="N10" s="41">
        <v>4.666666666666667</v>
      </c>
      <c r="O10" s="41">
        <v>0.96153846153846156</v>
      </c>
      <c r="P10" s="41">
        <v>0.96153846153846156</v>
      </c>
      <c r="Q10" s="41" t="s">
        <v>324</v>
      </c>
      <c r="R10" s="41" t="s">
        <v>324</v>
      </c>
      <c r="S10" s="41" t="s">
        <v>324</v>
      </c>
      <c r="T10" s="41" t="s">
        <v>324</v>
      </c>
      <c r="U10" s="41">
        <v>1.4087591240875912</v>
      </c>
      <c r="V10" s="41" t="s">
        <v>324</v>
      </c>
      <c r="W10" s="41" t="s">
        <v>324</v>
      </c>
      <c r="X10" s="41" t="s">
        <v>324</v>
      </c>
      <c r="Y10" s="41" t="s">
        <v>324</v>
      </c>
      <c r="Z10" s="41" t="s">
        <v>324</v>
      </c>
      <c r="AA10" s="41" t="s">
        <v>324</v>
      </c>
      <c r="AB10" s="41">
        <v>0.30000026785738199</v>
      </c>
      <c r="AC10" s="41" t="s">
        <v>324</v>
      </c>
      <c r="AD10" s="41" t="s">
        <v>324</v>
      </c>
      <c r="AE10" s="41">
        <v>3.1360000000000001</v>
      </c>
      <c r="AF10" s="41">
        <v>1</v>
      </c>
      <c r="AG10" s="41" t="s">
        <v>324</v>
      </c>
      <c r="AH10" s="41" t="s">
        <v>324</v>
      </c>
      <c r="AI10" s="41" t="s">
        <v>324</v>
      </c>
      <c r="AJ10" s="41" t="s">
        <v>324</v>
      </c>
      <c r="AK10" s="41" t="s">
        <v>324</v>
      </c>
      <c r="AL10" s="41" t="s">
        <v>324</v>
      </c>
      <c r="AM10" s="41">
        <v>2</v>
      </c>
      <c r="AN10" s="41" t="s">
        <v>324</v>
      </c>
      <c r="AO10" s="41" t="s">
        <v>324</v>
      </c>
      <c r="AP10" s="41" t="s">
        <v>324</v>
      </c>
      <c r="AQ10" s="41" t="s">
        <v>324</v>
      </c>
      <c r="AR10" s="41" t="s">
        <v>324</v>
      </c>
      <c r="AS10" s="41" t="s">
        <v>324</v>
      </c>
      <c r="AT10" s="41" t="s">
        <v>324</v>
      </c>
      <c r="AU10" s="41" t="s">
        <v>324</v>
      </c>
      <c r="AV10" s="41">
        <v>10</v>
      </c>
      <c r="AW10" s="41">
        <v>15.448504983388704</v>
      </c>
      <c r="AX10" s="41"/>
      <c r="AY10" s="41"/>
      <c r="AZ10" s="41">
        <v>19.712815952877918</v>
      </c>
      <c r="BA10" s="41">
        <v>8.6564397371408344</v>
      </c>
      <c r="BB10" s="41" t="s">
        <v>324</v>
      </c>
      <c r="BC10" s="41">
        <v>0.34368140482910003</v>
      </c>
      <c r="BD10" s="41" t="s">
        <v>324</v>
      </c>
      <c r="BE10" s="41" t="s">
        <v>324</v>
      </c>
      <c r="BF10" s="41" t="s">
        <v>324</v>
      </c>
      <c r="BG10" s="41" t="s">
        <v>324</v>
      </c>
      <c r="BH10" s="41">
        <v>120.75</v>
      </c>
      <c r="BI10" s="41" t="s">
        <v>324</v>
      </c>
      <c r="BJ10" s="41" t="s">
        <v>324</v>
      </c>
      <c r="BK10" s="41" t="s">
        <v>324</v>
      </c>
      <c r="BL10" s="41" t="s">
        <v>324</v>
      </c>
      <c r="BM10" s="41" t="s">
        <v>324</v>
      </c>
      <c r="BN10" s="41" t="s">
        <v>324</v>
      </c>
      <c r="BO10" s="41" t="s">
        <v>324</v>
      </c>
      <c r="BP10" s="41">
        <v>0.71625511286168764</v>
      </c>
      <c r="BQ10" s="41" t="s">
        <v>324</v>
      </c>
      <c r="BR10" s="41" t="s">
        <v>324</v>
      </c>
      <c r="BS10" s="41" t="s">
        <v>324</v>
      </c>
      <c r="BT10" s="41">
        <v>1.2074608577263444</v>
      </c>
      <c r="BU10" s="41" t="s">
        <v>324</v>
      </c>
      <c r="BV10" s="41" t="s">
        <v>324</v>
      </c>
      <c r="BW10" s="41" t="s">
        <v>324</v>
      </c>
      <c r="BX10" s="41" t="s">
        <v>324</v>
      </c>
      <c r="BY10" s="41" t="s">
        <v>324</v>
      </c>
      <c r="BZ10" s="41">
        <v>3.5797213622291024</v>
      </c>
      <c r="CA10" s="41" t="s">
        <v>324</v>
      </c>
      <c r="CB10" s="41" t="s">
        <v>324</v>
      </c>
      <c r="CC10" s="41">
        <v>8</v>
      </c>
      <c r="CD10" s="41" t="s">
        <v>324</v>
      </c>
      <c r="CE10" s="41">
        <v>1.7476635514018692</v>
      </c>
      <c r="CF10" s="41" t="s">
        <v>324</v>
      </c>
      <c r="CG10" s="41" t="s">
        <v>324</v>
      </c>
      <c r="CH10" s="41" t="s">
        <v>324</v>
      </c>
      <c r="CI10" s="41" t="s">
        <v>324</v>
      </c>
      <c r="CJ10" s="41" t="s">
        <v>324</v>
      </c>
      <c r="CK10" s="41" t="s">
        <v>324</v>
      </c>
      <c r="CL10" s="41" t="s">
        <v>324</v>
      </c>
      <c r="CM10" s="41" t="s">
        <v>324</v>
      </c>
      <c r="CN10" s="41" t="s">
        <v>324</v>
      </c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2"/>
      <c r="FA10" s="42"/>
      <c r="FB10" s="42"/>
      <c r="FC10" s="42"/>
    </row>
    <row r="11" spans="1:159" x14ac:dyDescent="0.2">
      <c r="A11" s="43" t="s">
        <v>197</v>
      </c>
      <c r="C11" s="41">
        <v>1.4264705882352942</v>
      </c>
      <c r="D11" s="41" t="s">
        <v>324</v>
      </c>
      <c r="E11" s="41" t="s">
        <v>324</v>
      </c>
      <c r="F11" s="41" t="s">
        <v>324</v>
      </c>
      <c r="G11" s="41" t="s">
        <v>324</v>
      </c>
      <c r="H11" s="41">
        <v>0.7142857142857143</v>
      </c>
      <c r="I11" s="41" t="s">
        <v>324</v>
      </c>
      <c r="J11" s="41" t="s">
        <v>324</v>
      </c>
      <c r="K11" s="41">
        <v>54.545454545454547</v>
      </c>
      <c r="L11" s="41" t="s">
        <v>324</v>
      </c>
      <c r="M11" s="41">
        <v>1.75</v>
      </c>
      <c r="N11" s="41">
        <v>4.1670408621463855</v>
      </c>
      <c r="O11" s="41">
        <v>0.96129923980649623</v>
      </c>
      <c r="P11" s="41">
        <v>0.96129923980649623</v>
      </c>
      <c r="Q11" s="41" t="s">
        <v>324</v>
      </c>
      <c r="R11" s="41" t="s">
        <v>324</v>
      </c>
      <c r="S11" s="41" t="s">
        <v>324</v>
      </c>
      <c r="T11" s="41" t="s">
        <v>324</v>
      </c>
      <c r="U11" s="41">
        <v>2.5533980582524274</v>
      </c>
      <c r="V11" s="41" t="s">
        <v>324</v>
      </c>
      <c r="W11" s="41" t="s">
        <v>324</v>
      </c>
      <c r="X11" s="41" t="s">
        <v>324</v>
      </c>
      <c r="Y11" s="41">
        <v>3</v>
      </c>
      <c r="Z11" s="41" t="s">
        <v>324</v>
      </c>
      <c r="AA11" s="41" t="s">
        <v>324</v>
      </c>
      <c r="AB11" s="41">
        <v>0.28153871291231231</v>
      </c>
      <c r="AC11" s="41" t="s">
        <v>324</v>
      </c>
      <c r="AD11" s="41" t="s">
        <v>324</v>
      </c>
      <c r="AE11" s="41">
        <v>2.6879999999999997</v>
      </c>
      <c r="AF11" s="41" t="s">
        <v>324</v>
      </c>
      <c r="AG11" s="41" t="s">
        <v>324</v>
      </c>
      <c r="AH11" s="41" t="s">
        <v>324</v>
      </c>
      <c r="AI11" s="41" t="s">
        <v>324</v>
      </c>
      <c r="AJ11" s="41" t="s">
        <v>324</v>
      </c>
      <c r="AK11" s="41" t="s">
        <v>324</v>
      </c>
      <c r="AL11" s="41" t="s">
        <v>324</v>
      </c>
      <c r="AM11" s="41">
        <v>2.4978902953586499</v>
      </c>
      <c r="AN11" s="41" t="s">
        <v>324</v>
      </c>
      <c r="AO11" s="41" t="s">
        <v>324</v>
      </c>
      <c r="AP11" s="41" t="s">
        <v>324</v>
      </c>
      <c r="AQ11" s="41" t="s">
        <v>324</v>
      </c>
      <c r="AR11" s="41" t="s">
        <v>324</v>
      </c>
      <c r="AS11" s="41" t="s">
        <v>324</v>
      </c>
      <c r="AT11" s="41" t="s">
        <v>324</v>
      </c>
      <c r="AU11" s="41" t="s">
        <v>324</v>
      </c>
      <c r="AV11" s="41">
        <v>10</v>
      </c>
      <c r="AW11" s="41">
        <v>15</v>
      </c>
      <c r="AX11" s="41"/>
      <c r="AY11" s="41"/>
      <c r="AZ11" s="41">
        <v>17.658823241703928</v>
      </c>
      <c r="BA11" s="41">
        <v>7.4043519828437097</v>
      </c>
      <c r="BB11" s="41" t="s">
        <v>324</v>
      </c>
      <c r="BC11" s="41">
        <v>0.5</v>
      </c>
      <c r="BD11" s="41" t="s">
        <v>324</v>
      </c>
      <c r="BE11" s="41">
        <v>0.98765432098765427</v>
      </c>
      <c r="BF11" s="41" t="s">
        <v>324</v>
      </c>
      <c r="BG11" s="41" t="s">
        <v>324</v>
      </c>
      <c r="BH11" s="41">
        <v>120</v>
      </c>
      <c r="BI11" s="41">
        <v>14.090179047619046</v>
      </c>
      <c r="BJ11" s="41" t="s">
        <v>324</v>
      </c>
      <c r="BK11" s="41" t="s">
        <v>324</v>
      </c>
      <c r="BL11" s="41" t="s">
        <v>324</v>
      </c>
      <c r="BM11" s="41" t="s">
        <v>324</v>
      </c>
      <c r="BN11" s="41" t="s">
        <v>324</v>
      </c>
      <c r="BO11" s="41" t="s">
        <v>324</v>
      </c>
      <c r="BP11" s="41">
        <v>0.71471993052540161</v>
      </c>
      <c r="BQ11" s="41">
        <v>2.5</v>
      </c>
      <c r="BR11" s="41"/>
      <c r="BS11" s="41" t="s">
        <v>324</v>
      </c>
      <c r="BT11" s="41">
        <v>1.2000449185850646</v>
      </c>
      <c r="BU11" s="41" t="s">
        <v>324</v>
      </c>
      <c r="BV11" s="41" t="s">
        <v>324</v>
      </c>
      <c r="BW11" s="41" t="s">
        <v>324</v>
      </c>
      <c r="BX11" s="41" t="s">
        <v>324</v>
      </c>
      <c r="BY11" s="41" t="s">
        <v>324</v>
      </c>
      <c r="BZ11" s="41">
        <v>2.8280542986425337</v>
      </c>
      <c r="CA11" s="41">
        <v>5</v>
      </c>
      <c r="CB11" s="41" t="s">
        <v>324</v>
      </c>
      <c r="CC11" s="41">
        <v>7.5</v>
      </c>
      <c r="CD11" s="41">
        <v>0.63221884498480241</v>
      </c>
      <c r="CE11" s="41" t="s">
        <v>324</v>
      </c>
      <c r="CF11" s="41" t="s">
        <v>324</v>
      </c>
      <c r="CG11" s="41" t="s">
        <v>324</v>
      </c>
      <c r="CH11" s="41" t="s">
        <v>324</v>
      </c>
      <c r="CI11" s="41" t="s">
        <v>324</v>
      </c>
      <c r="CJ11" s="41" t="s">
        <v>324</v>
      </c>
      <c r="CK11" s="41" t="s">
        <v>324</v>
      </c>
      <c r="CL11" s="41" t="s">
        <v>324</v>
      </c>
      <c r="CM11" s="41" t="s">
        <v>324</v>
      </c>
      <c r="CN11" s="41" t="s">
        <v>324</v>
      </c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  <c r="EC11" s="41"/>
      <c r="ED11" s="41"/>
      <c r="EE11" s="41"/>
      <c r="EF11" s="41"/>
      <c r="EG11" s="41"/>
      <c r="EH11" s="41"/>
      <c r="EI11" s="41"/>
      <c r="EJ11" s="41"/>
      <c r="EK11" s="41"/>
      <c r="EL11" s="41"/>
      <c r="EM11" s="41"/>
      <c r="EN11" s="41"/>
      <c r="EO11" s="41"/>
      <c r="EP11" s="41"/>
      <c r="EQ11" s="41"/>
      <c r="ER11" s="41"/>
      <c r="ES11" s="41"/>
      <c r="ET11" s="41"/>
      <c r="EU11" s="41"/>
      <c r="EV11" s="41"/>
      <c r="EW11" s="41"/>
      <c r="EX11" s="41"/>
      <c r="EY11" s="41"/>
      <c r="EZ11" s="42"/>
      <c r="FA11" s="42"/>
      <c r="FB11" s="42"/>
      <c r="FC11" s="42"/>
    </row>
    <row r="12" spans="1:159" x14ac:dyDescent="0.2">
      <c r="A12" s="43" t="s">
        <v>198</v>
      </c>
      <c r="C12" s="41" t="s">
        <v>324</v>
      </c>
      <c r="D12" s="41" t="s">
        <v>324</v>
      </c>
      <c r="E12" s="41" t="s">
        <v>324</v>
      </c>
      <c r="F12" s="41" t="s">
        <v>324</v>
      </c>
      <c r="G12" s="41" t="s">
        <v>324</v>
      </c>
      <c r="H12" s="41" t="s">
        <v>324</v>
      </c>
      <c r="I12" s="41" t="s">
        <v>324</v>
      </c>
      <c r="J12" s="41" t="s">
        <v>324</v>
      </c>
      <c r="K12" s="41" t="s">
        <v>324</v>
      </c>
      <c r="L12" s="41" t="s">
        <v>324</v>
      </c>
      <c r="M12" s="41">
        <v>1.5920000000000001</v>
      </c>
      <c r="N12" s="41">
        <v>4</v>
      </c>
      <c r="O12" s="41"/>
      <c r="P12" s="41">
        <v>1.7043172690763053</v>
      </c>
      <c r="Q12" s="41" t="s">
        <v>324</v>
      </c>
      <c r="R12" s="41" t="s">
        <v>324</v>
      </c>
      <c r="S12" s="41" t="s">
        <v>324</v>
      </c>
      <c r="T12" s="41" t="s">
        <v>324</v>
      </c>
      <c r="U12" s="41" t="s">
        <v>324</v>
      </c>
      <c r="V12" s="41" t="s">
        <v>324</v>
      </c>
      <c r="W12" s="41" t="s">
        <v>324</v>
      </c>
      <c r="X12" s="41">
        <v>0.96260027086154809</v>
      </c>
      <c r="Y12" s="41">
        <v>3.2830188679245285</v>
      </c>
      <c r="Z12" s="41" t="s">
        <v>324</v>
      </c>
      <c r="AA12" s="41" t="s">
        <v>324</v>
      </c>
      <c r="AB12" s="41" t="s">
        <v>324</v>
      </c>
      <c r="AC12" s="41" t="s">
        <v>324</v>
      </c>
      <c r="AD12" s="41" t="s">
        <v>324</v>
      </c>
      <c r="AE12" s="41">
        <v>2.551302564102564</v>
      </c>
      <c r="AF12" s="41">
        <v>1.0666666666666667</v>
      </c>
      <c r="AG12" s="41">
        <v>0.52812089356110381</v>
      </c>
      <c r="AH12" s="41" t="s">
        <v>324</v>
      </c>
      <c r="AI12" s="41" t="s">
        <v>324</v>
      </c>
      <c r="AJ12" s="41" t="s">
        <v>324</v>
      </c>
      <c r="AK12" s="41" t="s">
        <v>324</v>
      </c>
      <c r="AL12" s="41" t="s">
        <v>324</v>
      </c>
      <c r="AM12" s="41" t="s">
        <v>324</v>
      </c>
      <c r="AN12" s="41" t="s">
        <v>324</v>
      </c>
      <c r="AO12" s="41" t="s">
        <v>324</v>
      </c>
      <c r="AP12" s="41">
        <v>6.568364611260054</v>
      </c>
      <c r="AQ12" s="41" t="s">
        <v>324</v>
      </c>
      <c r="AR12" s="41" t="s">
        <v>324</v>
      </c>
      <c r="AS12" s="41" t="s">
        <v>324</v>
      </c>
      <c r="AT12" s="41" t="s">
        <v>324</v>
      </c>
      <c r="AU12" s="41" t="s">
        <v>324</v>
      </c>
      <c r="AV12" s="41">
        <v>8.8913043478260878</v>
      </c>
      <c r="AW12" s="41"/>
      <c r="AX12" s="41">
        <v>7.3763690310558614</v>
      </c>
      <c r="AY12" s="41">
        <v>15</v>
      </c>
      <c r="AZ12" s="41"/>
      <c r="BA12" s="41">
        <v>16.387643070594887</v>
      </c>
      <c r="BB12" s="41" t="s">
        <v>324</v>
      </c>
      <c r="BC12" s="41">
        <v>0.33333333333333331</v>
      </c>
      <c r="BD12" s="41" t="s">
        <v>324</v>
      </c>
      <c r="BE12" s="41" t="s">
        <v>324</v>
      </c>
      <c r="BF12" s="41" t="s">
        <v>324</v>
      </c>
      <c r="BG12" s="41" t="s">
        <v>324</v>
      </c>
      <c r="BH12" s="41" t="s">
        <v>324</v>
      </c>
      <c r="BI12" s="41">
        <v>11.241694683310216</v>
      </c>
      <c r="BJ12" s="41" t="s">
        <v>324</v>
      </c>
      <c r="BK12" s="41" t="s">
        <v>324</v>
      </c>
      <c r="BL12" s="41" t="s">
        <v>324</v>
      </c>
      <c r="BM12" s="41" t="s">
        <v>324</v>
      </c>
      <c r="BN12" s="41" t="s">
        <v>324</v>
      </c>
      <c r="BO12" s="41" t="s">
        <v>324</v>
      </c>
      <c r="BP12" s="41" t="s">
        <v>324</v>
      </c>
      <c r="BQ12" s="41"/>
      <c r="BR12" s="41">
        <v>2</v>
      </c>
      <c r="BS12" s="41" t="s">
        <v>324</v>
      </c>
      <c r="BT12" s="41">
        <v>1.0145222929936306</v>
      </c>
      <c r="BU12" s="41">
        <v>0.59677690112472725</v>
      </c>
      <c r="BV12" s="41" t="s">
        <v>324</v>
      </c>
      <c r="BW12" s="41" t="s">
        <v>324</v>
      </c>
      <c r="BX12" s="41" t="s">
        <v>324</v>
      </c>
      <c r="BY12" s="41" t="s">
        <v>324</v>
      </c>
      <c r="BZ12" s="41" t="s">
        <v>324</v>
      </c>
      <c r="CA12" s="41" t="s">
        <v>324</v>
      </c>
      <c r="CB12" s="41" t="s">
        <v>324</v>
      </c>
      <c r="CC12" s="41" t="s">
        <v>324</v>
      </c>
      <c r="CD12" s="41" t="s">
        <v>324</v>
      </c>
      <c r="CE12" s="41" t="s">
        <v>324</v>
      </c>
      <c r="CF12" s="41" t="s">
        <v>324</v>
      </c>
      <c r="CG12" s="41" t="s">
        <v>324</v>
      </c>
      <c r="CH12" s="41" t="s">
        <v>324</v>
      </c>
      <c r="CI12" s="41" t="s">
        <v>324</v>
      </c>
      <c r="CJ12" s="41">
        <v>0.92409240924092406</v>
      </c>
      <c r="CK12" s="41" t="s">
        <v>324</v>
      </c>
      <c r="CL12" s="41" t="s">
        <v>324</v>
      </c>
      <c r="CM12" s="41" t="s">
        <v>324</v>
      </c>
      <c r="CN12" s="41" t="s">
        <v>324</v>
      </c>
      <c r="CO12" s="41"/>
      <c r="CP12" s="41"/>
      <c r="CQ12" s="41"/>
      <c r="CR12" s="41"/>
      <c r="CS12" s="41"/>
      <c r="CT12" s="41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1"/>
      <c r="DK12" s="41"/>
      <c r="DL12" s="41"/>
      <c r="DM12" s="41"/>
      <c r="DN12" s="41"/>
      <c r="DO12" s="41"/>
      <c r="DP12" s="41"/>
      <c r="DQ12" s="41"/>
      <c r="DR12" s="41"/>
      <c r="DS12" s="41"/>
      <c r="DT12" s="41"/>
      <c r="DU12" s="41"/>
      <c r="DV12" s="41"/>
      <c r="DW12" s="41"/>
      <c r="DX12" s="41"/>
      <c r="DY12" s="41"/>
      <c r="DZ12" s="41"/>
      <c r="EA12" s="41"/>
      <c r="EB12" s="41"/>
      <c r="EC12" s="41"/>
      <c r="ED12" s="41"/>
      <c r="EE12" s="41"/>
      <c r="EF12" s="41"/>
      <c r="EG12" s="41"/>
      <c r="EH12" s="41"/>
      <c r="EI12" s="41"/>
      <c r="EJ12" s="41"/>
      <c r="EK12" s="41"/>
      <c r="EL12" s="41"/>
      <c r="EM12" s="41"/>
      <c r="EN12" s="41"/>
      <c r="EO12" s="41"/>
      <c r="EP12" s="41"/>
      <c r="EQ12" s="41"/>
      <c r="ER12" s="41"/>
      <c r="ES12" s="41"/>
      <c r="ET12" s="41"/>
      <c r="EU12" s="41"/>
      <c r="EV12" s="41"/>
      <c r="EW12" s="41"/>
      <c r="EX12" s="41"/>
      <c r="EY12" s="41"/>
      <c r="EZ12" s="42"/>
      <c r="FA12" s="42"/>
      <c r="FB12" s="42"/>
      <c r="FC12" s="42"/>
    </row>
    <row r="13" spans="1:159" x14ac:dyDescent="0.2">
      <c r="A13" s="43" t="s">
        <v>199</v>
      </c>
      <c r="C13" s="41" t="s">
        <v>324</v>
      </c>
      <c r="D13" s="41">
        <v>15</v>
      </c>
      <c r="E13" s="41" t="s">
        <v>324</v>
      </c>
      <c r="F13" s="41" t="s">
        <v>324</v>
      </c>
      <c r="G13" s="41" t="s">
        <v>324</v>
      </c>
      <c r="H13" s="41" t="s">
        <v>324</v>
      </c>
      <c r="I13" s="41" t="s">
        <v>324</v>
      </c>
      <c r="J13" s="41" t="s">
        <v>324</v>
      </c>
      <c r="K13" s="41" t="s">
        <v>324</v>
      </c>
      <c r="L13" s="41" t="s">
        <v>324</v>
      </c>
      <c r="M13" s="41">
        <v>1.5</v>
      </c>
      <c r="N13" s="41" t="s">
        <v>324</v>
      </c>
      <c r="O13" s="41"/>
      <c r="P13" s="41">
        <v>1.7443983402489627</v>
      </c>
      <c r="Q13" s="41" t="s">
        <v>324</v>
      </c>
      <c r="R13" s="41" t="s">
        <v>324</v>
      </c>
      <c r="S13" s="41" t="s">
        <v>324</v>
      </c>
      <c r="T13" s="41" t="s">
        <v>324</v>
      </c>
      <c r="U13" s="41" t="s">
        <v>324</v>
      </c>
      <c r="V13" s="41" t="s">
        <v>324</v>
      </c>
      <c r="W13" s="41" t="s">
        <v>324</v>
      </c>
      <c r="X13" s="41">
        <v>0.43107938686141878</v>
      </c>
      <c r="Y13" s="41">
        <v>3</v>
      </c>
      <c r="Z13" s="41" t="s">
        <v>324</v>
      </c>
      <c r="AA13" s="41" t="s">
        <v>324</v>
      </c>
      <c r="AB13" s="41" t="s">
        <v>324</v>
      </c>
      <c r="AC13" s="41" t="s">
        <v>324</v>
      </c>
      <c r="AD13" s="41">
        <v>158</v>
      </c>
      <c r="AE13" s="41">
        <v>1.856676056338028</v>
      </c>
      <c r="AF13" s="41">
        <v>0.64851485148514854</v>
      </c>
      <c r="AG13" s="41">
        <v>0.51795580110497241</v>
      </c>
      <c r="AH13" s="41" t="s">
        <v>324</v>
      </c>
      <c r="AI13" s="41" t="s">
        <v>324</v>
      </c>
      <c r="AJ13" s="41" t="s">
        <v>324</v>
      </c>
      <c r="AK13" s="41" t="s">
        <v>324</v>
      </c>
      <c r="AL13" s="41" t="s">
        <v>324</v>
      </c>
      <c r="AM13" s="41" t="s">
        <v>324</v>
      </c>
      <c r="AN13" s="41" t="s">
        <v>324</v>
      </c>
      <c r="AO13" s="41" t="s">
        <v>324</v>
      </c>
      <c r="AP13" s="41">
        <v>3.0592417061611372</v>
      </c>
      <c r="AQ13" s="41" t="s">
        <v>324</v>
      </c>
      <c r="AR13" s="41" t="s">
        <v>324</v>
      </c>
      <c r="AS13" s="41" t="s">
        <v>324</v>
      </c>
      <c r="AT13" s="41" t="s">
        <v>324</v>
      </c>
      <c r="AU13" s="41" t="s">
        <v>324</v>
      </c>
      <c r="AV13" s="41">
        <v>5.4864864864864868</v>
      </c>
      <c r="AW13" s="41"/>
      <c r="AX13" s="41">
        <v>7.4614541457034411</v>
      </c>
      <c r="AY13" s="41">
        <v>10</v>
      </c>
      <c r="AZ13" s="41"/>
      <c r="BA13" s="41">
        <v>13.46154458764096</v>
      </c>
      <c r="BB13" s="41" t="s">
        <v>324</v>
      </c>
      <c r="BC13" s="41">
        <v>0.26651818856718634</v>
      </c>
      <c r="BD13" s="41" t="s">
        <v>324</v>
      </c>
      <c r="BE13" s="41" t="s">
        <v>324</v>
      </c>
      <c r="BF13" s="41" t="s">
        <v>324</v>
      </c>
      <c r="BG13" s="41" t="s">
        <v>324</v>
      </c>
      <c r="BH13" s="41" t="s">
        <v>324</v>
      </c>
      <c r="BI13" s="41">
        <v>6.8178285714285707</v>
      </c>
      <c r="BJ13" s="41" t="s">
        <v>324</v>
      </c>
      <c r="BK13" s="41" t="s">
        <v>324</v>
      </c>
      <c r="BL13" s="41" t="s">
        <v>324</v>
      </c>
      <c r="BM13" s="41" t="s">
        <v>324</v>
      </c>
      <c r="BN13" s="41" t="s">
        <v>324</v>
      </c>
      <c r="BO13" s="41" t="s">
        <v>324</v>
      </c>
      <c r="BP13" s="41" t="s">
        <v>324</v>
      </c>
      <c r="BQ13" s="41"/>
      <c r="BR13" s="41">
        <v>1.4965986394557824</v>
      </c>
      <c r="BS13" s="41" t="s">
        <v>324</v>
      </c>
      <c r="BT13" s="41">
        <v>0.96559739104654607</v>
      </c>
      <c r="BU13" s="41">
        <v>0.56362927336539714</v>
      </c>
      <c r="BV13" s="41" t="s">
        <v>324</v>
      </c>
      <c r="BW13" s="41" t="s">
        <v>324</v>
      </c>
      <c r="BX13" s="41" t="s">
        <v>324</v>
      </c>
      <c r="BY13" s="41" t="s">
        <v>324</v>
      </c>
      <c r="BZ13" s="41" t="s">
        <v>324</v>
      </c>
      <c r="CA13" s="41" t="s">
        <v>324</v>
      </c>
      <c r="CB13" s="41" t="s">
        <v>324</v>
      </c>
      <c r="CC13" s="41" t="s">
        <v>324</v>
      </c>
      <c r="CD13" s="41" t="s">
        <v>324</v>
      </c>
      <c r="CE13" s="41" t="s">
        <v>324</v>
      </c>
      <c r="CF13" s="41" t="s">
        <v>324</v>
      </c>
      <c r="CG13" s="41" t="s">
        <v>324</v>
      </c>
      <c r="CH13" s="41" t="s">
        <v>324</v>
      </c>
      <c r="CI13" s="41" t="s">
        <v>324</v>
      </c>
      <c r="CJ13" s="41">
        <v>0.72800586510263932</v>
      </c>
      <c r="CK13" s="41" t="s">
        <v>324</v>
      </c>
      <c r="CL13" s="41" t="s">
        <v>324</v>
      </c>
      <c r="CM13" s="41" t="s">
        <v>324</v>
      </c>
      <c r="CN13" s="41" t="s">
        <v>324</v>
      </c>
      <c r="CO13" s="41"/>
      <c r="CP13" s="41"/>
      <c r="CQ13" s="41"/>
      <c r="CR13" s="41"/>
      <c r="CS13" s="41"/>
      <c r="CT13" s="41"/>
      <c r="CU13" s="41"/>
      <c r="CV13" s="41"/>
      <c r="CW13" s="41"/>
      <c r="CX13" s="41"/>
      <c r="CY13" s="41"/>
      <c r="CZ13" s="41"/>
      <c r="DA13" s="41"/>
      <c r="DB13" s="41"/>
      <c r="DC13" s="41"/>
      <c r="DD13" s="41"/>
      <c r="DE13" s="41"/>
      <c r="DF13" s="41"/>
      <c r="DG13" s="41"/>
      <c r="DH13" s="41"/>
      <c r="DI13" s="41"/>
      <c r="DJ13" s="41"/>
      <c r="DK13" s="41"/>
      <c r="DL13" s="41"/>
      <c r="DM13" s="41"/>
      <c r="DN13" s="41"/>
      <c r="DO13" s="41"/>
      <c r="DP13" s="41"/>
      <c r="DQ13" s="41"/>
      <c r="DR13" s="41"/>
      <c r="DS13" s="41"/>
      <c r="DT13" s="41"/>
      <c r="DU13" s="41"/>
      <c r="DV13" s="41"/>
      <c r="DW13" s="41"/>
      <c r="DX13" s="41"/>
      <c r="DY13" s="41"/>
      <c r="DZ13" s="41"/>
      <c r="EA13" s="41"/>
      <c r="EB13" s="41"/>
      <c r="EC13" s="41"/>
      <c r="ED13" s="41"/>
      <c r="EE13" s="41"/>
      <c r="EF13" s="41"/>
      <c r="EG13" s="41"/>
      <c r="EH13" s="41"/>
      <c r="EI13" s="41"/>
      <c r="EJ13" s="41"/>
      <c r="EK13" s="41"/>
      <c r="EL13" s="41"/>
      <c r="EM13" s="41"/>
      <c r="EN13" s="41"/>
      <c r="EO13" s="41"/>
      <c r="EP13" s="41"/>
      <c r="EQ13" s="41"/>
      <c r="ER13" s="41"/>
      <c r="ES13" s="41"/>
      <c r="ET13" s="41"/>
      <c r="EU13" s="41"/>
      <c r="EV13" s="41"/>
      <c r="EW13" s="41"/>
      <c r="EX13" s="41"/>
      <c r="EY13" s="41"/>
      <c r="EZ13" s="42"/>
      <c r="FA13" s="42"/>
      <c r="FB13" s="42"/>
      <c r="FC13" s="42"/>
    </row>
    <row r="14" spans="1:159" x14ac:dyDescent="0.2">
      <c r="A14" s="43" t="s">
        <v>200</v>
      </c>
      <c r="C14" s="41" t="s">
        <v>324</v>
      </c>
      <c r="D14" s="41" t="s">
        <v>324</v>
      </c>
      <c r="E14" s="41" t="s">
        <v>324</v>
      </c>
      <c r="F14" s="41" t="s">
        <v>324</v>
      </c>
      <c r="G14" s="41" t="s">
        <v>324</v>
      </c>
      <c r="H14" s="41" t="s">
        <v>324</v>
      </c>
      <c r="I14" s="41" t="s">
        <v>324</v>
      </c>
      <c r="J14" s="41" t="s">
        <v>324</v>
      </c>
      <c r="K14" s="41" t="s">
        <v>324</v>
      </c>
      <c r="L14" s="41" t="s">
        <v>324</v>
      </c>
      <c r="M14" s="41">
        <v>1.2142857142857142</v>
      </c>
      <c r="N14" s="41">
        <v>4.3641585295807008</v>
      </c>
      <c r="O14" s="41"/>
      <c r="P14" s="41">
        <v>4.9791477787851317</v>
      </c>
      <c r="Q14" s="41"/>
      <c r="R14" s="41">
        <v>11.817252728217564</v>
      </c>
      <c r="S14" s="41" t="s">
        <v>324</v>
      </c>
      <c r="T14" s="41" t="s">
        <v>324</v>
      </c>
      <c r="U14" s="41" t="s">
        <v>324</v>
      </c>
      <c r="V14" s="41" t="s">
        <v>324</v>
      </c>
      <c r="W14" s="41" t="s">
        <v>324</v>
      </c>
      <c r="X14" s="41">
        <v>0.67689822294022617</v>
      </c>
      <c r="Y14" s="41" t="s">
        <v>324</v>
      </c>
      <c r="Z14" s="41" t="s">
        <v>324</v>
      </c>
      <c r="AA14" s="41" t="s">
        <v>324</v>
      </c>
      <c r="AB14" s="41" t="s">
        <v>324</v>
      </c>
      <c r="AC14" s="41" t="s">
        <v>324</v>
      </c>
      <c r="AD14" s="41" t="s">
        <v>324</v>
      </c>
      <c r="AE14" s="41">
        <v>3.8241206030150754</v>
      </c>
      <c r="AF14" s="41" t="s">
        <v>324</v>
      </c>
      <c r="AG14" s="41">
        <v>0.43771626297577854</v>
      </c>
      <c r="AH14" s="41" t="s">
        <v>324</v>
      </c>
      <c r="AI14" s="41" t="s">
        <v>324</v>
      </c>
      <c r="AJ14" s="41" t="s">
        <v>324</v>
      </c>
      <c r="AK14" s="41" t="s">
        <v>324</v>
      </c>
      <c r="AL14" s="41" t="s">
        <v>324</v>
      </c>
      <c r="AM14" s="41" t="s">
        <v>324</v>
      </c>
      <c r="AN14" s="41" t="s">
        <v>324</v>
      </c>
      <c r="AO14" s="41" t="s">
        <v>324</v>
      </c>
      <c r="AP14" s="41">
        <v>1.8036529680365296</v>
      </c>
      <c r="AQ14" s="41" t="s">
        <v>324</v>
      </c>
      <c r="AR14" s="41" t="s">
        <v>324</v>
      </c>
      <c r="AS14" s="41" t="s">
        <v>324</v>
      </c>
      <c r="AT14" s="41" t="s">
        <v>324</v>
      </c>
      <c r="AU14" s="41" t="s">
        <v>324</v>
      </c>
      <c r="AV14" s="41" t="s">
        <v>324</v>
      </c>
      <c r="AW14" s="41"/>
      <c r="AX14" s="41" t="s">
        <v>324</v>
      </c>
      <c r="AY14" s="41" t="s">
        <v>324</v>
      </c>
      <c r="AZ14" s="41" t="s">
        <v>324</v>
      </c>
      <c r="BA14" s="41" t="s">
        <v>324</v>
      </c>
      <c r="BB14" s="41" t="s">
        <v>324</v>
      </c>
      <c r="BC14" s="41">
        <v>0.25233160621761658</v>
      </c>
      <c r="BD14" s="41" t="s">
        <v>324</v>
      </c>
      <c r="BE14" s="41" t="s">
        <v>324</v>
      </c>
      <c r="BF14" s="41"/>
      <c r="BG14" s="41">
        <v>54.5</v>
      </c>
      <c r="BH14" s="41" t="s">
        <v>324</v>
      </c>
      <c r="BI14" s="41">
        <v>6.196648634920634</v>
      </c>
      <c r="BJ14" s="41" t="s">
        <v>324</v>
      </c>
      <c r="BK14" s="41" t="s">
        <v>324</v>
      </c>
      <c r="BL14" s="41" t="s">
        <v>324</v>
      </c>
      <c r="BM14" s="41" t="s">
        <v>324</v>
      </c>
      <c r="BN14" s="41">
        <v>1.3137254901960784</v>
      </c>
      <c r="BO14" s="41" t="s">
        <v>324</v>
      </c>
      <c r="BP14" s="41" t="s">
        <v>324</v>
      </c>
      <c r="BQ14" s="41" t="s">
        <v>324</v>
      </c>
      <c r="BR14" s="41" t="s">
        <v>324</v>
      </c>
      <c r="BS14" s="41" t="s">
        <v>324</v>
      </c>
      <c r="BT14" s="41">
        <v>0.71280591918042113</v>
      </c>
      <c r="BU14" s="41" t="s">
        <v>324</v>
      </c>
      <c r="BV14" s="41">
        <v>1.1892567145534041</v>
      </c>
      <c r="BW14" s="41" t="s">
        <v>324</v>
      </c>
      <c r="BX14" s="41" t="s">
        <v>324</v>
      </c>
      <c r="BY14" s="41" t="s">
        <v>324</v>
      </c>
      <c r="BZ14" s="41">
        <v>4.0829015544041454</v>
      </c>
      <c r="CA14" s="41" t="s">
        <v>324</v>
      </c>
      <c r="CB14" s="41">
        <v>2.6309823677581865</v>
      </c>
      <c r="CC14" s="41" t="s">
        <v>324</v>
      </c>
      <c r="CD14" s="41" t="s">
        <v>324</v>
      </c>
      <c r="CE14" s="41" t="s">
        <v>324</v>
      </c>
      <c r="CF14" s="41" t="s">
        <v>324</v>
      </c>
      <c r="CG14" s="41" t="s">
        <v>324</v>
      </c>
      <c r="CH14" s="41" t="s">
        <v>324</v>
      </c>
      <c r="CI14" s="41" t="s">
        <v>324</v>
      </c>
      <c r="CJ14" s="41" t="s">
        <v>324</v>
      </c>
      <c r="CK14" s="41" t="s">
        <v>324</v>
      </c>
      <c r="CL14" s="41" t="s">
        <v>324</v>
      </c>
      <c r="CM14" s="41" t="s">
        <v>324</v>
      </c>
      <c r="CN14" s="41" t="s">
        <v>324</v>
      </c>
      <c r="CO14" s="41"/>
      <c r="CP14" s="41"/>
      <c r="CQ14" s="41"/>
      <c r="CR14" s="41"/>
      <c r="CS14" s="41"/>
      <c r="CT14" s="41"/>
      <c r="CU14" s="41"/>
      <c r="CV14" s="41"/>
      <c r="CW14" s="41"/>
      <c r="CX14" s="41"/>
      <c r="CY14" s="41"/>
      <c r="CZ14" s="41"/>
      <c r="DA14" s="41"/>
      <c r="DB14" s="41"/>
      <c r="DC14" s="41"/>
      <c r="DD14" s="41"/>
      <c r="DE14" s="41"/>
      <c r="DF14" s="41"/>
      <c r="DG14" s="41"/>
      <c r="DH14" s="41"/>
      <c r="DI14" s="41"/>
      <c r="DJ14" s="41"/>
      <c r="DK14" s="41"/>
      <c r="DL14" s="41"/>
      <c r="DM14" s="41"/>
      <c r="DN14" s="41"/>
      <c r="DO14" s="41"/>
      <c r="DP14" s="41"/>
      <c r="DQ14" s="41"/>
      <c r="DR14" s="41"/>
      <c r="DS14" s="41"/>
      <c r="DT14" s="41"/>
      <c r="DU14" s="41"/>
      <c r="DV14" s="41"/>
      <c r="DW14" s="41"/>
      <c r="DX14" s="41"/>
      <c r="DY14" s="41"/>
      <c r="DZ14" s="41"/>
      <c r="EA14" s="41"/>
      <c r="EB14" s="41"/>
      <c r="EC14" s="41"/>
      <c r="ED14" s="41"/>
      <c r="EE14" s="41"/>
      <c r="EF14" s="41"/>
      <c r="EG14" s="41"/>
      <c r="EH14" s="41"/>
      <c r="EI14" s="41"/>
      <c r="EJ14" s="41"/>
      <c r="EK14" s="41"/>
      <c r="EL14" s="41"/>
      <c r="EM14" s="41"/>
      <c r="EN14" s="41"/>
      <c r="EO14" s="41"/>
      <c r="EP14" s="41"/>
      <c r="EQ14" s="41"/>
      <c r="ER14" s="41"/>
      <c r="ES14" s="41"/>
      <c r="ET14" s="41"/>
      <c r="EU14" s="41"/>
      <c r="EV14" s="41"/>
      <c r="EW14" s="41"/>
      <c r="EX14" s="41"/>
      <c r="EY14" s="41"/>
      <c r="EZ14" s="42"/>
      <c r="FA14" s="42"/>
      <c r="FB14" s="42"/>
      <c r="FC14" s="42"/>
    </row>
    <row r="15" spans="1:159" x14ac:dyDescent="0.2">
      <c r="A15" s="43" t="s">
        <v>201</v>
      </c>
      <c r="C15" s="41" t="s">
        <v>324</v>
      </c>
      <c r="D15" s="41" t="s">
        <v>324</v>
      </c>
      <c r="E15" s="41" t="s">
        <v>324</v>
      </c>
      <c r="F15" s="41" t="s">
        <v>324</v>
      </c>
      <c r="G15" s="41" t="s">
        <v>324</v>
      </c>
      <c r="H15" s="41" t="s">
        <v>324</v>
      </c>
      <c r="I15" s="41" t="s">
        <v>324</v>
      </c>
      <c r="J15" s="41" t="s">
        <v>324</v>
      </c>
      <c r="K15" s="41" t="s">
        <v>324</v>
      </c>
      <c r="L15" s="41" t="s">
        <v>324</v>
      </c>
      <c r="M15" s="41">
        <v>1.4954296160877514</v>
      </c>
      <c r="N15" s="41">
        <v>10</v>
      </c>
      <c r="O15" s="41"/>
      <c r="P15" s="41">
        <v>2.9240506329113924</v>
      </c>
      <c r="Q15" s="41"/>
      <c r="R15" s="41">
        <v>19.661409310607986</v>
      </c>
      <c r="S15" s="41" t="s">
        <v>324</v>
      </c>
      <c r="T15" s="41" t="s">
        <v>324</v>
      </c>
      <c r="U15" s="41" t="s">
        <v>324</v>
      </c>
      <c r="V15" s="41" t="s">
        <v>324</v>
      </c>
      <c r="W15" s="41" t="s">
        <v>324</v>
      </c>
      <c r="X15" s="41" t="s">
        <v>324</v>
      </c>
      <c r="Y15" s="41" t="s">
        <v>324</v>
      </c>
      <c r="Z15" s="41" t="s">
        <v>324</v>
      </c>
      <c r="AA15" s="41" t="s">
        <v>324</v>
      </c>
      <c r="AB15" s="41" t="s">
        <v>324</v>
      </c>
      <c r="AC15" s="41" t="s">
        <v>324</v>
      </c>
      <c r="AD15" s="41" t="s">
        <v>324</v>
      </c>
      <c r="AE15" s="41">
        <v>1.5685252735799895</v>
      </c>
      <c r="AF15" s="41" t="s">
        <v>324</v>
      </c>
      <c r="AG15" s="41">
        <v>0.38570167696381291</v>
      </c>
      <c r="AH15" s="41" t="s">
        <v>324</v>
      </c>
      <c r="AI15" s="41" t="s">
        <v>324</v>
      </c>
      <c r="AJ15" s="41" t="s">
        <v>324</v>
      </c>
      <c r="AK15" s="41" t="s">
        <v>324</v>
      </c>
      <c r="AL15" s="41" t="s">
        <v>324</v>
      </c>
      <c r="AM15" s="41" t="s">
        <v>324</v>
      </c>
      <c r="AN15" s="41" t="s">
        <v>324</v>
      </c>
      <c r="AO15" s="41" t="s">
        <v>324</v>
      </c>
      <c r="AP15" s="41">
        <v>1.3894422310756973</v>
      </c>
      <c r="AQ15" s="41" t="s">
        <v>324</v>
      </c>
      <c r="AR15" s="41" t="s">
        <v>324</v>
      </c>
      <c r="AS15" s="41" t="s">
        <v>324</v>
      </c>
      <c r="AT15" s="41" t="s">
        <v>324</v>
      </c>
      <c r="AU15" s="41" t="s">
        <v>324</v>
      </c>
      <c r="AV15" s="41" t="s">
        <v>324</v>
      </c>
      <c r="AW15" s="41"/>
      <c r="AX15" s="41" t="s">
        <v>324</v>
      </c>
      <c r="AY15" s="41" t="s">
        <v>324</v>
      </c>
      <c r="AZ15" s="41" t="s">
        <v>324</v>
      </c>
      <c r="BA15" s="41" t="s">
        <v>324</v>
      </c>
      <c r="BB15" s="41" t="s">
        <v>324</v>
      </c>
      <c r="BC15" s="41">
        <v>0.627430591660601</v>
      </c>
      <c r="BD15" s="41" t="s">
        <v>324</v>
      </c>
      <c r="BE15" s="41" t="s">
        <v>324</v>
      </c>
      <c r="BF15" s="41"/>
      <c r="BG15" s="41">
        <v>87.058823529411768</v>
      </c>
      <c r="BH15" s="41" t="s">
        <v>324</v>
      </c>
      <c r="BI15" s="41">
        <v>6.6872744072948329</v>
      </c>
      <c r="BJ15" s="41" t="s">
        <v>324</v>
      </c>
      <c r="BK15" s="41" t="s">
        <v>324</v>
      </c>
      <c r="BL15" s="41" t="s">
        <v>324</v>
      </c>
      <c r="BM15" s="41" t="s">
        <v>324</v>
      </c>
      <c r="BN15" s="41">
        <v>1.4012698412698412</v>
      </c>
      <c r="BO15" s="41" t="s">
        <v>324</v>
      </c>
      <c r="BP15" s="41" t="s">
        <v>324</v>
      </c>
      <c r="BQ15" s="41" t="s">
        <v>324</v>
      </c>
      <c r="BR15" s="41" t="s">
        <v>324</v>
      </c>
      <c r="BS15" s="41" t="s">
        <v>324</v>
      </c>
      <c r="BT15" s="41">
        <v>0.89639503180854285</v>
      </c>
      <c r="BU15" s="41" t="s">
        <v>324</v>
      </c>
      <c r="BV15" s="41">
        <v>0.56241482692831835</v>
      </c>
      <c r="BW15" s="41" t="s">
        <v>324</v>
      </c>
      <c r="BX15" s="41" t="s">
        <v>324</v>
      </c>
      <c r="BY15" s="41" t="s">
        <v>324</v>
      </c>
      <c r="BZ15" s="41">
        <v>4.6479591836734695</v>
      </c>
      <c r="CA15" s="41" t="s">
        <v>324</v>
      </c>
      <c r="CB15" s="41">
        <v>2.8809523809523809</v>
      </c>
      <c r="CC15" s="41" t="s">
        <v>324</v>
      </c>
      <c r="CD15" s="41"/>
      <c r="CE15" s="41" t="s">
        <v>324</v>
      </c>
      <c r="CF15" s="41" t="s">
        <v>324</v>
      </c>
      <c r="CG15" s="41" t="s">
        <v>324</v>
      </c>
      <c r="CH15" s="41" t="s">
        <v>324</v>
      </c>
      <c r="CI15" s="41" t="s">
        <v>324</v>
      </c>
      <c r="CJ15" s="41" t="s">
        <v>324</v>
      </c>
      <c r="CK15" s="41" t="s">
        <v>324</v>
      </c>
      <c r="CL15" s="41" t="s">
        <v>324</v>
      </c>
      <c r="CM15" s="41" t="s">
        <v>324</v>
      </c>
      <c r="CN15" s="41" t="s">
        <v>324</v>
      </c>
      <c r="CO15" s="41"/>
      <c r="CP15" s="41"/>
      <c r="CQ15" s="41"/>
      <c r="CR15" s="41"/>
      <c r="CS15" s="41"/>
      <c r="CT15" s="41"/>
      <c r="CU15" s="41"/>
      <c r="CV15" s="41"/>
      <c r="CW15" s="41"/>
      <c r="CX15" s="41"/>
      <c r="CY15" s="41"/>
      <c r="CZ15" s="41"/>
      <c r="DA15" s="41"/>
      <c r="DB15" s="41"/>
      <c r="DC15" s="41"/>
      <c r="DD15" s="41"/>
      <c r="DE15" s="41"/>
      <c r="DF15" s="41"/>
      <c r="DG15" s="41"/>
      <c r="DH15" s="41"/>
      <c r="DI15" s="41"/>
      <c r="DJ15" s="41"/>
      <c r="DK15" s="41"/>
      <c r="DL15" s="41"/>
      <c r="DM15" s="41"/>
      <c r="DN15" s="41"/>
      <c r="DO15" s="41"/>
      <c r="DP15" s="41"/>
      <c r="DQ15" s="41"/>
      <c r="DR15" s="41"/>
      <c r="DS15" s="41"/>
      <c r="DT15" s="41"/>
      <c r="DU15" s="41"/>
      <c r="DV15" s="41"/>
      <c r="DW15" s="41"/>
      <c r="DX15" s="41"/>
      <c r="DY15" s="41"/>
      <c r="DZ15" s="41"/>
      <c r="EA15" s="41"/>
      <c r="EB15" s="41"/>
      <c r="EC15" s="41"/>
      <c r="ED15" s="41"/>
      <c r="EE15" s="41"/>
      <c r="EF15" s="41"/>
      <c r="EG15" s="41"/>
      <c r="EH15" s="41"/>
      <c r="EI15" s="41"/>
      <c r="EJ15" s="41"/>
      <c r="EK15" s="41"/>
      <c r="EL15" s="41"/>
      <c r="EM15" s="41"/>
      <c r="EN15" s="41"/>
      <c r="EO15" s="41"/>
      <c r="EP15" s="41"/>
      <c r="EQ15" s="41"/>
      <c r="ER15" s="41"/>
      <c r="ES15" s="41"/>
      <c r="ET15" s="41"/>
      <c r="EU15" s="41"/>
      <c r="EV15" s="41"/>
      <c r="EW15" s="41"/>
      <c r="EX15" s="41"/>
      <c r="EY15" s="41"/>
      <c r="EZ15" s="42"/>
      <c r="FA15" s="42"/>
      <c r="FB15" s="42"/>
      <c r="FC15" s="42"/>
    </row>
    <row r="16" spans="1:159" x14ac:dyDescent="0.2">
      <c r="A16" s="43" t="s">
        <v>202</v>
      </c>
      <c r="C16" s="41" t="s">
        <v>324</v>
      </c>
      <c r="D16" s="41" t="s">
        <v>324</v>
      </c>
      <c r="E16" s="41" t="s">
        <v>324</v>
      </c>
      <c r="F16" s="41" t="s">
        <v>324</v>
      </c>
      <c r="G16" s="41" t="s">
        <v>324</v>
      </c>
      <c r="H16" s="41" t="s">
        <v>324</v>
      </c>
      <c r="I16" s="41" t="s">
        <v>324</v>
      </c>
      <c r="J16" s="41" t="s">
        <v>324</v>
      </c>
      <c r="K16" s="41" t="s">
        <v>324</v>
      </c>
      <c r="L16" s="41" t="s">
        <v>324</v>
      </c>
      <c r="M16" s="41">
        <v>1.8023255813953489</v>
      </c>
      <c r="N16" s="41">
        <v>4.666666666666667</v>
      </c>
      <c r="O16" s="41"/>
      <c r="P16" s="41">
        <v>2</v>
      </c>
      <c r="Q16" s="41"/>
      <c r="R16" s="41">
        <v>8.2744776730848013</v>
      </c>
      <c r="S16" s="41" t="s">
        <v>324</v>
      </c>
      <c r="T16" s="41" t="s">
        <v>324</v>
      </c>
      <c r="U16" s="41" t="s">
        <v>324</v>
      </c>
      <c r="V16" s="41" t="s">
        <v>324</v>
      </c>
      <c r="W16" s="41" t="s">
        <v>324</v>
      </c>
      <c r="X16" s="41" t="s">
        <v>324</v>
      </c>
      <c r="Y16" s="41" t="s">
        <v>324</v>
      </c>
      <c r="Z16" s="41" t="s">
        <v>324</v>
      </c>
      <c r="AA16" s="41" t="s">
        <v>324</v>
      </c>
      <c r="AB16" s="41" t="s">
        <v>324</v>
      </c>
      <c r="AC16" s="41" t="s">
        <v>324</v>
      </c>
      <c r="AD16" s="41" t="s">
        <v>324</v>
      </c>
      <c r="AE16" s="41" t="s">
        <v>324</v>
      </c>
      <c r="AF16" s="41" t="s">
        <v>324</v>
      </c>
      <c r="AG16" s="41">
        <v>0.54076539101497501</v>
      </c>
      <c r="AH16" s="41" t="s">
        <v>324</v>
      </c>
      <c r="AI16" s="41" t="s">
        <v>324</v>
      </c>
      <c r="AJ16" s="41" t="s">
        <v>324</v>
      </c>
      <c r="AK16" s="41" t="s">
        <v>324</v>
      </c>
      <c r="AL16" s="41" t="s">
        <v>324</v>
      </c>
      <c r="AM16" s="41" t="s">
        <v>324</v>
      </c>
      <c r="AN16" s="41" t="s">
        <v>324</v>
      </c>
      <c r="AO16" s="41" t="s">
        <v>324</v>
      </c>
      <c r="AP16" s="41">
        <v>1.5005405405405405</v>
      </c>
      <c r="AQ16" s="41" t="s">
        <v>324</v>
      </c>
      <c r="AR16" s="41" t="s">
        <v>324</v>
      </c>
      <c r="AS16" s="41" t="s">
        <v>324</v>
      </c>
      <c r="AT16" s="41" t="s">
        <v>324</v>
      </c>
      <c r="AU16" s="41" t="s">
        <v>324</v>
      </c>
      <c r="AV16" s="41" t="s">
        <v>324</v>
      </c>
      <c r="AW16" s="41"/>
      <c r="AX16" s="41" t="s">
        <v>324</v>
      </c>
      <c r="AY16" s="41" t="s">
        <v>324</v>
      </c>
      <c r="AZ16" s="41" t="s">
        <v>324</v>
      </c>
      <c r="BA16" s="41" t="s">
        <v>324</v>
      </c>
      <c r="BB16" s="41" t="s">
        <v>324</v>
      </c>
      <c r="BC16" s="41">
        <v>0.50318761384335153</v>
      </c>
      <c r="BD16" s="41" t="s">
        <v>324</v>
      </c>
      <c r="BE16" s="41" t="s">
        <v>324</v>
      </c>
      <c r="BF16" s="41"/>
      <c r="BG16" s="41" t="s">
        <v>324</v>
      </c>
      <c r="BH16" s="41" t="s">
        <v>324</v>
      </c>
      <c r="BI16" s="41">
        <v>11.363047619047618</v>
      </c>
      <c r="BJ16" s="41" t="s">
        <v>324</v>
      </c>
      <c r="BK16" s="41" t="s">
        <v>324</v>
      </c>
      <c r="BL16" s="41" t="s">
        <v>324</v>
      </c>
      <c r="BM16" s="41" t="s">
        <v>324</v>
      </c>
      <c r="BN16" s="41">
        <v>1.4096385542168675</v>
      </c>
      <c r="BO16" s="41" t="s">
        <v>324</v>
      </c>
      <c r="BP16" s="41" t="s">
        <v>324</v>
      </c>
      <c r="BQ16" s="41" t="s">
        <v>324</v>
      </c>
      <c r="BR16" s="41" t="s">
        <v>324</v>
      </c>
      <c r="BS16" s="41" t="s">
        <v>324</v>
      </c>
      <c r="BT16" s="41">
        <v>0.83334727683426757</v>
      </c>
      <c r="BU16" s="41" t="s">
        <v>324</v>
      </c>
      <c r="BV16" s="41">
        <v>0.74852941176470589</v>
      </c>
      <c r="BW16" s="41" t="s">
        <v>324</v>
      </c>
      <c r="BX16" s="41" t="s">
        <v>324</v>
      </c>
      <c r="BY16" s="41" t="s">
        <v>324</v>
      </c>
      <c r="BZ16" s="41">
        <v>4.4912280701754383</v>
      </c>
      <c r="CA16" s="41" t="s">
        <v>324</v>
      </c>
      <c r="CB16" s="41">
        <v>3.4257425742574257</v>
      </c>
      <c r="CC16" s="41" t="s">
        <v>324</v>
      </c>
      <c r="CD16" s="41" t="s">
        <v>324</v>
      </c>
      <c r="CE16" s="41" t="s">
        <v>324</v>
      </c>
      <c r="CF16" s="41" t="s">
        <v>324</v>
      </c>
      <c r="CG16" s="41" t="s">
        <v>324</v>
      </c>
      <c r="CH16" s="41" t="s">
        <v>324</v>
      </c>
      <c r="CI16" s="41" t="s">
        <v>324</v>
      </c>
      <c r="CJ16" s="41" t="s">
        <v>324</v>
      </c>
      <c r="CK16" s="41">
        <v>0.33783890290037832</v>
      </c>
      <c r="CL16" s="41" t="s">
        <v>324</v>
      </c>
      <c r="CM16" s="41" t="s">
        <v>324</v>
      </c>
      <c r="CN16" s="41" t="s">
        <v>324</v>
      </c>
      <c r="CO16" s="41"/>
      <c r="CP16" s="41"/>
      <c r="CQ16" s="41"/>
      <c r="CR16" s="41"/>
      <c r="CS16" s="41"/>
      <c r="CT16" s="41"/>
      <c r="CU16" s="41"/>
      <c r="CV16" s="41"/>
      <c r="CW16" s="41"/>
      <c r="CX16" s="41"/>
      <c r="CY16" s="41"/>
      <c r="CZ16" s="41"/>
      <c r="DA16" s="41"/>
      <c r="DB16" s="41"/>
      <c r="DC16" s="41"/>
      <c r="DD16" s="41"/>
      <c r="DE16" s="41"/>
      <c r="DF16" s="41"/>
      <c r="DG16" s="41"/>
      <c r="DH16" s="41"/>
      <c r="DI16" s="41"/>
      <c r="DJ16" s="41"/>
      <c r="DK16" s="41"/>
      <c r="DL16" s="41"/>
      <c r="DM16" s="41"/>
      <c r="DN16" s="41"/>
      <c r="DO16" s="41"/>
      <c r="DP16" s="41"/>
      <c r="DQ16" s="41"/>
      <c r="DR16" s="41"/>
      <c r="DS16" s="41"/>
      <c r="DT16" s="41"/>
      <c r="DU16" s="41"/>
      <c r="DV16" s="41"/>
      <c r="DW16" s="41"/>
      <c r="DX16" s="41"/>
      <c r="DY16" s="41"/>
      <c r="DZ16" s="41"/>
      <c r="EA16" s="41"/>
      <c r="EB16" s="41"/>
      <c r="EC16" s="41"/>
      <c r="ED16" s="41"/>
      <c r="EE16" s="41"/>
      <c r="EF16" s="41"/>
      <c r="EG16" s="41"/>
      <c r="EH16" s="41"/>
      <c r="EI16" s="41"/>
      <c r="EJ16" s="41"/>
      <c r="EK16" s="41"/>
      <c r="EL16" s="41"/>
      <c r="EM16" s="41"/>
      <c r="EN16" s="41"/>
      <c r="EO16" s="41"/>
      <c r="EP16" s="41"/>
      <c r="EQ16" s="41"/>
      <c r="ER16" s="41"/>
      <c r="ES16" s="41"/>
      <c r="ET16" s="41"/>
      <c r="EU16" s="41"/>
      <c r="EV16" s="41"/>
      <c r="EW16" s="41"/>
      <c r="EX16" s="41"/>
      <c r="EY16" s="41"/>
      <c r="EZ16" s="42"/>
      <c r="FA16" s="42"/>
      <c r="FB16" s="42"/>
      <c r="FC16" s="42"/>
    </row>
    <row r="17" spans="1:160" x14ac:dyDescent="0.2">
      <c r="A17" s="43" t="s">
        <v>203</v>
      </c>
      <c r="C17" s="41" t="s">
        <v>324</v>
      </c>
      <c r="D17" s="41" t="s">
        <v>324</v>
      </c>
      <c r="E17" s="41" t="s">
        <v>324</v>
      </c>
      <c r="F17" s="41" t="s">
        <v>324</v>
      </c>
      <c r="G17" s="41" t="s">
        <v>324</v>
      </c>
      <c r="H17" s="41" t="s">
        <v>324</v>
      </c>
      <c r="I17" s="41" t="s">
        <v>324</v>
      </c>
      <c r="J17" s="41" t="s">
        <v>324</v>
      </c>
      <c r="K17" s="41" t="s">
        <v>324</v>
      </c>
      <c r="L17" s="41" t="s">
        <v>324</v>
      </c>
      <c r="M17" s="41">
        <v>1.5</v>
      </c>
      <c r="N17" s="41">
        <v>4.666666666666667</v>
      </c>
      <c r="O17" s="41"/>
      <c r="P17" s="41">
        <v>2</v>
      </c>
      <c r="Q17" s="41" t="s">
        <v>324</v>
      </c>
      <c r="R17" s="41" t="s">
        <v>324</v>
      </c>
      <c r="S17" s="41" t="s">
        <v>324</v>
      </c>
      <c r="T17" s="41" t="s">
        <v>324</v>
      </c>
      <c r="U17" s="41" t="s">
        <v>324</v>
      </c>
      <c r="V17" s="41" t="s">
        <v>324</v>
      </c>
      <c r="W17" s="41" t="s">
        <v>324</v>
      </c>
      <c r="X17" s="41" t="s">
        <v>324</v>
      </c>
      <c r="Y17" s="41" t="s">
        <v>324</v>
      </c>
      <c r="Z17" s="41" t="s">
        <v>324</v>
      </c>
      <c r="AA17" s="41" t="s">
        <v>324</v>
      </c>
      <c r="AB17" s="41" t="s">
        <v>324</v>
      </c>
      <c r="AC17" s="41" t="s">
        <v>324</v>
      </c>
      <c r="AD17" s="41" t="s">
        <v>324</v>
      </c>
      <c r="AE17" s="41" t="s">
        <v>324</v>
      </c>
      <c r="AF17" s="41" t="s">
        <v>324</v>
      </c>
      <c r="AG17" s="41">
        <v>0.99338942307692313</v>
      </c>
      <c r="AH17" s="41" t="s">
        <v>324</v>
      </c>
      <c r="AI17" s="41" t="s">
        <v>324</v>
      </c>
      <c r="AJ17" s="41" t="s">
        <v>324</v>
      </c>
      <c r="AK17" s="41" t="s">
        <v>324</v>
      </c>
      <c r="AL17" s="41" t="s">
        <v>324</v>
      </c>
      <c r="AM17" s="41">
        <v>2.6666666666666665</v>
      </c>
      <c r="AN17" s="41" t="s">
        <v>324</v>
      </c>
      <c r="AO17" s="41" t="s">
        <v>324</v>
      </c>
      <c r="AP17" s="41">
        <v>1.2393617021276595</v>
      </c>
      <c r="AQ17" s="41" t="s">
        <v>324</v>
      </c>
      <c r="AR17" s="41" t="s">
        <v>324</v>
      </c>
      <c r="AS17" s="41" t="s">
        <v>324</v>
      </c>
      <c r="AT17" s="41" t="s">
        <v>324</v>
      </c>
      <c r="AU17" s="41" t="s">
        <v>324</v>
      </c>
      <c r="AV17" s="41" t="s">
        <v>324</v>
      </c>
      <c r="AW17" s="41"/>
      <c r="AX17" s="41" t="s">
        <v>324</v>
      </c>
      <c r="AY17" s="41" t="s">
        <v>324</v>
      </c>
      <c r="AZ17" s="41" t="s">
        <v>324</v>
      </c>
      <c r="BA17" s="41" t="s">
        <v>324</v>
      </c>
      <c r="BB17" s="41" t="s">
        <v>324</v>
      </c>
      <c r="BC17" s="41">
        <v>0.3675474506885002</v>
      </c>
      <c r="BD17" s="41" t="s">
        <v>324</v>
      </c>
      <c r="BE17" s="41" t="s">
        <v>324</v>
      </c>
      <c r="BF17" s="41" t="s">
        <v>324</v>
      </c>
      <c r="BG17" s="41" t="s">
        <v>324</v>
      </c>
      <c r="BH17" s="41" t="s">
        <v>324</v>
      </c>
      <c r="BI17" s="41">
        <v>34.089142857142853</v>
      </c>
      <c r="BJ17" s="41" t="s">
        <v>324</v>
      </c>
      <c r="BK17" s="41" t="s">
        <v>324</v>
      </c>
      <c r="BL17" s="41" t="s">
        <v>324</v>
      </c>
      <c r="BM17" s="41" t="s">
        <v>324</v>
      </c>
      <c r="BN17" s="41">
        <v>1.834008097165992</v>
      </c>
      <c r="BO17" s="41" t="s">
        <v>324</v>
      </c>
      <c r="BP17" s="41" t="s">
        <v>324</v>
      </c>
      <c r="BQ17" s="41" t="s">
        <v>324</v>
      </c>
      <c r="BR17" s="41" t="s">
        <v>324</v>
      </c>
      <c r="BS17" s="41" t="s">
        <v>324</v>
      </c>
      <c r="BT17" s="41">
        <v>0.83297705572181846</v>
      </c>
      <c r="BU17" s="41" t="s">
        <v>324</v>
      </c>
      <c r="BV17" s="41">
        <v>0.76510196229318972</v>
      </c>
      <c r="BW17" s="41" t="s">
        <v>324</v>
      </c>
      <c r="BX17" s="41" t="s">
        <v>324</v>
      </c>
      <c r="BY17" s="41" t="s">
        <v>324</v>
      </c>
      <c r="BZ17" s="41">
        <v>3.6783919597989949</v>
      </c>
      <c r="CA17" s="41" t="s">
        <v>324</v>
      </c>
      <c r="CB17" s="41">
        <v>4.3244047619047619</v>
      </c>
      <c r="CC17" s="41" t="s">
        <v>324</v>
      </c>
      <c r="CD17" s="41" t="s">
        <v>324</v>
      </c>
      <c r="CE17" s="41" t="s">
        <v>324</v>
      </c>
      <c r="CF17" s="41" t="s">
        <v>324</v>
      </c>
      <c r="CG17" s="41" t="s">
        <v>324</v>
      </c>
      <c r="CH17" s="41" t="s">
        <v>324</v>
      </c>
      <c r="CI17" s="41" t="s">
        <v>324</v>
      </c>
      <c r="CJ17" s="41" t="s">
        <v>324</v>
      </c>
      <c r="CK17" s="41" t="s">
        <v>324</v>
      </c>
      <c r="CL17" s="41" t="s">
        <v>324</v>
      </c>
      <c r="CM17" s="41" t="s">
        <v>324</v>
      </c>
      <c r="CN17" s="41" t="s">
        <v>324</v>
      </c>
      <c r="CO17" s="41"/>
      <c r="CP17" s="41"/>
      <c r="CQ17" s="41"/>
      <c r="CR17" s="41"/>
      <c r="CS17" s="41"/>
      <c r="CT17" s="41"/>
      <c r="CU17" s="41"/>
      <c r="CV17" s="41"/>
      <c r="CW17" s="41"/>
      <c r="CX17" s="41"/>
      <c r="CY17" s="41"/>
      <c r="CZ17" s="41"/>
      <c r="DA17" s="41"/>
      <c r="DB17" s="41"/>
      <c r="DC17" s="41"/>
      <c r="DD17" s="41"/>
      <c r="DE17" s="41"/>
      <c r="DF17" s="41"/>
      <c r="DG17" s="41"/>
      <c r="DH17" s="41"/>
      <c r="DI17" s="41"/>
      <c r="DJ17" s="41"/>
      <c r="DK17" s="41"/>
      <c r="DL17" s="41"/>
      <c r="DM17" s="41"/>
      <c r="DN17" s="41"/>
      <c r="DO17" s="41"/>
      <c r="DP17" s="41"/>
      <c r="DQ17" s="41"/>
      <c r="DR17" s="41"/>
      <c r="DS17" s="41"/>
      <c r="DT17" s="41"/>
      <c r="DU17" s="41"/>
      <c r="DV17" s="41"/>
      <c r="DW17" s="41"/>
      <c r="DX17" s="41"/>
      <c r="DY17" s="41"/>
      <c r="DZ17" s="41"/>
      <c r="EA17" s="41"/>
      <c r="EB17" s="41"/>
      <c r="EC17" s="41"/>
      <c r="ED17" s="41"/>
      <c r="EE17" s="41"/>
      <c r="EF17" s="41"/>
      <c r="EG17" s="41"/>
      <c r="EH17" s="41"/>
      <c r="EI17" s="41"/>
      <c r="EJ17" s="41"/>
      <c r="EK17" s="41"/>
      <c r="EL17" s="41"/>
      <c r="EM17" s="41"/>
      <c r="EN17" s="41"/>
      <c r="EO17" s="41"/>
      <c r="EP17" s="41"/>
      <c r="EQ17" s="41"/>
      <c r="ER17" s="41"/>
      <c r="ES17" s="41"/>
      <c r="ET17" s="41"/>
      <c r="EU17" s="41"/>
      <c r="EV17" s="41"/>
      <c r="EW17" s="41"/>
      <c r="EX17" s="41"/>
      <c r="EY17" s="41"/>
      <c r="EZ17" s="42"/>
      <c r="FA17" s="42"/>
      <c r="FB17" s="42"/>
      <c r="FC17" s="42"/>
    </row>
    <row r="18" spans="1:160" x14ac:dyDescent="0.2">
      <c r="A18" s="43" t="s">
        <v>204</v>
      </c>
      <c r="C18" s="41" t="s">
        <v>324</v>
      </c>
      <c r="D18" s="41" t="s">
        <v>324</v>
      </c>
      <c r="E18" s="41" t="s">
        <v>324</v>
      </c>
      <c r="F18" s="41" t="s">
        <v>324</v>
      </c>
      <c r="G18" s="41" t="s">
        <v>324</v>
      </c>
      <c r="H18" s="41" t="s">
        <v>324</v>
      </c>
      <c r="I18" s="41" t="s">
        <v>324</v>
      </c>
      <c r="J18" s="41" t="s">
        <v>324</v>
      </c>
      <c r="K18" s="41" t="s">
        <v>324</v>
      </c>
      <c r="L18" s="41" t="s">
        <v>324</v>
      </c>
      <c r="M18" s="41">
        <v>1.8333333333333333</v>
      </c>
      <c r="N18" s="41">
        <v>4.7989417989417991</v>
      </c>
      <c r="O18" s="41"/>
      <c r="P18" s="41">
        <v>2</v>
      </c>
      <c r="Q18" s="41" t="s">
        <v>324</v>
      </c>
      <c r="R18" s="41" t="s">
        <v>324</v>
      </c>
      <c r="S18" s="41" t="s">
        <v>324</v>
      </c>
      <c r="T18" s="41" t="s">
        <v>324</v>
      </c>
      <c r="U18" s="41" t="s">
        <v>324</v>
      </c>
      <c r="V18" s="41">
        <v>0.71847297683728906</v>
      </c>
      <c r="W18" s="41" t="s">
        <v>324</v>
      </c>
      <c r="X18" s="41" t="s">
        <v>324</v>
      </c>
      <c r="Y18" s="41" t="s">
        <v>324</v>
      </c>
      <c r="Z18" s="41" t="s">
        <v>324</v>
      </c>
      <c r="AA18" s="41" t="s">
        <v>324</v>
      </c>
      <c r="AB18" s="41" t="s">
        <v>324</v>
      </c>
      <c r="AC18" s="41" t="s">
        <v>324</v>
      </c>
      <c r="AD18" s="41" t="s">
        <v>324</v>
      </c>
      <c r="AE18" s="41" t="s">
        <v>324</v>
      </c>
      <c r="AF18" s="41" t="s">
        <v>324</v>
      </c>
      <c r="AG18" s="41">
        <v>0.99725651577503427</v>
      </c>
      <c r="AH18" s="41" t="s">
        <v>324</v>
      </c>
      <c r="AI18" s="41" t="s">
        <v>324</v>
      </c>
      <c r="AJ18" s="41">
        <v>3.7777777777777778E-2</v>
      </c>
      <c r="AK18" s="41"/>
      <c r="AL18" s="41" t="s">
        <v>324</v>
      </c>
      <c r="AM18" s="41">
        <v>2.6666666666666665</v>
      </c>
      <c r="AN18" s="41" t="s">
        <v>324</v>
      </c>
      <c r="AO18" s="41" t="s">
        <v>324</v>
      </c>
      <c r="AP18" s="41">
        <v>0.93627450980392157</v>
      </c>
      <c r="AQ18" s="41" t="s">
        <v>324</v>
      </c>
      <c r="AR18" s="41" t="s">
        <v>324</v>
      </c>
      <c r="AS18" s="41" t="s">
        <v>324</v>
      </c>
      <c r="AT18" s="41" t="s">
        <v>324</v>
      </c>
      <c r="AU18" s="41" t="s">
        <v>324</v>
      </c>
      <c r="AV18" s="41" t="s">
        <v>324</v>
      </c>
      <c r="AW18" s="41"/>
      <c r="AX18" s="41" t="s">
        <v>324</v>
      </c>
      <c r="AY18" s="41" t="s">
        <v>324</v>
      </c>
      <c r="AZ18" s="41" t="s">
        <v>324</v>
      </c>
      <c r="BA18" s="41" t="s">
        <v>324</v>
      </c>
      <c r="BB18" s="41" t="s">
        <v>324</v>
      </c>
      <c r="BC18" s="41">
        <v>0.38697568141015176</v>
      </c>
      <c r="BD18" s="41" t="s">
        <v>324</v>
      </c>
      <c r="BE18" s="41" t="s">
        <v>324</v>
      </c>
      <c r="BF18" s="41" t="s">
        <v>324</v>
      </c>
      <c r="BG18" s="41" t="s">
        <v>324</v>
      </c>
      <c r="BH18" s="41" t="s">
        <v>324</v>
      </c>
      <c r="BI18" s="41">
        <v>22.726095238095237</v>
      </c>
      <c r="BJ18" s="41" t="s">
        <v>324</v>
      </c>
      <c r="BK18" s="41" t="s">
        <v>324</v>
      </c>
      <c r="BL18" s="41" t="s">
        <v>324</v>
      </c>
      <c r="BM18" s="41" t="s">
        <v>324</v>
      </c>
      <c r="BN18" s="41">
        <v>1.869304556354916</v>
      </c>
      <c r="BO18" s="41" t="s">
        <v>324</v>
      </c>
      <c r="BP18" s="41" t="s">
        <v>324</v>
      </c>
      <c r="BQ18" s="41" t="s">
        <v>324</v>
      </c>
      <c r="BR18" s="41" t="s">
        <v>324</v>
      </c>
      <c r="BS18" s="41" t="s">
        <v>324</v>
      </c>
      <c r="BT18" s="41">
        <v>0.88057813911472449</v>
      </c>
      <c r="BU18" s="41" t="s">
        <v>324</v>
      </c>
      <c r="BV18" s="41">
        <v>0.76362550395699569</v>
      </c>
      <c r="BW18" s="41" t="s">
        <v>324</v>
      </c>
      <c r="BX18" s="41" t="s">
        <v>324</v>
      </c>
      <c r="BY18" s="41" t="s">
        <v>324</v>
      </c>
      <c r="BZ18" s="41">
        <v>3.3392857142857144</v>
      </c>
      <c r="CA18" s="41" t="s">
        <v>324</v>
      </c>
      <c r="CB18" s="41">
        <v>4.3133159268929502</v>
      </c>
      <c r="CC18" s="41" t="s">
        <v>324</v>
      </c>
      <c r="CD18" s="41" t="s">
        <v>324</v>
      </c>
      <c r="CE18" s="41" t="s">
        <v>324</v>
      </c>
      <c r="CF18" s="41" t="s">
        <v>324</v>
      </c>
      <c r="CG18" s="41" t="s">
        <v>324</v>
      </c>
      <c r="CH18" s="41" t="s">
        <v>324</v>
      </c>
      <c r="CI18" s="41" t="s">
        <v>324</v>
      </c>
      <c r="CJ18" s="41" t="s">
        <v>324</v>
      </c>
      <c r="CK18" s="41" t="s">
        <v>324</v>
      </c>
      <c r="CL18" s="41" t="s">
        <v>324</v>
      </c>
      <c r="CM18" s="41" t="s">
        <v>324</v>
      </c>
      <c r="CN18" s="41" t="s">
        <v>324</v>
      </c>
      <c r="CO18" s="41"/>
      <c r="CP18" s="41"/>
      <c r="CQ18" s="41"/>
      <c r="CR18" s="41"/>
      <c r="CS18" s="41"/>
      <c r="CT18" s="41"/>
      <c r="CU18" s="41"/>
      <c r="CV18" s="41"/>
      <c r="CW18" s="41"/>
      <c r="CX18" s="41"/>
      <c r="CY18" s="41"/>
      <c r="CZ18" s="41"/>
      <c r="DA18" s="41"/>
      <c r="DB18" s="41"/>
      <c r="DC18" s="41"/>
      <c r="DD18" s="41"/>
      <c r="DE18" s="41"/>
      <c r="DF18" s="41"/>
      <c r="DG18" s="41"/>
      <c r="DH18" s="41"/>
      <c r="DI18" s="41"/>
      <c r="DJ18" s="41"/>
      <c r="DK18" s="41"/>
      <c r="DL18" s="41"/>
      <c r="DM18" s="41"/>
      <c r="DN18" s="41"/>
      <c r="DO18" s="41"/>
      <c r="DP18" s="41"/>
      <c r="DQ18" s="41"/>
      <c r="DR18" s="41"/>
      <c r="DS18" s="41"/>
      <c r="DT18" s="41"/>
      <c r="DU18" s="41"/>
      <c r="DV18" s="41"/>
      <c r="DW18" s="41"/>
      <c r="DX18" s="41"/>
      <c r="DY18" s="41"/>
      <c r="DZ18" s="41"/>
      <c r="EA18" s="41"/>
      <c r="EB18" s="41"/>
      <c r="EC18" s="41"/>
      <c r="ED18" s="41"/>
      <c r="EE18" s="41"/>
      <c r="EF18" s="41"/>
      <c r="EG18" s="41"/>
      <c r="EH18" s="41"/>
      <c r="EI18" s="41"/>
      <c r="EJ18" s="41"/>
      <c r="EK18" s="41"/>
      <c r="EL18" s="41"/>
      <c r="EM18" s="41"/>
      <c r="EN18" s="41"/>
      <c r="EO18" s="41"/>
      <c r="EP18" s="41"/>
      <c r="EQ18" s="41"/>
      <c r="ER18" s="41"/>
      <c r="ES18" s="41"/>
      <c r="ET18" s="41"/>
      <c r="EU18" s="41"/>
      <c r="EV18" s="41"/>
      <c r="EW18" s="41"/>
      <c r="EX18" s="41"/>
      <c r="EY18" s="41"/>
      <c r="EZ18" s="42"/>
      <c r="FA18" s="42"/>
      <c r="FB18" s="42"/>
      <c r="FC18" s="42"/>
    </row>
    <row r="19" spans="1:160" x14ac:dyDescent="0.2">
      <c r="A19" s="43" t="s">
        <v>205</v>
      </c>
      <c r="C19" s="41" t="s">
        <v>324</v>
      </c>
      <c r="D19" s="41" t="s">
        <v>324</v>
      </c>
      <c r="E19" s="41" t="s">
        <v>324</v>
      </c>
      <c r="F19" s="41" t="s">
        <v>324</v>
      </c>
      <c r="G19" s="41" t="s">
        <v>324</v>
      </c>
      <c r="H19" s="41" t="s">
        <v>324</v>
      </c>
      <c r="I19" s="41" t="s">
        <v>324</v>
      </c>
      <c r="J19" s="41" t="s">
        <v>324</v>
      </c>
      <c r="K19" s="41" t="s">
        <v>324</v>
      </c>
      <c r="L19" s="41" t="s">
        <v>324</v>
      </c>
      <c r="M19" s="41">
        <v>2.5</v>
      </c>
      <c r="N19" s="41">
        <v>4.9412965798876982</v>
      </c>
      <c r="O19" s="41"/>
      <c r="P19" s="41">
        <v>2.8949579831932772</v>
      </c>
      <c r="Q19" s="41">
        <v>11.18065572093499</v>
      </c>
      <c r="R19" s="41" t="s">
        <v>324</v>
      </c>
      <c r="S19" s="41" t="s">
        <v>324</v>
      </c>
      <c r="T19" s="41" t="s">
        <v>324</v>
      </c>
      <c r="U19" s="41" t="s">
        <v>324</v>
      </c>
      <c r="V19" s="41">
        <v>0.74721407624633429</v>
      </c>
      <c r="W19" s="41" t="s">
        <v>324</v>
      </c>
      <c r="X19" s="41" t="s">
        <v>324</v>
      </c>
      <c r="Y19" s="41" t="s">
        <v>324</v>
      </c>
      <c r="Z19" s="41" t="s">
        <v>324</v>
      </c>
      <c r="AA19" s="41" t="s">
        <v>324</v>
      </c>
      <c r="AB19" s="41" t="s">
        <v>324</v>
      </c>
      <c r="AC19" s="41" t="s">
        <v>324</v>
      </c>
      <c r="AD19" s="41" t="s">
        <v>324</v>
      </c>
      <c r="AE19" s="41" t="s">
        <v>324</v>
      </c>
      <c r="AF19" s="41" t="s">
        <v>324</v>
      </c>
      <c r="AG19" s="41">
        <v>1</v>
      </c>
      <c r="AH19" s="41" t="s">
        <v>324</v>
      </c>
      <c r="AI19" s="41" t="s">
        <v>324</v>
      </c>
      <c r="AJ19" s="41">
        <v>5.5555555555555552E-2</v>
      </c>
      <c r="AK19" s="41"/>
      <c r="AL19" s="41" t="s">
        <v>324</v>
      </c>
      <c r="AM19" s="41">
        <v>2.6666666666666665</v>
      </c>
      <c r="AN19" s="41" t="s">
        <v>324</v>
      </c>
      <c r="AO19" s="41" t="s">
        <v>324</v>
      </c>
      <c r="AP19" s="41">
        <v>1.4945188794153472</v>
      </c>
      <c r="AQ19" s="41" t="s">
        <v>324</v>
      </c>
      <c r="AR19" s="41" t="s">
        <v>324</v>
      </c>
      <c r="AS19" s="41" t="s">
        <v>324</v>
      </c>
      <c r="AT19" s="41" t="s">
        <v>324</v>
      </c>
      <c r="AU19" s="41" t="s">
        <v>324</v>
      </c>
      <c r="AV19" s="41" t="s">
        <v>324</v>
      </c>
      <c r="AW19" s="41"/>
      <c r="AX19" s="41" t="s">
        <v>324</v>
      </c>
      <c r="AY19" s="41" t="s">
        <v>324</v>
      </c>
      <c r="AZ19" s="41" t="s">
        <v>324</v>
      </c>
      <c r="BA19" s="41" t="s">
        <v>324</v>
      </c>
      <c r="BB19" s="41" t="s">
        <v>324</v>
      </c>
      <c r="BC19" s="41">
        <v>0.26148867313915858</v>
      </c>
      <c r="BD19" s="41" t="s">
        <v>324</v>
      </c>
      <c r="BE19" s="41" t="s">
        <v>324</v>
      </c>
      <c r="BF19" s="41" t="s">
        <v>324</v>
      </c>
      <c r="BG19" s="41" t="s">
        <v>324</v>
      </c>
      <c r="BH19" s="41" t="s">
        <v>324</v>
      </c>
      <c r="BI19" s="41">
        <v>22.111876447876448</v>
      </c>
      <c r="BJ19" s="41" t="s">
        <v>324</v>
      </c>
      <c r="BK19" s="41" t="s">
        <v>324</v>
      </c>
      <c r="BL19" s="41" t="s">
        <v>324</v>
      </c>
      <c r="BM19" s="41" t="s">
        <v>324</v>
      </c>
      <c r="BN19" s="41">
        <v>2.003063725490196</v>
      </c>
      <c r="BO19" s="41" t="s">
        <v>324</v>
      </c>
      <c r="BP19" s="41" t="s">
        <v>324</v>
      </c>
      <c r="BQ19" s="41" t="s">
        <v>324</v>
      </c>
      <c r="BR19" s="41" t="s">
        <v>324</v>
      </c>
      <c r="BS19" s="41" t="s">
        <v>324</v>
      </c>
      <c r="BT19" s="41">
        <v>0.87817846099085672</v>
      </c>
      <c r="BU19" s="41" t="s">
        <v>324</v>
      </c>
      <c r="BV19" s="41">
        <v>0.83402520944976977</v>
      </c>
      <c r="BW19" s="41" t="s">
        <v>324</v>
      </c>
      <c r="BX19" s="41" t="s">
        <v>324</v>
      </c>
      <c r="BY19" s="41" t="s">
        <v>324</v>
      </c>
      <c r="BZ19" s="41">
        <v>3.1823708206686931</v>
      </c>
      <c r="CA19" s="41" t="s">
        <v>324</v>
      </c>
      <c r="CB19" s="41">
        <v>5.1119030648610124</v>
      </c>
      <c r="CC19" s="41" t="s">
        <v>324</v>
      </c>
      <c r="CD19" s="41" t="s">
        <v>324</v>
      </c>
      <c r="CE19" s="41" t="s">
        <v>324</v>
      </c>
      <c r="CF19" s="41" t="s">
        <v>324</v>
      </c>
      <c r="CG19" s="41" t="s">
        <v>324</v>
      </c>
      <c r="CH19" s="41" t="s">
        <v>324</v>
      </c>
      <c r="CI19" s="41" t="s">
        <v>324</v>
      </c>
      <c r="CJ19" s="41" t="s">
        <v>324</v>
      </c>
      <c r="CK19" s="41" t="s">
        <v>324</v>
      </c>
      <c r="CL19" s="41" t="s">
        <v>324</v>
      </c>
      <c r="CM19" s="41" t="s">
        <v>324</v>
      </c>
      <c r="CN19" s="41" t="s">
        <v>324</v>
      </c>
      <c r="CO19" s="41"/>
      <c r="CP19" s="41"/>
      <c r="CQ19" s="41"/>
      <c r="CR19" s="41"/>
      <c r="CS19" s="41"/>
      <c r="CT19" s="41"/>
      <c r="CU19" s="41"/>
      <c r="CV19" s="41"/>
      <c r="CW19" s="41"/>
      <c r="CX19" s="41"/>
      <c r="CY19" s="41"/>
      <c r="CZ19" s="41"/>
      <c r="DA19" s="41"/>
      <c r="DB19" s="41"/>
      <c r="DC19" s="41"/>
      <c r="DD19" s="41"/>
      <c r="DE19" s="41"/>
      <c r="DF19" s="41"/>
      <c r="DG19" s="41"/>
      <c r="DH19" s="41"/>
      <c r="DI19" s="41"/>
      <c r="DJ19" s="41"/>
      <c r="DK19" s="41"/>
      <c r="DL19" s="41"/>
      <c r="DM19" s="41"/>
      <c r="DN19" s="41"/>
      <c r="DO19" s="41"/>
      <c r="DP19" s="41"/>
      <c r="DQ19" s="41"/>
      <c r="DR19" s="41"/>
      <c r="DS19" s="41"/>
      <c r="DT19" s="41"/>
      <c r="DU19" s="41"/>
      <c r="DV19" s="41"/>
      <c r="DW19" s="41"/>
      <c r="DX19" s="41"/>
      <c r="DY19" s="41"/>
      <c r="DZ19" s="41"/>
      <c r="EA19" s="41"/>
      <c r="EB19" s="41"/>
      <c r="EC19" s="41"/>
      <c r="ED19" s="41"/>
      <c r="EE19" s="41"/>
      <c r="EF19" s="41"/>
      <c r="EG19" s="41"/>
      <c r="EH19" s="41"/>
      <c r="EI19" s="41"/>
      <c r="EJ19" s="41"/>
      <c r="EK19" s="41"/>
      <c r="EL19" s="41"/>
      <c r="EM19" s="41"/>
      <c r="EN19" s="41"/>
      <c r="EO19" s="41"/>
      <c r="EP19" s="41"/>
      <c r="EQ19" s="41"/>
      <c r="ER19" s="41"/>
      <c r="ES19" s="41"/>
      <c r="ET19" s="41"/>
      <c r="EU19" s="41"/>
      <c r="EV19" s="41"/>
      <c r="EW19" s="41"/>
      <c r="EX19" s="41"/>
      <c r="EY19" s="41"/>
      <c r="EZ19" s="42"/>
      <c r="FA19" s="42"/>
      <c r="FB19" s="42"/>
      <c r="FC19" s="42"/>
    </row>
    <row r="20" spans="1:160" x14ac:dyDescent="0.2">
      <c r="A20" s="43" t="s">
        <v>206</v>
      </c>
      <c r="C20" s="41" t="s">
        <v>324</v>
      </c>
      <c r="D20" s="41" t="s">
        <v>324</v>
      </c>
      <c r="E20" s="41" t="s">
        <v>324</v>
      </c>
      <c r="F20" s="41" t="s">
        <v>324</v>
      </c>
      <c r="G20" s="41" t="s">
        <v>324</v>
      </c>
      <c r="H20" s="41" t="s">
        <v>324</v>
      </c>
      <c r="I20" s="41" t="s">
        <v>324</v>
      </c>
      <c r="J20" s="41" t="s">
        <v>324</v>
      </c>
      <c r="K20" s="41" t="s">
        <v>324</v>
      </c>
      <c r="L20" s="41" t="s">
        <v>324</v>
      </c>
      <c r="M20" s="41">
        <v>1.0465116279069768</v>
      </c>
      <c r="N20" s="41">
        <v>5</v>
      </c>
      <c r="O20" s="41"/>
      <c r="P20" s="41">
        <v>3</v>
      </c>
      <c r="Q20" s="41">
        <v>17.313959264778937</v>
      </c>
      <c r="R20" s="41">
        <v>17.092470277410833</v>
      </c>
      <c r="S20" s="41" t="s">
        <v>324</v>
      </c>
      <c r="T20" s="41" t="s">
        <v>324</v>
      </c>
      <c r="U20" s="41" t="s">
        <v>324</v>
      </c>
      <c r="V20" s="41" t="s">
        <v>324</v>
      </c>
      <c r="W20" s="41" t="s">
        <v>324</v>
      </c>
      <c r="X20" s="41" t="s">
        <v>324</v>
      </c>
      <c r="Y20" s="41" t="s">
        <v>324</v>
      </c>
      <c r="Z20" s="41" t="s">
        <v>324</v>
      </c>
      <c r="AA20" s="41" t="s">
        <v>324</v>
      </c>
      <c r="AB20" s="41" t="s">
        <v>324</v>
      </c>
      <c r="AC20" s="41" t="s">
        <v>324</v>
      </c>
      <c r="AD20" s="41" t="s">
        <v>324</v>
      </c>
      <c r="AE20" s="41" t="s">
        <v>324</v>
      </c>
      <c r="AF20" s="41" t="s">
        <v>324</v>
      </c>
      <c r="AG20" s="41">
        <v>1.0362355309511826</v>
      </c>
      <c r="AH20" s="41" t="s">
        <v>324</v>
      </c>
      <c r="AI20" s="41" t="s">
        <v>324</v>
      </c>
      <c r="AJ20" s="41">
        <v>2.7771787314595165E-2</v>
      </c>
      <c r="AK20" s="41"/>
      <c r="AL20" s="41" t="s">
        <v>324</v>
      </c>
      <c r="AM20" s="41">
        <v>2.6666666666666665</v>
      </c>
      <c r="AN20" s="41" t="s">
        <v>324</v>
      </c>
      <c r="AO20" s="41" t="s">
        <v>324</v>
      </c>
      <c r="AP20" s="41">
        <v>1.3398692810457515</v>
      </c>
      <c r="AQ20" s="41" t="s">
        <v>324</v>
      </c>
      <c r="AR20" s="41" t="s">
        <v>324</v>
      </c>
      <c r="AS20" s="41" t="s">
        <v>324</v>
      </c>
      <c r="AT20" s="41" t="s">
        <v>324</v>
      </c>
      <c r="AU20" s="41" t="s">
        <v>324</v>
      </c>
      <c r="AV20" s="41" t="s">
        <v>324</v>
      </c>
      <c r="AW20" s="41"/>
      <c r="AX20" s="41" t="s">
        <v>324</v>
      </c>
      <c r="AY20" s="41" t="s">
        <v>324</v>
      </c>
      <c r="AZ20" s="41" t="s">
        <v>324</v>
      </c>
      <c r="BA20" s="41" t="s">
        <v>324</v>
      </c>
      <c r="BB20" s="41" t="s">
        <v>324</v>
      </c>
      <c r="BC20" s="41">
        <v>0.34730195177956374</v>
      </c>
      <c r="BD20" s="41" t="s">
        <v>324</v>
      </c>
      <c r="BE20" s="41" t="s">
        <v>324</v>
      </c>
      <c r="BF20" s="41" t="s">
        <v>324</v>
      </c>
      <c r="BG20" s="41" t="s">
        <v>324</v>
      </c>
      <c r="BH20" s="41" t="s">
        <v>324</v>
      </c>
      <c r="BI20" s="41" t="s">
        <v>324</v>
      </c>
      <c r="BJ20" s="41">
        <v>22.726095238095237</v>
      </c>
      <c r="BK20" s="41" t="s">
        <v>324</v>
      </c>
      <c r="BL20" s="41" t="s">
        <v>324</v>
      </c>
      <c r="BM20" s="41" t="s">
        <v>324</v>
      </c>
      <c r="BN20" s="41">
        <v>2.0526870389884087</v>
      </c>
      <c r="BO20" s="41" t="s">
        <v>324</v>
      </c>
      <c r="BP20" s="41" t="s">
        <v>324</v>
      </c>
      <c r="BQ20" s="41" t="s">
        <v>324</v>
      </c>
      <c r="BR20" s="41" t="s">
        <v>324</v>
      </c>
      <c r="BS20" s="41" t="s">
        <v>324</v>
      </c>
      <c r="BT20" s="41">
        <v>0.88942832868066513</v>
      </c>
      <c r="BU20" s="41" t="s">
        <v>324</v>
      </c>
      <c r="BV20" s="41" t="s">
        <v>324</v>
      </c>
      <c r="BW20" s="41">
        <v>0.84430368126319655</v>
      </c>
      <c r="BX20" s="41" t="s">
        <v>324</v>
      </c>
      <c r="BY20" s="41" t="s">
        <v>324</v>
      </c>
      <c r="BZ20" s="41">
        <v>3</v>
      </c>
      <c r="CA20" s="41" t="s">
        <v>324</v>
      </c>
      <c r="CB20" s="41">
        <v>4.0204516403919897</v>
      </c>
      <c r="CC20" s="41" t="s">
        <v>324</v>
      </c>
      <c r="CD20" s="41" t="s">
        <v>324</v>
      </c>
      <c r="CE20" s="41" t="s">
        <v>324</v>
      </c>
      <c r="CF20" s="41" t="s">
        <v>324</v>
      </c>
      <c r="CG20" s="41" t="s">
        <v>324</v>
      </c>
      <c r="CH20" s="41" t="s">
        <v>324</v>
      </c>
      <c r="CI20" s="41" t="s">
        <v>324</v>
      </c>
      <c r="CJ20" s="41" t="s">
        <v>324</v>
      </c>
      <c r="CK20" s="41">
        <v>0.40549156725627311</v>
      </c>
      <c r="CL20" s="41" t="s">
        <v>324</v>
      </c>
      <c r="CM20" s="41" t="s">
        <v>324</v>
      </c>
      <c r="CN20" s="41" t="s">
        <v>324</v>
      </c>
      <c r="CO20" s="41"/>
      <c r="CP20" s="41"/>
      <c r="CQ20" s="41"/>
      <c r="CR20" s="41"/>
      <c r="CS20" s="41"/>
      <c r="CT20" s="41"/>
      <c r="CU20" s="41"/>
      <c r="CV20" s="41"/>
      <c r="CW20" s="41"/>
      <c r="CX20" s="41"/>
      <c r="CY20" s="41"/>
      <c r="CZ20" s="41"/>
      <c r="DA20" s="41"/>
      <c r="DB20" s="41"/>
      <c r="DC20" s="41"/>
      <c r="DD20" s="41"/>
      <c r="DE20" s="41"/>
      <c r="DF20" s="41"/>
      <c r="DG20" s="41"/>
      <c r="DH20" s="41"/>
      <c r="DI20" s="41"/>
      <c r="DJ20" s="41"/>
      <c r="DK20" s="41"/>
      <c r="DL20" s="41"/>
      <c r="DM20" s="41"/>
      <c r="DN20" s="41"/>
      <c r="DO20" s="41"/>
      <c r="DP20" s="41"/>
      <c r="DQ20" s="41"/>
      <c r="DR20" s="41"/>
      <c r="DS20" s="41"/>
      <c r="DT20" s="41"/>
      <c r="DU20" s="41"/>
      <c r="DV20" s="41"/>
      <c r="DW20" s="41"/>
      <c r="DX20" s="41"/>
      <c r="DY20" s="41"/>
      <c r="DZ20" s="41"/>
      <c r="EA20" s="41"/>
      <c r="EB20" s="41"/>
      <c r="EC20" s="41"/>
      <c r="ED20" s="41"/>
      <c r="EE20" s="41"/>
      <c r="EF20" s="41"/>
      <c r="EG20" s="41"/>
      <c r="EH20" s="41"/>
      <c r="EI20" s="41"/>
      <c r="EJ20" s="41"/>
      <c r="EK20" s="41"/>
      <c r="EL20" s="41"/>
      <c r="EM20" s="41"/>
      <c r="EN20" s="41"/>
      <c r="EO20" s="41"/>
      <c r="EP20" s="41"/>
      <c r="EQ20" s="41"/>
      <c r="ER20" s="41"/>
      <c r="ES20" s="41"/>
      <c r="ET20" s="41"/>
      <c r="EU20" s="41"/>
      <c r="EV20" s="41"/>
      <c r="EW20" s="41"/>
      <c r="EX20" s="41"/>
      <c r="EY20" s="41"/>
      <c r="EZ20" s="42"/>
      <c r="FA20" s="42"/>
      <c r="FB20" s="42"/>
      <c r="FC20" s="42"/>
    </row>
    <row r="21" spans="1:160" x14ac:dyDescent="0.2">
      <c r="A21" s="43" t="s">
        <v>323</v>
      </c>
      <c r="C21" s="41" t="s">
        <v>324</v>
      </c>
      <c r="D21" s="41" t="s">
        <v>324</v>
      </c>
      <c r="E21" s="41" t="s">
        <v>324</v>
      </c>
      <c r="F21" s="41" t="s">
        <v>324</v>
      </c>
      <c r="G21" s="41" t="s">
        <v>324</v>
      </c>
      <c r="H21" s="41" t="s">
        <v>324</v>
      </c>
      <c r="I21" s="41" t="s">
        <v>324</v>
      </c>
      <c r="J21" s="41" t="s">
        <v>324</v>
      </c>
      <c r="K21" s="41" t="s">
        <v>324</v>
      </c>
      <c r="L21" s="41" t="s">
        <v>324</v>
      </c>
      <c r="M21" s="41">
        <v>2</v>
      </c>
      <c r="N21" s="41">
        <v>3.2487804878048783</v>
      </c>
      <c r="O21" s="41"/>
      <c r="P21" s="41">
        <v>6</v>
      </c>
      <c r="Q21" s="41">
        <v>17.120884077582318</v>
      </c>
      <c r="R21" s="41">
        <v>12.380113636363637</v>
      </c>
      <c r="S21" s="41">
        <v>50</v>
      </c>
      <c r="T21" s="41" t="s">
        <v>324</v>
      </c>
      <c r="U21" s="41" t="s">
        <v>324</v>
      </c>
      <c r="V21" s="41">
        <v>0.75</v>
      </c>
      <c r="W21" s="41" t="s">
        <v>324</v>
      </c>
      <c r="X21" s="41" t="s">
        <v>324</v>
      </c>
      <c r="Y21" s="41" t="s">
        <v>324</v>
      </c>
      <c r="Z21" s="41" t="s">
        <v>324</v>
      </c>
      <c r="AA21" s="41" t="s">
        <v>324</v>
      </c>
      <c r="AB21" s="41" t="s">
        <v>324</v>
      </c>
      <c r="AC21" s="41" t="s">
        <v>324</v>
      </c>
      <c r="AD21" s="41" t="s">
        <v>324</v>
      </c>
      <c r="AE21" s="41" t="s">
        <v>324</v>
      </c>
      <c r="AF21" s="41" t="s">
        <v>324</v>
      </c>
      <c r="AG21" s="41">
        <v>1.0806697108066972</v>
      </c>
      <c r="AH21" s="41" t="s">
        <v>324</v>
      </c>
      <c r="AI21" s="41" t="s">
        <v>324</v>
      </c>
      <c r="AJ21" s="41">
        <v>3.005952380952381E-2</v>
      </c>
      <c r="AK21" s="41"/>
      <c r="AL21" s="41" t="s">
        <v>324</v>
      </c>
      <c r="AM21" s="41">
        <v>2.4989517819706499</v>
      </c>
      <c r="AN21" s="41" t="s">
        <v>324</v>
      </c>
      <c r="AO21" s="41" t="s">
        <v>324</v>
      </c>
      <c r="AP21" s="41">
        <v>1.0518394648829432</v>
      </c>
      <c r="AQ21" s="41" t="s">
        <v>324</v>
      </c>
      <c r="AR21" s="41" t="s">
        <v>324</v>
      </c>
      <c r="AS21" s="41" t="s">
        <v>324</v>
      </c>
      <c r="AT21" s="41" t="s">
        <v>324</v>
      </c>
      <c r="AU21" s="41" t="s">
        <v>324</v>
      </c>
      <c r="AV21" s="41" t="s">
        <v>324</v>
      </c>
      <c r="AW21" s="41"/>
      <c r="AX21" s="41" t="s">
        <v>324</v>
      </c>
      <c r="AY21" s="41" t="s">
        <v>324</v>
      </c>
      <c r="AZ21" s="41" t="s">
        <v>324</v>
      </c>
      <c r="BA21" s="41" t="s">
        <v>324</v>
      </c>
      <c r="BB21" s="41" t="s">
        <v>324</v>
      </c>
      <c r="BC21" s="41">
        <v>0.38232161874334397</v>
      </c>
      <c r="BD21" s="41" t="s">
        <v>324</v>
      </c>
      <c r="BE21" s="41" t="s">
        <v>324</v>
      </c>
      <c r="BF21" s="41">
        <v>166.83333333333334</v>
      </c>
      <c r="BG21" s="41"/>
      <c r="BH21" s="41" t="s">
        <v>324</v>
      </c>
      <c r="BI21" s="41" t="s">
        <v>324</v>
      </c>
      <c r="BJ21" s="41">
        <v>20.518417414965985</v>
      </c>
      <c r="BK21" s="41" t="s">
        <v>324</v>
      </c>
      <c r="BL21" s="41" t="s">
        <v>324</v>
      </c>
      <c r="BM21" s="41" t="s">
        <v>324</v>
      </c>
      <c r="BN21" s="41">
        <v>1.4766780432309443</v>
      </c>
      <c r="BO21" s="41" t="s">
        <v>324</v>
      </c>
      <c r="BP21" s="41" t="s">
        <v>324</v>
      </c>
      <c r="BQ21" s="41" t="s">
        <v>324</v>
      </c>
      <c r="BR21" s="41" t="s">
        <v>324</v>
      </c>
      <c r="BS21" s="41" t="s">
        <v>324</v>
      </c>
      <c r="BT21" s="41">
        <v>0.61304316127150771</v>
      </c>
      <c r="BU21" s="41" t="s">
        <v>324</v>
      </c>
      <c r="BV21" s="41" t="s">
        <v>324</v>
      </c>
      <c r="BW21" s="41">
        <v>0.61712299000434589</v>
      </c>
      <c r="BX21" s="41">
        <v>0.73225152129817439</v>
      </c>
      <c r="BY21" s="41" t="s">
        <v>324</v>
      </c>
      <c r="BZ21" s="41">
        <v>2.1631673665266948</v>
      </c>
      <c r="CA21" s="41" t="s">
        <v>324</v>
      </c>
      <c r="CB21" s="41">
        <v>5.2446247464503042</v>
      </c>
      <c r="CC21" s="41" t="s">
        <v>324</v>
      </c>
      <c r="CD21" s="41" t="s">
        <v>324</v>
      </c>
      <c r="CE21" s="41" t="s">
        <v>324</v>
      </c>
      <c r="CF21" s="41" t="s">
        <v>324</v>
      </c>
      <c r="CG21" s="41" t="s">
        <v>324</v>
      </c>
      <c r="CH21" s="41" t="s">
        <v>324</v>
      </c>
      <c r="CI21" s="41" t="s">
        <v>324</v>
      </c>
      <c r="CJ21" s="41" t="s">
        <v>324</v>
      </c>
      <c r="CK21" s="41">
        <v>0.25513664472371833</v>
      </c>
      <c r="CL21" s="41" t="s">
        <v>324</v>
      </c>
      <c r="CM21" s="41" t="s">
        <v>324</v>
      </c>
      <c r="CN21" s="41" t="s">
        <v>324</v>
      </c>
      <c r="CO21" s="41"/>
      <c r="CP21" s="41"/>
      <c r="CQ21" s="41"/>
      <c r="CR21" s="41"/>
      <c r="CS21" s="41"/>
      <c r="CT21" s="41"/>
      <c r="CU21" s="41"/>
      <c r="CV21" s="41"/>
      <c r="CW21" s="41"/>
      <c r="CX21" s="41"/>
      <c r="CY21" s="41"/>
      <c r="CZ21" s="41"/>
      <c r="DA21" s="41"/>
      <c r="DB21" s="41"/>
      <c r="DC21" s="41"/>
      <c r="DD21" s="41"/>
      <c r="DE21" s="41"/>
      <c r="DF21" s="41"/>
      <c r="DG21" s="41"/>
      <c r="DH21" s="41"/>
      <c r="DI21" s="41"/>
      <c r="DJ21" s="41"/>
      <c r="DK21" s="41"/>
      <c r="DL21" s="41"/>
      <c r="DM21" s="41"/>
      <c r="DN21" s="41"/>
      <c r="DO21" s="41"/>
      <c r="DP21" s="41"/>
      <c r="DQ21" s="41"/>
      <c r="DR21" s="41"/>
      <c r="DS21" s="41"/>
      <c r="DT21" s="41"/>
      <c r="DU21" s="41"/>
      <c r="DV21" s="41"/>
      <c r="DW21" s="41"/>
      <c r="DX21" s="41"/>
      <c r="DY21" s="41"/>
      <c r="DZ21" s="41"/>
      <c r="EA21" s="41"/>
      <c r="EB21" s="41"/>
      <c r="EC21" s="41"/>
      <c r="ED21" s="41"/>
      <c r="EE21" s="41"/>
      <c r="EF21" s="41"/>
      <c r="EG21" s="41"/>
      <c r="EH21" s="41"/>
      <c r="EI21" s="41"/>
      <c r="EJ21" s="41"/>
      <c r="EK21" s="41"/>
      <c r="EL21" s="41"/>
      <c r="EM21" s="41"/>
      <c r="EN21" s="41"/>
      <c r="EO21" s="41"/>
      <c r="EP21" s="41"/>
      <c r="EQ21" s="41"/>
      <c r="ER21" s="41"/>
      <c r="ES21" s="41"/>
      <c r="ET21" s="41"/>
      <c r="EU21" s="41"/>
      <c r="EV21" s="41"/>
      <c r="EW21" s="41"/>
      <c r="EX21" s="41"/>
      <c r="EY21" s="41"/>
      <c r="EZ21" s="42"/>
      <c r="FA21" s="42"/>
      <c r="FB21" s="42"/>
      <c r="FC21" s="42"/>
    </row>
    <row r="22" spans="1:160" x14ac:dyDescent="0.2">
      <c r="A22" s="43" t="s">
        <v>207</v>
      </c>
      <c r="C22" s="41" t="s">
        <v>324</v>
      </c>
      <c r="D22" s="41" t="s">
        <v>324</v>
      </c>
      <c r="E22" s="41" t="s">
        <v>324</v>
      </c>
      <c r="F22" s="41" t="s">
        <v>324</v>
      </c>
      <c r="G22" s="41" t="s">
        <v>324</v>
      </c>
      <c r="H22" s="41" t="s">
        <v>324</v>
      </c>
      <c r="I22" s="41">
        <v>3.2261904761904763</v>
      </c>
      <c r="J22" s="41">
        <v>1.2333333333333334</v>
      </c>
      <c r="K22" s="41" t="s">
        <v>324</v>
      </c>
      <c r="L22" s="41" t="s">
        <v>324</v>
      </c>
      <c r="M22" s="41" t="s">
        <v>324</v>
      </c>
      <c r="N22" s="41" t="s">
        <v>324</v>
      </c>
      <c r="O22" s="41"/>
      <c r="P22" s="41" t="s">
        <v>324</v>
      </c>
      <c r="Q22" s="41" t="s">
        <v>324</v>
      </c>
      <c r="R22" s="41" t="s">
        <v>324</v>
      </c>
      <c r="S22" s="41" t="s">
        <v>324</v>
      </c>
      <c r="T22" s="41">
        <v>1.9736842105263157E-2</v>
      </c>
      <c r="U22" s="41" t="s">
        <v>324</v>
      </c>
      <c r="V22" s="41" t="s">
        <v>324</v>
      </c>
      <c r="W22" s="41">
        <v>0.19438116932422173</v>
      </c>
      <c r="X22" s="41">
        <v>0.51250836120401333</v>
      </c>
      <c r="Y22" s="41" t="s">
        <v>324</v>
      </c>
      <c r="Z22" s="41" t="s">
        <v>324</v>
      </c>
      <c r="AA22" s="41" t="s">
        <v>324</v>
      </c>
      <c r="AB22" s="41" t="s">
        <v>324</v>
      </c>
      <c r="AC22" s="41" t="s">
        <v>324</v>
      </c>
      <c r="AD22" s="41" t="s">
        <v>324</v>
      </c>
      <c r="AE22" s="41" t="s">
        <v>324</v>
      </c>
      <c r="AF22" s="41" t="s">
        <v>324</v>
      </c>
      <c r="AG22" s="41" t="s">
        <v>324</v>
      </c>
      <c r="AH22" s="41">
        <v>0.45754016470905901</v>
      </c>
      <c r="AI22" s="41">
        <v>1.3187637969094923</v>
      </c>
      <c r="AJ22" s="41"/>
      <c r="AK22" s="41">
        <v>0.49781493444803343</v>
      </c>
      <c r="AL22" s="41" t="s">
        <v>324</v>
      </c>
      <c r="AM22" s="41">
        <v>2.2005649717514126</v>
      </c>
      <c r="AN22" s="41" t="s">
        <v>324</v>
      </c>
      <c r="AO22" s="41">
        <v>6.0024570024570023</v>
      </c>
      <c r="AP22" s="41">
        <v>8.8516746411483258E-2</v>
      </c>
      <c r="AQ22" s="41" t="s">
        <v>324</v>
      </c>
      <c r="AR22" s="41" t="s">
        <v>324</v>
      </c>
      <c r="AS22" s="41" t="s">
        <v>324</v>
      </c>
      <c r="AT22" s="41" t="s">
        <v>324</v>
      </c>
      <c r="AU22" s="41" t="s">
        <v>324</v>
      </c>
      <c r="AV22" s="41" t="s">
        <v>324</v>
      </c>
      <c r="AW22" s="41"/>
      <c r="AX22" s="41" t="s">
        <v>324</v>
      </c>
      <c r="AY22" s="41" t="s">
        <v>324</v>
      </c>
      <c r="AZ22" s="41" t="s">
        <v>324</v>
      </c>
      <c r="BA22" s="41" t="s">
        <v>324</v>
      </c>
      <c r="BB22" s="41" t="s">
        <v>324</v>
      </c>
      <c r="BC22" s="41">
        <v>0.55740922473012755</v>
      </c>
      <c r="BD22" s="41">
        <v>1.8383838383838385</v>
      </c>
      <c r="BE22" s="41" t="s">
        <v>324</v>
      </c>
      <c r="BF22" s="41" t="s">
        <v>324</v>
      </c>
      <c r="BG22" s="41" t="s">
        <v>324</v>
      </c>
      <c r="BH22" s="41" t="s">
        <v>324</v>
      </c>
      <c r="BI22" s="41" t="s">
        <v>324</v>
      </c>
      <c r="BJ22" s="41" t="s">
        <v>324</v>
      </c>
      <c r="BK22" s="41" t="s">
        <v>324</v>
      </c>
      <c r="BL22" s="41" t="s">
        <v>324</v>
      </c>
      <c r="BM22" s="41">
        <v>1.3747412008281574</v>
      </c>
      <c r="BN22" s="41">
        <v>2.6350762527233114</v>
      </c>
      <c r="BO22" s="41" t="s">
        <v>324</v>
      </c>
      <c r="BP22" s="41" t="s">
        <v>324</v>
      </c>
      <c r="BQ22" s="41" t="s">
        <v>324</v>
      </c>
      <c r="BR22" s="41" t="s">
        <v>324</v>
      </c>
      <c r="BS22" s="41">
        <v>0.77422049928148917</v>
      </c>
      <c r="BT22" s="41">
        <v>1.0749306891125709</v>
      </c>
      <c r="BU22" s="41" t="s">
        <v>324</v>
      </c>
      <c r="BV22" s="41" t="s">
        <v>324</v>
      </c>
      <c r="BW22" s="41" t="s">
        <v>324</v>
      </c>
      <c r="BX22" s="41" t="s">
        <v>324</v>
      </c>
      <c r="BY22" s="41" t="s">
        <v>324</v>
      </c>
      <c r="BZ22" s="41">
        <v>5.9935205183585314</v>
      </c>
      <c r="CA22" s="41" t="s">
        <v>324</v>
      </c>
      <c r="CB22" s="41" t="s">
        <v>324</v>
      </c>
      <c r="CC22" s="41" t="s">
        <v>324</v>
      </c>
      <c r="CD22" s="41" t="s">
        <v>324</v>
      </c>
      <c r="CE22" s="41" t="s">
        <v>324</v>
      </c>
      <c r="CF22" s="41">
        <v>6.3754299525890117</v>
      </c>
      <c r="CG22" s="41">
        <v>26.38421052631579</v>
      </c>
      <c r="CH22" s="41" t="s">
        <v>324</v>
      </c>
      <c r="CI22" s="41" t="s">
        <v>324</v>
      </c>
      <c r="CJ22" s="41" t="s">
        <v>324</v>
      </c>
      <c r="CK22" s="41" t="s">
        <v>324</v>
      </c>
      <c r="CL22" s="41">
        <v>0.32987796877050257</v>
      </c>
      <c r="CM22" s="41" t="s">
        <v>324</v>
      </c>
      <c r="CN22" s="41">
        <v>14</v>
      </c>
      <c r="CO22" s="41"/>
      <c r="CP22" s="41"/>
      <c r="CQ22" s="41"/>
      <c r="CR22" s="41"/>
      <c r="CS22" s="41"/>
      <c r="CT22" s="41"/>
      <c r="CU22" s="41"/>
      <c r="CV22" s="41"/>
      <c r="CW22" s="41"/>
      <c r="CX22" s="41"/>
      <c r="CY22" s="41"/>
      <c r="CZ22" s="41"/>
      <c r="DA22" s="41"/>
      <c r="DB22" s="41"/>
      <c r="DC22" s="41"/>
      <c r="DD22" s="41"/>
      <c r="DE22" s="41"/>
      <c r="DF22" s="41"/>
      <c r="DG22" s="41"/>
      <c r="DH22" s="41"/>
      <c r="DI22" s="41"/>
      <c r="DJ22" s="41"/>
      <c r="DK22" s="41"/>
      <c r="DL22" s="41"/>
      <c r="DM22" s="41"/>
      <c r="DN22" s="41"/>
      <c r="DO22" s="41"/>
      <c r="DP22" s="41"/>
      <c r="DQ22" s="41"/>
      <c r="DR22" s="41"/>
      <c r="DS22" s="41"/>
      <c r="DT22" s="41"/>
      <c r="DU22" s="41"/>
      <c r="DV22" s="41"/>
      <c r="DW22" s="41"/>
      <c r="DX22" s="41"/>
      <c r="DY22" s="41"/>
      <c r="DZ22" s="41"/>
      <c r="EA22" s="41"/>
      <c r="EB22" s="41"/>
      <c r="EC22" s="41"/>
      <c r="ED22" s="41"/>
      <c r="EE22" s="41"/>
      <c r="EF22" s="41"/>
      <c r="EG22" s="41"/>
      <c r="EH22" s="41"/>
      <c r="EI22" s="41"/>
      <c r="EJ22" s="41"/>
      <c r="EK22" s="41"/>
      <c r="EL22" s="41"/>
      <c r="EM22" s="41"/>
      <c r="EN22" s="41"/>
      <c r="EO22" s="41"/>
      <c r="EP22" s="41"/>
      <c r="EQ22" s="41"/>
      <c r="ER22" s="41"/>
      <c r="ES22" s="41"/>
      <c r="ET22" s="41"/>
      <c r="EU22" s="41"/>
      <c r="EV22" s="41"/>
      <c r="EW22" s="41"/>
      <c r="EX22" s="41"/>
      <c r="EY22" s="41"/>
      <c r="EZ22" s="42"/>
      <c r="FA22" s="42"/>
      <c r="FB22" s="42"/>
      <c r="FC22" s="42"/>
    </row>
    <row r="23" spans="1:160" x14ac:dyDescent="0.2">
      <c r="A23" s="43" t="s">
        <v>208</v>
      </c>
      <c r="C23" s="41" t="s">
        <v>324</v>
      </c>
      <c r="D23" s="41" t="s">
        <v>324</v>
      </c>
      <c r="E23" s="41" t="s">
        <v>324</v>
      </c>
      <c r="F23" s="41" t="s">
        <v>324</v>
      </c>
      <c r="G23" s="41" t="s">
        <v>324</v>
      </c>
      <c r="H23" s="41" t="s">
        <v>324</v>
      </c>
      <c r="I23" s="41">
        <v>6.5902777777777777</v>
      </c>
      <c r="J23" s="41">
        <v>2.2942708333333335</v>
      </c>
      <c r="K23" s="41" t="s">
        <v>324</v>
      </c>
      <c r="L23" s="41" t="s">
        <v>324</v>
      </c>
      <c r="M23" s="41">
        <v>0.96</v>
      </c>
      <c r="N23" s="41" t="s">
        <v>324</v>
      </c>
      <c r="O23" s="41" t="s">
        <v>324</v>
      </c>
      <c r="P23" s="41" t="s">
        <v>324</v>
      </c>
      <c r="Q23" s="41" t="s">
        <v>324</v>
      </c>
      <c r="R23" s="41" t="s">
        <v>324</v>
      </c>
      <c r="S23" s="41" t="s">
        <v>324</v>
      </c>
      <c r="T23" s="41">
        <v>4.601156069364162</v>
      </c>
      <c r="U23" s="41" t="s">
        <v>324</v>
      </c>
      <c r="V23" s="41" t="s">
        <v>324</v>
      </c>
      <c r="W23" s="41">
        <v>0.25876187356698327</v>
      </c>
      <c r="X23" s="41">
        <v>0.931396484375</v>
      </c>
      <c r="Y23" s="41" t="s">
        <v>324</v>
      </c>
      <c r="Z23" s="41" t="s">
        <v>324</v>
      </c>
      <c r="AA23" s="41" t="s">
        <v>324</v>
      </c>
      <c r="AB23" s="41" t="s">
        <v>324</v>
      </c>
      <c r="AC23" s="41" t="s">
        <v>324</v>
      </c>
      <c r="AD23" s="41" t="s">
        <v>324</v>
      </c>
      <c r="AE23" s="41" t="s">
        <v>324</v>
      </c>
      <c r="AF23" s="41" t="s">
        <v>324</v>
      </c>
      <c r="AG23" s="41" t="s">
        <v>324</v>
      </c>
      <c r="AH23" s="41">
        <v>0.73902266288951846</v>
      </c>
      <c r="AI23" s="41">
        <v>2.4488448844884489</v>
      </c>
      <c r="AJ23" s="41"/>
      <c r="AK23" s="41">
        <v>0.25488826815642457</v>
      </c>
      <c r="AL23" s="41" t="s">
        <v>324</v>
      </c>
      <c r="AM23" s="41">
        <v>2.1809432146294512</v>
      </c>
      <c r="AN23" s="41" t="s">
        <v>324</v>
      </c>
      <c r="AO23" s="41">
        <v>5.9543602281988592</v>
      </c>
      <c r="AP23" s="41">
        <v>1.9463655610444601</v>
      </c>
      <c r="AQ23" s="41" t="s">
        <v>324</v>
      </c>
      <c r="AR23" s="41" t="s">
        <v>324</v>
      </c>
      <c r="AS23" s="41" t="s">
        <v>324</v>
      </c>
      <c r="AT23" s="41" t="s">
        <v>324</v>
      </c>
      <c r="AU23" s="41" t="s">
        <v>324</v>
      </c>
      <c r="AV23" s="41" t="s">
        <v>324</v>
      </c>
      <c r="AW23" s="41"/>
      <c r="AX23" s="41" t="s">
        <v>324</v>
      </c>
      <c r="AY23" s="41" t="s">
        <v>324</v>
      </c>
      <c r="AZ23" s="41" t="s">
        <v>324</v>
      </c>
      <c r="BA23" s="41" t="s">
        <v>324</v>
      </c>
      <c r="BB23" s="41" t="s">
        <v>324</v>
      </c>
      <c r="BC23" s="41">
        <v>0.6773680864589956</v>
      </c>
      <c r="BD23" s="41">
        <v>1.6100917431192661</v>
      </c>
      <c r="BE23" s="41" t="s">
        <v>324</v>
      </c>
      <c r="BF23" s="41" t="s">
        <v>324</v>
      </c>
      <c r="BG23" s="41" t="s">
        <v>324</v>
      </c>
      <c r="BH23" s="41" t="s">
        <v>324</v>
      </c>
      <c r="BI23" s="41" t="s">
        <v>324</v>
      </c>
      <c r="BJ23" s="41" t="s">
        <v>324</v>
      </c>
      <c r="BK23" s="41" t="s">
        <v>324</v>
      </c>
      <c r="BL23" s="41" t="s">
        <v>324</v>
      </c>
      <c r="BM23" s="41">
        <v>1.3683035714285714</v>
      </c>
      <c r="BN23" s="41">
        <v>2.7870090634441089</v>
      </c>
      <c r="BO23" s="41" t="s">
        <v>324</v>
      </c>
      <c r="BP23" s="41" t="s">
        <v>324</v>
      </c>
      <c r="BQ23" s="41" t="s">
        <v>324</v>
      </c>
      <c r="BR23" s="41" t="s">
        <v>324</v>
      </c>
      <c r="BS23" s="41">
        <v>0.7406321008056187</v>
      </c>
      <c r="BT23" s="41">
        <v>1.0757639769046614</v>
      </c>
      <c r="BU23" s="41" t="s">
        <v>324</v>
      </c>
      <c r="BV23" s="41" t="s">
        <v>324</v>
      </c>
      <c r="BW23" s="41" t="s">
        <v>324</v>
      </c>
      <c r="BX23" s="41" t="s">
        <v>324</v>
      </c>
      <c r="BY23" s="41" t="s">
        <v>324</v>
      </c>
      <c r="BZ23" s="41">
        <v>6.2199546485260768</v>
      </c>
      <c r="CA23" s="41" t="s">
        <v>324</v>
      </c>
      <c r="CB23" s="41" t="s">
        <v>324</v>
      </c>
      <c r="CC23" s="41" t="s">
        <v>324</v>
      </c>
      <c r="CD23" s="41" t="s">
        <v>324</v>
      </c>
      <c r="CE23" s="41" t="s">
        <v>324</v>
      </c>
      <c r="CF23" s="41">
        <v>7.742558245312579</v>
      </c>
      <c r="CG23" s="41">
        <v>22.493333333333332</v>
      </c>
      <c r="CH23" s="41" t="s">
        <v>324</v>
      </c>
      <c r="CI23" s="41" t="s">
        <v>324</v>
      </c>
      <c r="CJ23" s="41" t="s">
        <v>324</v>
      </c>
      <c r="CK23" s="41" t="s">
        <v>324</v>
      </c>
      <c r="CL23" s="41">
        <v>0.36040955631399318</v>
      </c>
      <c r="CM23" s="41">
        <v>1.3309859154929577</v>
      </c>
      <c r="CN23" s="41">
        <v>13.8</v>
      </c>
      <c r="CO23" s="41"/>
      <c r="CP23" s="41"/>
      <c r="CQ23" s="41"/>
      <c r="CR23" s="41"/>
      <c r="CS23" s="41"/>
      <c r="CT23" s="41"/>
      <c r="CU23" s="41"/>
      <c r="CV23" s="41"/>
      <c r="CW23" s="41"/>
      <c r="CX23" s="41"/>
      <c r="CY23" s="41"/>
      <c r="CZ23" s="41"/>
      <c r="DA23" s="41"/>
      <c r="DB23" s="41"/>
      <c r="DC23" s="41"/>
      <c r="DD23" s="41"/>
      <c r="DE23" s="41"/>
      <c r="DF23" s="41"/>
      <c r="DG23" s="41"/>
      <c r="DH23" s="41"/>
      <c r="DI23" s="41"/>
      <c r="DJ23" s="41"/>
      <c r="DK23" s="41"/>
      <c r="DL23" s="41"/>
      <c r="DM23" s="41"/>
      <c r="DN23" s="41"/>
      <c r="DO23" s="41"/>
      <c r="DP23" s="41"/>
      <c r="DQ23" s="41"/>
      <c r="DR23" s="41"/>
      <c r="DS23" s="41"/>
      <c r="DT23" s="41"/>
      <c r="DU23" s="41"/>
      <c r="DV23" s="41"/>
      <c r="DW23" s="41"/>
      <c r="DX23" s="41"/>
      <c r="DY23" s="41"/>
      <c r="DZ23" s="41"/>
      <c r="EA23" s="41"/>
      <c r="EB23" s="41"/>
      <c r="EC23" s="41"/>
      <c r="ED23" s="41"/>
      <c r="EE23" s="41"/>
      <c r="EF23" s="41"/>
      <c r="EG23" s="41"/>
      <c r="EH23" s="41"/>
      <c r="EI23" s="41"/>
      <c r="EJ23" s="41"/>
      <c r="EK23" s="41"/>
      <c r="EL23" s="41"/>
      <c r="EM23" s="41"/>
      <c r="EN23" s="41"/>
      <c r="EO23" s="41"/>
      <c r="EP23" s="41"/>
      <c r="EQ23" s="41"/>
      <c r="ER23" s="41"/>
      <c r="ES23" s="41"/>
      <c r="ET23" s="41"/>
      <c r="EU23" s="41"/>
      <c r="EV23" s="41"/>
      <c r="EW23" s="41"/>
      <c r="EX23" s="41"/>
      <c r="EY23" s="41"/>
      <c r="EZ23" s="42"/>
      <c r="FA23" s="42"/>
      <c r="FB23" s="42"/>
      <c r="FC23" s="42"/>
    </row>
    <row r="24" spans="1:160" x14ac:dyDescent="0.2">
      <c r="A24" s="43" t="s">
        <v>209</v>
      </c>
      <c r="C24" s="41" t="s">
        <v>324</v>
      </c>
      <c r="D24" s="41" t="s">
        <v>324</v>
      </c>
      <c r="E24" s="41" t="s">
        <v>324</v>
      </c>
      <c r="F24" s="41" t="s">
        <v>324</v>
      </c>
      <c r="G24" s="41" t="s">
        <v>324</v>
      </c>
      <c r="H24" s="41" t="s">
        <v>324</v>
      </c>
      <c r="I24" s="41">
        <v>2.2608695652173911</v>
      </c>
      <c r="J24" s="41">
        <v>1.1751152073732718</v>
      </c>
      <c r="K24" s="41" t="s">
        <v>324</v>
      </c>
      <c r="L24" s="41">
        <v>12.988235294117647</v>
      </c>
      <c r="M24" s="41">
        <v>2.353723404255319</v>
      </c>
      <c r="N24" s="41" t="s">
        <v>324</v>
      </c>
      <c r="O24" s="41" t="s">
        <v>324</v>
      </c>
      <c r="P24" s="41" t="s">
        <v>324</v>
      </c>
      <c r="Q24" s="41" t="s">
        <v>324</v>
      </c>
      <c r="R24" s="41" t="s">
        <v>324</v>
      </c>
      <c r="S24" s="41" t="s">
        <v>324</v>
      </c>
      <c r="T24" s="41">
        <v>4.459741856177013</v>
      </c>
      <c r="U24" s="41" t="s">
        <v>324</v>
      </c>
      <c r="V24" s="41" t="s">
        <v>324</v>
      </c>
      <c r="W24" s="41">
        <v>0.16934589800443459</v>
      </c>
      <c r="X24" s="41">
        <v>0.51733859599661691</v>
      </c>
      <c r="Y24" s="41" t="s">
        <v>324</v>
      </c>
      <c r="Z24" s="41" t="s">
        <v>324</v>
      </c>
      <c r="AA24" s="41">
        <v>2.9892933618843682</v>
      </c>
      <c r="AB24" s="41" t="s">
        <v>324</v>
      </c>
      <c r="AC24" s="41">
        <v>1.626740947075209</v>
      </c>
      <c r="AD24" s="41" t="s">
        <v>324</v>
      </c>
      <c r="AE24" s="41" t="s">
        <v>324</v>
      </c>
      <c r="AF24" s="41" t="s">
        <v>324</v>
      </c>
      <c r="AG24" s="41" t="s">
        <v>324</v>
      </c>
      <c r="AH24" s="41">
        <v>0.57777291621089477</v>
      </c>
      <c r="AI24" s="41">
        <v>1.3022181146025877</v>
      </c>
      <c r="AJ24" s="41"/>
      <c r="AK24" s="41">
        <v>0.38714254529578696</v>
      </c>
      <c r="AL24" s="41">
        <v>10.480519480519481</v>
      </c>
      <c r="AM24" s="41">
        <v>2.0622317596566524</v>
      </c>
      <c r="AN24" s="41">
        <v>8.9279661016949152</v>
      </c>
      <c r="AO24" s="41">
        <v>5.552988047808765</v>
      </c>
      <c r="AP24" s="41">
        <v>1.2302197802197803</v>
      </c>
      <c r="AQ24" s="41">
        <v>1.1101992966002345</v>
      </c>
      <c r="AR24" s="41">
        <v>6.9202453987730062</v>
      </c>
      <c r="AS24" s="41">
        <v>0.39111011838284565</v>
      </c>
      <c r="AT24" s="41">
        <v>16.237804878048781</v>
      </c>
      <c r="AU24" s="41">
        <v>3.2023121387283235</v>
      </c>
      <c r="AV24" s="41" t="s">
        <v>324</v>
      </c>
      <c r="AW24" s="41"/>
      <c r="AX24" s="41" t="s">
        <v>324</v>
      </c>
      <c r="AY24" s="41" t="s">
        <v>324</v>
      </c>
      <c r="AZ24" s="41" t="s">
        <v>324</v>
      </c>
      <c r="BA24" s="41" t="s">
        <v>324</v>
      </c>
      <c r="BB24" s="41">
        <v>1.5134854771784232</v>
      </c>
      <c r="BC24" s="41">
        <v>0.50290090508238572</v>
      </c>
      <c r="BD24" s="41">
        <v>1.5754716981132075</v>
      </c>
      <c r="BE24" s="41" t="s">
        <v>324</v>
      </c>
      <c r="BF24" s="41" t="s">
        <v>324</v>
      </c>
      <c r="BG24" s="41" t="s">
        <v>324</v>
      </c>
      <c r="BH24" s="41" t="s">
        <v>324</v>
      </c>
      <c r="BI24" s="41" t="s">
        <v>324</v>
      </c>
      <c r="BJ24" s="41">
        <v>34.19047619047619</v>
      </c>
      <c r="BK24" s="41">
        <v>48.260869565217391</v>
      </c>
      <c r="BL24" s="41">
        <v>8.3636363636363633</v>
      </c>
      <c r="BM24" s="41">
        <v>1.4785553047404063</v>
      </c>
      <c r="BN24" s="41">
        <v>1.8612334801762114</v>
      </c>
      <c r="BO24" s="41" t="s">
        <v>324</v>
      </c>
      <c r="BP24" s="41" t="s">
        <v>324</v>
      </c>
      <c r="BQ24" s="41" t="s">
        <v>324</v>
      </c>
      <c r="BR24" s="41" t="s">
        <v>324</v>
      </c>
      <c r="BS24" s="41">
        <v>0.77053129705312973</v>
      </c>
      <c r="BT24" s="41">
        <v>1.0191822311963654</v>
      </c>
      <c r="BU24" s="41" t="s">
        <v>324</v>
      </c>
      <c r="BV24" s="41" t="s">
        <v>324</v>
      </c>
      <c r="BW24" s="41" t="s">
        <v>324</v>
      </c>
      <c r="BX24" s="41" t="s">
        <v>324</v>
      </c>
      <c r="BY24" s="41" t="s">
        <v>324</v>
      </c>
      <c r="BZ24" s="41">
        <v>7.8355799373040753</v>
      </c>
      <c r="CA24" s="41" t="s">
        <v>324</v>
      </c>
      <c r="CB24" s="41" t="s">
        <v>324</v>
      </c>
      <c r="CC24" s="41" t="s">
        <v>324</v>
      </c>
      <c r="CD24" s="41" t="s">
        <v>324</v>
      </c>
      <c r="CE24" s="41" t="s">
        <v>324</v>
      </c>
      <c r="CF24" s="41">
        <v>7.680051990696402</v>
      </c>
      <c r="CG24" s="41">
        <v>28.710280373831775</v>
      </c>
      <c r="CH24" s="41" t="s">
        <v>324</v>
      </c>
      <c r="CI24" s="41">
        <v>0.19888915150082723</v>
      </c>
      <c r="CJ24" s="41" t="s">
        <v>324</v>
      </c>
      <c r="CK24" s="41" t="s">
        <v>324</v>
      </c>
      <c r="CL24" s="41">
        <v>0.1046991968797836</v>
      </c>
      <c r="CM24" s="41">
        <v>1.6150793650793651</v>
      </c>
      <c r="CN24" s="41">
        <v>10.409090909090908</v>
      </c>
      <c r="CO24" s="41"/>
      <c r="CP24" s="41"/>
      <c r="CQ24" s="41"/>
      <c r="CR24" s="41"/>
      <c r="CS24" s="41"/>
      <c r="CT24" s="41"/>
      <c r="CU24" s="41"/>
      <c r="CV24" s="41"/>
      <c r="CW24" s="41"/>
      <c r="CX24" s="41"/>
      <c r="CY24" s="41"/>
      <c r="CZ24" s="41"/>
      <c r="DA24" s="41"/>
      <c r="DB24" s="41"/>
      <c r="DC24" s="41"/>
      <c r="DD24" s="41"/>
      <c r="DE24" s="41"/>
      <c r="DF24" s="41"/>
      <c r="DG24" s="41"/>
      <c r="DH24" s="41"/>
      <c r="DI24" s="41"/>
      <c r="DJ24" s="41"/>
      <c r="DK24" s="41"/>
      <c r="DL24" s="41"/>
      <c r="DM24" s="41"/>
      <c r="DN24" s="41"/>
      <c r="DO24" s="41"/>
      <c r="DP24" s="41"/>
      <c r="DQ24" s="41"/>
      <c r="DR24" s="41"/>
      <c r="DS24" s="41"/>
      <c r="DT24" s="41"/>
      <c r="DU24" s="41"/>
      <c r="DV24" s="41"/>
      <c r="DW24" s="41"/>
      <c r="DX24" s="41"/>
      <c r="DY24" s="41"/>
      <c r="DZ24" s="41"/>
      <c r="EA24" s="41"/>
      <c r="EB24" s="41"/>
      <c r="EC24" s="41"/>
      <c r="ED24" s="41"/>
      <c r="EE24" s="41"/>
      <c r="EF24" s="41"/>
      <c r="EG24" s="41"/>
      <c r="EH24" s="41"/>
      <c r="EI24" s="41"/>
      <c r="EJ24" s="41"/>
      <c r="EK24" s="41"/>
      <c r="EL24" s="41"/>
      <c r="EM24" s="41"/>
      <c r="EN24" s="41"/>
      <c r="EO24" s="41"/>
      <c r="EP24" s="41"/>
      <c r="EQ24" s="41"/>
      <c r="ER24" s="41"/>
      <c r="ES24" s="41"/>
      <c r="ET24" s="41"/>
      <c r="EU24" s="41"/>
      <c r="EV24" s="41"/>
      <c r="EW24" s="41"/>
      <c r="EX24" s="41"/>
      <c r="EY24" s="41"/>
      <c r="EZ24" s="42"/>
      <c r="FA24" s="42"/>
      <c r="FB24" s="42"/>
      <c r="FC24" s="42"/>
    </row>
    <row r="25" spans="1:160" x14ac:dyDescent="0.2">
      <c r="A25" s="43" t="s">
        <v>210</v>
      </c>
      <c r="C25" s="41" t="s">
        <v>324</v>
      </c>
      <c r="D25" s="41" t="s">
        <v>324</v>
      </c>
      <c r="E25" s="41" t="s">
        <v>324</v>
      </c>
      <c r="F25" s="41" t="s">
        <v>324</v>
      </c>
      <c r="G25" s="41" t="s">
        <v>324</v>
      </c>
      <c r="H25" s="41" t="s">
        <v>324</v>
      </c>
      <c r="I25" s="41" t="s">
        <v>324</v>
      </c>
      <c r="J25" s="41">
        <v>1.2876712328767124</v>
      </c>
      <c r="K25" s="41" t="s">
        <v>324</v>
      </c>
      <c r="L25" s="41">
        <v>23.433333333333334</v>
      </c>
      <c r="M25" s="41">
        <v>2.3351999999999999</v>
      </c>
      <c r="N25" s="41" t="s">
        <v>324</v>
      </c>
      <c r="O25" s="41" t="s">
        <v>324</v>
      </c>
      <c r="P25" s="41" t="s">
        <v>324</v>
      </c>
      <c r="Q25" s="41" t="s">
        <v>324</v>
      </c>
      <c r="R25" s="41" t="s">
        <v>324</v>
      </c>
      <c r="S25" s="41" t="s">
        <v>324</v>
      </c>
      <c r="T25" s="41">
        <v>4.8378573144367039</v>
      </c>
      <c r="U25" s="41" t="s">
        <v>324</v>
      </c>
      <c r="V25" s="41" t="s">
        <v>324</v>
      </c>
      <c r="W25" s="41">
        <v>0.68735083532219565</v>
      </c>
      <c r="X25" s="41">
        <v>0.90708351552251854</v>
      </c>
      <c r="Y25" s="41" t="s">
        <v>324</v>
      </c>
      <c r="Z25" s="41" t="s">
        <v>324</v>
      </c>
      <c r="AA25" s="41">
        <v>4.3474470734744708</v>
      </c>
      <c r="AB25" s="41" t="s">
        <v>324</v>
      </c>
      <c r="AC25" s="41">
        <v>1.6609195402298851</v>
      </c>
      <c r="AD25" s="41" t="s">
        <v>324</v>
      </c>
      <c r="AE25" s="41" t="s">
        <v>324</v>
      </c>
      <c r="AF25" s="41" t="s">
        <v>324</v>
      </c>
      <c r="AG25" s="41" t="s">
        <v>324</v>
      </c>
      <c r="AH25" s="41">
        <v>0.71132764920828262</v>
      </c>
      <c r="AI25" s="41">
        <v>3.8658146964856228</v>
      </c>
      <c r="AJ25" s="41"/>
      <c r="AK25" s="41">
        <v>0.64814814814814814</v>
      </c>
      <c r="AL25" s="41">
        <v>7.383495145631068</v>
      </c>
      <c r="AM25" s="41">
        <v>2.2721005677210058</v>
      </c>
      <c r="AN25" s="41">
        <v>5.4753694581280792</v>
      </c>
      <c r="AO25" s="41">
        <v>5.0579710144927539</v>
      </c>
      <c r="AP25" s="41">
        <v>2.4420024420024422</v>
      </c>
      <c r="AQ25" s="41">
        <v>2.7592077112424946</v>
      </c>
      <c r="AR25" s="41">
        <v>3.6370370370370368</v>
      </c>
      <c r="AS25" s="41" t="s">
        <v>324</v>
      </c>
      <c r="AT25" s="41">
        <v>26.645974781765275</v>
      </c>
      <c r="AU25" s="41">
        <v>3.1726618705035969</v>
      </c>
      <c r="AV25" s="41" t="s">
        <v>324</v>
      </c>
      <c r="AW25" s="41"/>
      <c r="AX25" s="41" t="s">
        <v>324</v>
      </c>
      <c r="AY25" s="41" t="s">
        <v>324</v>
      </c>
      <c r="AZ25" s="41" t="s">
        <v>324</v>
      </c>
      <c r="BA25" s="41" t="s">
        <v>324</v>
      </c>
      <c r="BB25" s="41">
        <v>0.37720033528918695</v>
      </c>
      <c r="BC25" s="41">
        <v>0.59357354127453621</v>
      </c>
      <c r="BD25" s="41">
        <v>1.3142857142857143</v>
      </c>
      <c r="BE25" s="41" t="s">
        <v>324</v>
      </c>
      <c r="BF25" s="41" t="s">
        <v>324</v>
      </c>
      <c r="BG25" s="41" t="s">
        <v>324</v>
      </c>
      <c r="BH25" s="41" t="s">
        <v>324</v>
      </c>
      <c r="BI25" s="41" t="s">
        <v>324</v>
      </c>
      <c r="BJ25" s="41">
        <v>52.897435897435898</v>
      </c>
      <c r="BK25" s="41">
        <v>34.375</v>
      </c>
      <c r="BL25" s="41">
        <v>2.1</v>
      </c>
      <c r="BM25" s="41">
        <v>1.5729537366548043</v>
      </c>
      <c r="BN25" s="41">
        <v>2.2970922882427307</v>
      </c>
      <c r="BO25" s="41" t="s">
        <v>324</v>
      </c>
      <c r="BP25" s="41" t="s">
        <v>324</v>
      </c>
      <c r="BQ25" s="41" t="s">
        <v>324</v>
      </c>
      <c r="BR25" s="41" t="s">
        <v>324</v>
      </c>
      <c r="BS25" s="41">
        <v>0.85853035638277286</v>
      </c>
      <c r="BT25" s="41">
        <v>0.9669100828518663</v>
      </c>
      <c r="BU25" s="41" t="s">
        <v>324</v>
      </c>
      <c r="BV25" s="41" t="s">
        <v>324</v>
      </c>
      <c r="BW25" s="41" t="s">
        <v>324</v>
      </c>
      <c r="BX25" s="41" t="s">
        <v>324</v>
      </c>
      <c r="BY25" s="41" t="s">
        <v>324</v>
      </c>
      <c r="BZ25" s="41">
        <v>6.153998025666338</v>
      </c>
      <c r="CA25" s="41" t="s">
        <v>324</v>
      </c>
      <c r="CB25" s="41" t="s">
        <v>324</v>
      </c>
      <c r="CC25" s="41" t="s">
        <v>324</v>
      </c>
      <c r="CD25" s="41" t="s">
        <v>324</v>
      </c>
      <c r="CE25" s="41" t="s">
        <v>324</v>
      </c>
      <c r="CF25" s="41">
        <v>6.9997968993297679</v>
      </c>
      <c r="CG25" s="41">
        <v>22.156398104265403</v>
      </c>
      <c r="CH25" s="41" t="s">
        <v>324</v>
      </c>
      <c r="CI25" s="41">
        <v>0.37207748830995324</v>
      </c>
      <c r="CJ25" s="41" t="s">
        <v>324</v>
      </c>
      <c r="CK25" s="41" t="s">
        <v>324</v>
      </c>
      <c r="CL25" s="41">
        <v>0.20320987654320988</v>
      </c>
      <c r="CM25" s="41">
        <v>1.3409090909090908</v>
      </c>
      <c r="CN25" s="41">
        <v>16.415929203539822</v>
      </c>
      <c r="CO25" s="41"/>
      <c r="CP25" s="41"/>
      <c r="CQ25" s="41"/>
      <c r="CR25" s="41"/>
      <c r="CS25" s="41"/>
      <c r="CT25" s="41"/>
      <c r="CU25" s="41"/>
      <c r="CV25" s="41"/>
      <c r="CW25" s="41"/>
      <c r="CX25" s="41"/>
      <c r="CY25" s="41"/>
      <c r="CZ25" s="41"/>
      <c r="DA25" s="41"/>
      <c r="DB25" s="41"/>
      <c r="DC25" s="41"/>
      <c r="DD25" s="41"/>
      <c r="DE25" s="41"/>
      <c r="DF25" s="41"/>
      <c r="DG25" s="41"/>
      <c r="DH25" s="41"/>
      <c r="DI25" s="41"/>
      <c r="DJ25" s="41"/>
      <c r="DK25" s="41"/>
      <c r="DL25" s="41"/>
      <c r="DM25" s="41"/>
      <c r="DN25" s="41"/>
      <c r="DO25" s="41"/>
      <c r="DP25" s="41"/>
      <c r="DQ25" s="41"/>
      <c r="DR25" s="41"/>
      <c r="DS25" s="41"/>
      <c r="DT25" s="41"/>
      <c r="DU25" s="41"/>
      <c r="DV25" s="41"/>
      <c r="DW25" s="41"/>
      <c r="DX25" s="41"/>
      <c r="DY25" s="41"/>
      <c r="DZ25" s="41"/>
      <c r="EA25" s="41"/>
      <c r="EB25" s="41"/>
      <c r="EC25" s="41"/>
      <c r="ED25" s="41"/>
      <c r="EE25" s="41"/>
      <c r="EF25" s="41"/>
      <c r="EG25" s="41"/>
      <c r="EH25" s="41"/>
      <c r="EI25" s="41"/>
      <c r="EJ25" s="41"/>
      <c r="EK25" s="41"/>
      <c r="EL25" s="41"/>
      <c r="EM25" s="41"/>
      <c r="EN25" s="41"/>
      <c r="EO25" s="41"/>
      <c r="EP25" s="41"/>
      <c r="EQ25" s="41"/>
      <c r="ER25" s="41"/>
      <c r="ES25" s="41"/>
      <c r="ET25" s="41"/>
      <c r="EU25" s="41"/>
      <c r="EV25" s="41"/>
      <c r="EW25" s="41"/>
      <c r="EX25" s="41"/>
      <c r="EY25" s="41"/>
      <c r="EZ25" s="41"/>
      <c r="FA25" s="42"/>
      <c r="FB25" s="42"/>
      <c r="FC25" s="42"/>
      <c r="FD25" s="42"/>
    </row>
    <row r="26" spans="1:160" x14ac:dyDescent="0.2">
      <c r="A26" s="43" t="s">
        <v>211</v>
      </c>
      <c r="C26" s="41" t="s">
        <v>324</v>
      </c>
      <c r="D26" s="41" t="s">
        <v>324</v>
      </c>
      <c r="E26" s="41" t="s">
        <v>324</v>
      </c>
      <c r="F26" s="41" t="s">
        <v>324</v>
      </c>
      <c r="G26" s="41" t="s">
        <v>324</v>
      </c>
      <c r="H26" s="41" t="s">
        <v>324</v>
      </c>
      <c r="I26" s="41">
        <v>33.267605633802816</v>
      </c>
      <c r="J26" s="41">
        <v>0.83</v>
      </c>
      <c r="K26" s="41" t="s">
        <v>324</v>
      </c>
      <c r="L26" s="41">
        <v>14</v>
      </c>
      <c r="M26" s="41" t="s">
        <v>324</v>
      </c>
      <c r="N26" s="41" t="s">
        <v>324</v>
      </c>
      <c r="O26" s="41" t="s">
        <v>324</v>
      </c>
      <c r="P26" s="41" t="s">
        <v>324</v>
      </c>
      <c r="Q26" s="41" t="s">
        <v>324</v>
      </c>
      <c r="R26" s="41" t="s">
        <v>324</v>
      </c>
      <c r="S26" s="41" t="s">
        <v>324</v>
      </c>
      <c r="T26" s="41">
        <v>4.9309701492537314</v>
      </c>
      <c r="U26" s="41" t="s">
        <v>324</v>
      </c>
      <c r="V26" s="41" t="s">
        <v>324</v>
      </c>
      <c r="W26" s="41">
        <v>0.16022727272727272</v>
      </c>
      <c r="X26" s="41">
        <v>0.68252895752895748</v>
      </c>
      <c r="Y26" s="41" t="s">
        <v>324</v>
      </c>
      <c r="Z26" s="41">
        <v>2.6409090909090911</v>
      </c>
      <c r="AA26" s="41">
        <v>6.5547619047619046</v>
      </c>
      <c r="AB26" s="41" t="s">
        <v>324</v>
      </c>
      <c r="AC26" s="41">
        <v>1.390625</v>
      </c>
      <c r="AD26" s="41" t="s">
        <v>324</v>
      </c>
      <c r="AE26" s="41" t="s">
        <v>324</v>
      </c>
      <c r="AF26" s="41" t="s">
        <v>324</v>
      </c>
      <c r="AG26" s="41" t="s">
        <v>324</v>
      </c>
      <c r="AH26" s="41">
        <v>0.47890295358649787</v>
      </c>
      <c r="AI26" s="41">
        <v>1.2904347826086957</v>
      </c>
      <c r="AJ26" s="41"/>
      <c r="AK26" s="41">
        <v>0.43111753371868977</v>
      </c>
      <c r="AL26" s="41">
        <v>7.2666666666666666</v>
      </c>
      <c r="AM26" s="41">
        <v>1.1270676691729324</v>
      </c>
      <c r="AN26" s="41">
        <v>10.17</v>
      </c>
      <c r="AO26" s="41">
        <v>4.6969543147208119</v>
      </c>
      <c r="AP26" s="41">
        <v>0.12436470588235295</v>
      </c>
      <c r="AQ26" s="41">
        <v>0.7045929430317367</v>
      </c>
      <c r="AR26" s="41" t="s">
        <v>324</v>
      </c>
      <c r="AS26" s="41" t="s">
        <v>324</v>
      </c>
      <c r="AT26" s="41">
        <v>10.640625</v>
      </c>
      <c r="AU26" s="41">
        <v>3.0958333333333332</v>
      </c>
      <c r="AV26" s="41" t="s">
        <v>324</v>
      </c>
      <c r="AW26" s="41"/>
      <c r="AX26" s="41" t="s">
        <v>324</v>
      </c>
      <c r="AY26" s="41" t="s">
        <v>324</v>
      </c>
      <c r="AZ26" s="41" t="s">
        <v>324</v>
      </c>
      <c r="BA26" s="41" t="s">
        <v>324</v>
      </c>
      <c r="BB26" s="41">
        <v>7.3738370453904703E-2</v>
      </c>
      <c r="BC26" s="41">
        <v>0.5479481641468682</v>
      </c>
      <c r="BD26" s="41">
        <v>1.175</v>
      </c>
      <c r="BE26" s="41" t="s">
        <v>324</v>
      </c>
      <c r="BF26" s="41" t="s">
        <v>324</v>
      </c>
      <c r="BG26" s="41" t="s">
        <v>324</v>
      </c>
      <c r="BH26" s="41" t="s">
        <v>324</v>
      </c>
      <c r="BI26" s="41" t="s">
        <v>324</v>
      </c>
      <c r="BJ26" s="41">
        <v>64.825000000000003</v>
      </c>
      <c r="BK26" s="41">
        <v>41.6</v>
      </c>
      <c r="BL26" s="41">
        <v>25</v>
      </c>
      <c r="BM26" s="41">
        <v>1.0203389830508474</v>
      </c>
      <c r="BN26" s="41">
        <v>3.0474137931034484</v>
      </c>
      <c r="BO26" s="41" t="s">
        <v>324</v>
      </c>
      <c r="BP26" s="41" t="s">
        <v>324</v>
      </c>
      <c r="BQ26" s="41" t="s">
        <v>324</v>
      </c>
      <c r="BR26" s="41" t="s">
        <v>324</v>
      </c>
      <c r="BS26" s="41">
        <v>0.85342419080068144</v>
      </c>
      <c r="BT26" s="41">
        <v>1.1457600986740673</v>
      </c>
      <c r="BU26" s="41" t="s">
        <v>324</v>
      </c>
      <c r="BV26" s="41" t="s">
        <v>324</v>
      </c>
      <c r="BW26" s="41" t="s">
        <v>324</v>
      </c>
      <c r="BX26" s="41" t="s">
        <v>324</v>
      </c>
      <c r="BY26" s="41" t="s">
        <v>324</v>
      </c>
      <c r="BZ26" s="41">
        <v>5.3552816901408447</v>
      </c>
      <c r="CA26" s="41" t="s">
        <v>324</v>
      </c>
      <c r="CB26" s="41" t="s">
        <v>324</v>
      </c>
      <c r="CC26" s="41" t="s">
        <v>324</v>
      </c>
      <c r="CD26" s="41" t="s">
        <v>324</v>
      </c>
      <c r="CE26" s="41" t="s">
        <v>324</v>
      </c>
      <c r="CF26" s="41">
        <v>6.7009370314842576</v>
      </c>
      <c r="CG26" s="41">
        <v>19.486111111111111</v>
      </c>
      <c r="CH26" s="41">
        <v>15.145833333333334</v>
      </c>
      <c r="CI26" s="41">
        <v>0.35677200902934536</v>
      </c>
      <c r="CJ26" s="41" t="s">
        <v>324</v>
      </c>
      <c r="CK26" s="41" t="s">
        <v>324</v>
      </c>
      <c r="CL26" s="41">
        <v>0.32172413793103449</v>
      </c>
      <c r="CM26" s="41">
        <v>1.5375000000000001</v>
      </c>
      <c r="CN26" s="41" t="s">
        <v>324</v>
      </c>
      <c r="CO26" s="41"/>
      <c r="CP26" s="41"/>
      <c r="CQ26" s="41"/>
      <c r="CR26" s="41"/>
      <c r="CS26" s="41"/>
      <c r="CT26" s="41"/>
      <c r="CU26" s="41"/>
      <c r="CV26" s="41"/>
      <c r="CW26" s="41"/>
      <c r="CX26" s="41"/>
      <c r="CY26" s="41"/>
      <c r="CZ26" s="41"/>
      <c r="DA26" s="41"/>
      <c r="DB26" s="41"/>
      <c r="DC26" s="41"/>
      <c r="DD26" s="41"/>
      <c r="DE26" s="41"/>
      <c r="DF26" s="41"/>
      <c r="DG26" s="41"/>
      <c r="DH26" s="41"/>
      <c r="DI26" s="41"/>
      <c r="DJ26" s="41"/>
      <c r="DK26" s="41"/>
      <c r="DL26" s="41"/>
      <c r="DM26" s="41"/>
      <c r="DN26" s="41"/>
      <c r="DO26" s="41"/>
      <c r="DP26" s="41"/>
      <c r="DQ26" s="41"/>
      <c r="DR26" s="41"/>
      <c r="DS26" s="41"/>
      <c r="DT26" s="41"/>
      <c r="DU26" s="41"/>
      <c r="DV26" s="41"/>
      <c r="DW26" s="41"/>
      <c r="DX26" s="41"/>
      <c r="DY26" s="41"/>
      <c r="DZ26" s="41"/>
      <c r="EA26" s="41"/>
      <c r="EB26" s="41"/>
      <c r="EC26" s="41"/>
      <c r="ED26" s="41"/>
      <c r="EE26" s="41"/>
      <c r="EF26" s="41"/>
      <c r="EG26" s="41"/>
      <c r="EH26" s="41"/>
      <c r="EI26" s="41"/>
      <c r="EJ26" s="41"/>
      <c r="EK26" s="41"/>
      <c r="EL26" s="41"/>
      <c r="EM26" s="41"/>
      <c r="EN26" s="41"/>
      <c r="EO26" s="41"/>
      <c r="EP26" s="41"/>
      <c r="EQ26" s="41"/>
      <c r="ER26" s="41"/>
      <c r="ES26" s="41"/>
      <c r="ET26" s="41"/>
      <c r="EU26" s="41"/>
      <c r="EV26" s="41"/>
      <c r="EW26" s="41"/>
      <c r="EX26" s="41"/>
      <c r="EY26" s="41"/>
      <c r="EZ26" s="41"/>
      <c r="FA26" s="42"/>
      <c r="FB26" s="42"/>
      <c r="FC26" s="42"/>
      <c r="FD26" s="42"/>
    </row>
    <row r="27" spans="1:160" x14ac:dyDescent="0.2">
      <c r="A27" s="43" t="s">
        <v>212</v>
      </c>
      <c r="C27" s="41" t="s">
        <v>324</v>
      </c>
      <c r="D27" s="41" t="s">
        <v>324</v>
      </c>
      <c r="E27" s="41" t="s">
        <v>324</v>
      </c>
      <c r="F27" s="41" t="s">
        <v>324</v>
      </c>
      <c r="G27" s="41" t="s">
        <v>324</v>
      </c>
      <c r="H27" s="41" t="s">
        <v>324</v>
      </c>
      <c r="I27" s="41" t="s">
        <v>324</v>
      </c>
      <c r="J27" s="41">
        <v>0.95220588235294112</v>
      </c>
      <c r="K27" s="41" t="s">
        <v>324</v>
      </c>
      <c r="L27" s="41">
        <v>13.114285714285714</v>
      </c>
      <c r="M27" s="41">
        <v>39.196172248803826</v>
      </c>
      <c r="N27" s="41" t="s">
        <v>324</v>
      </c>
      <c r="O27" s="41" t="s">
        <v>324</v>
      </c>
      <c r="P27" s="41" t="s">
        <v>324</v>
      </c>
      <c r="Q27" s="41" t="s">
        <v>324</v>
      </c>
      <c r="R27" s="41" t="s">
        <v>324</v>
      </c>
      <c r="S27" s="41" t="s">
        <v>324</v>
      </c>
      <c r="T27" s="41" t="s">
        <v>324</v>
      </c>
      <c r="U27" s="41" t="s">
        <v>324</v>
      </c>
      <c r="V27" s="41" t="s">
        <v>324</v>
      </c>
      <c r="W27" s="41" t="s">
        <v>324</v>
      </c>
      <c r="X27" s="41">
        <v>0.51843373493975908</v>
      </c>
      <c r="Y27" s="41" t="s">
        <v>324</v>
      </c>
      <c r="Z27" s="41">
        <v>0.21020036429872496</v>
      </c>
      <c r="AA27" s="41">
        <v>3.0768115942028986</v>
      </c>
      <c r="AB27" s="41" t="s">
        <v>324</v>
      </c>
      <c r="AC27" s="41">
        <v>1.7633333333333334</v>
      </c>
      <c r="AD27" s="41" t="s">
        <v>324</v>
      </c>
      <c r="AE27" s="41" t="s">
        <v>324</v>
      </c>
      <c r="AF27" s="41" t="s">
        <v>324</v>
      </c>
      <c r="AG27" s="41" t="s">
        <v>324</v>
      </c>
      <c r="AH27" s="41">
        <v>1.0507331378299121</v>
      </c>
      <c r="AI27" s="41">
        <v>1.8990131578947369</v>
      </c>
      <c r="AJ27" s="41"/>
      <c r="AK27" s="41">
        <v>0.47253649635036499</v>
      </c>
      <c r="AL27" s="41">
        <v>9.2653846153846153</v>
      </c>
      <c r="AM27" s="41">
        <v>1.8555970149253731</v>
      </c>
      <c r="AN27" s="41">
        <v>10.004285714285714</v>
      </c>
      <c r="AO27" s="41">
        <v>3.6733067729083664</v>
      </c>
      <c r="AP27" s="41">
        <v>1.3256135499481507E-2</v>
      </c>
      <c r="AQ27" s="41">
        <v>1.0946530920060331</v>
      </c>
      <c r="AR27" s="41" t="s">
        <v>324</v>
      </c>
      <c r="AS27" s="41" t="s">
        <v>324</v>
      </c>
      <c r="AT27" s="41">
        <v>0.53045738045738045</v>
      </c>
      <c r="AU27" s="41">
        <v>2.1702127659574466</v>
      </c>
      <c r="AV27" s="41" t="s">
        <v>324</v>
      </c>
      <c r="AW27" s="41"/>
      <c r="AX27" s="41" t="s">
        <v>324</v>
      </c>
      <c r="AY27" s="41" t="s">
        <v>324</v>
      </c>
      <c r="AZ27" s="41" t="s">
        <v>324</v>
      </c>
      <c r="BA27" s="41" t="s">
        <v>324</v>
      </c>
      <c r="BB27" s="41">
        <v>6.4860415175375802E-2</v>
      </c>
      <c r="BC27" s="41">
        <v>0.35617977528089889</v>
      </c>
      <c r="BD27" s="41">
        <v>3.4916666666666667</v>
      </c>
      <c r="BE27" s="41" t="s">
        <v>324</v>
      </c>
      <c r="BF27" s="41" t="s">
        <v>324</v>
      </c>
      <c r="BG27" s="41" t="s">
        <v>324</v>
      </c>
      <c r="BH27" s="41" t="s">
        <v>324</v>
      </c>
      <c r="BI27" s="41" t="s">
        <v>324</v>
      </c>
      <c r="BJ27" s="41">
        <v>56.8</v>
      </c>
      <c r="BK27" s="41">
        <v>20.399999999999999</v>
      </c>
      <c r="BL27" s="41">
        <v>0.9</v>
      </c>
      <c r="BM27" s="41">
        <v>1.05</v>
      </c>
      <c r="BN27" s="41">
        <v>1.836111111111111</v>
      </c>
      <c r="BO27" s="41" t="s">
        <v>324</v>
      </c>
      <c r="BP27" s="41" t="s">
        <v>324</v>
      </c>
      <c r="BQ27" s="41" t="s">
        <v>324</v>
      </c>
      <c r="BR27" s="41" t="s">
        <v>324</v>
      </c>
      <c r="BS27" s="41">
        <v>0.81044852191641181</v>
      </c>
      <c r="BT27" s="41">
        <v>1.0154893449092344</v>
      </c>
      <c r="BU27" s="41" t="s">
        <v>324</v>
      </c>
      <c r="BV27" s="41" t="s">
        <v>324</v>
      </c>
      <c r="BW27" s="41" t="s">
        <v>324</v>
      </c>
      <c r="BX27" s="41" t="s">
        <v>324</v>
      </c>
      <c r="BY27" s="41" t="s">
        <v>324</v>
      </c>
      <c r="BZ27" s="41">
        <v>4.877830188679245</v>
      </c>
      <c r="CA27" s="41" t="s">
        <v>324</v>
      </c>
      <c r="CB27" s="41" t="s">
        <v>324</v>
      </c>
      <c r="CC27" s="41" t="s">
        <v>324</v>
      </c>
      <c r="CD27" s="41" t="s">
        <v>324</v>
      </c>
      <c r="CE27" s="41" t="s">
        <v>324</v>
      </c>
      <c r="CF27" s="41" t="s">
        <v>324</v>
      </c>
      <c r="CG27" s="41">
        <v>2.7100427350427352</v>
      </c>
      <c r="CH27" s="41">
        <v>15.225</v>
      </c>
      <c r="CI27" s="41">
        <v>0.25807537012113058</v>
      </c>
      <c r="CJ27" s="41" t="s">
        <v>324</v>
      </c>
      <c r="CK27" s="41" t="s">
        <v>324</v>
      </c>
      <c r="CL27" s="41">
        <v>0.40819672131147539</v>
      </c>
      <c r="CM27" s="41">
        <v>1.9125000000000001</v>
      </c>
      <c r="CN27" s="41" t="s">
        <v>324</v>
      </c>
      <c r="CO27" s="41"/>
      <c r="CP27" s="41"/>
      <c r="CQ27" s="41"/>
      <c r="CR27" s="41"/>
      <c r="CS27" s="41"/>
      <c r="CT27" s="41"/>
      <c r="CU27" s="41"/>
      <c r="CV27" s="41"/>
      <c r="CW27" s="41"/>
      <c r="CX27" s="41"/>
      <c r="CY27" s="41"/>
      <c r="CZ27" s="41"/>
      <c r="DA27" s="41"/>
      <c r="DB27" s="41"/>
      <c r="DC27" s="41"/>
      <c r="DD27" s="41"/>
      <c r="DE27" s="41"/>
      <c r="DF27" s="41"/>
      <c r="DG27" s="41"/>
      <c r="DH27" s="41"/>
      <c r="DI27" s="41"/>
      <c r="DJ27" s="41"/>
      <c r="DK27" s="41"/>
      <c r="DL27" s="41"/>
      <c r="DM27" s="41"/>
      <c r="DN27" s="41"/>
      <c r="DO27" s="41"/>
      <c r="DP27" s="41"/>
      <c r="DQ27" s="41"/>
      <c r="DR27" s="41"/>
      <c r="DS27" s="41"/>
      <c r="DT27" s="41"/>
      <c r="DU27" s="41"/>
      <c r="DV27" s="41"/>
      <c r="DW27" s="41"/>
      <c r="DX27" s="41"/>
      <c r="DY27" s="41"/>
      <c r="DZ27" s="41"/>
      <c r="EA27" s="41"/>
      <c r="EB27" s="41"/>
      <c r="EC27" s="41"/>
      <c r="ED27" s="41"/>
      <c r="EE27" s="41"/>
      <c r="EF27" s="41"/>
      <c r="EG27" s="41"/>
      <c r="EH27" s="41"/>
      <c r="EI27" s="41"/>
      <c r="EJ27" s="41"/>
      <c r="EK27" s="41"/>
      <c r="EL27" s="41"/>
      <c r="EM27" s="41"/>
      <c r="EN27" s="41"/>
      <c r="EO27" s="41"/>
      <c r="EP27" s="41"/>
      <c r="EQ27" s="41"/>
      <c r="ER27" s="41"/>
      <c r="ES27" s="41"/>
      <c r="ET27" s="41"/>
      <c r="EU27" s="41"/>
      <c r="EV27" s="41"/>
      <c r="EW27" s="41"/>
      <c r="EX27" s="41"/>
      <c r="EY27" s="41"/>
      <c r="EZ27" s="41"/>
      <c r="FA27" s="42"/>
      <c r="FB27" s="42"/>
      <c r="FC27" s="42"/>
      <c r="FD27" s="42"/>
    </row>
    <row r="28" spans="1:160" x14ac:dyDescent="0.2">
      <c r="A28" s="43" t="s">
        <v>213</v>
      </c>
      <c r="C28" s="41" t="s">
        <v>324</v>
      </c>
      <c r="D28" s="41" t="s">
        <v>324</v>
      </c>
      <c r="E28" s="41" t="s">
        <v>324</v>
      </c>
      <c r="F28" s="41" t="s">
        <v>324</v>
      </c>
      <c r="G28" s="41">
        <v>67.594936708860757</v>
      </c>
      <c r="H28" s="41" t="s">
        <v>324</v>
      </c>
      <c r="I28" s="41">
        <v>0.77928271652041203</v>
      </c>
      <c r="J28" s="41">
        <v>0.38423212192262601</v>
      </c>
      <c r="K28" s="41" t="s">
        <v>324</v>
      </c>
      <c r="L28" s="41">
        <v>8.9045454545454543</v>
      </c>
      <c r="M28" s="41" t="s">
        <v>324</v>
      </c>
      <c r="N28" s="41" t="s">
        <v>324</v>
      </c>
      <c r="O28" s="41" t="s">
        <v>324</v>
      </c>
      <c r="P28" s="41" t="s">
        <v>324</v>
      </c>
      <c r="Q28" s="41" t="s">
        <v>324</v>
      </c>
      <c r="R28" s="41" t="s">
        <v>324</v>
      </c>
      <c r="S28" s="41" t="s">
        <v>324</v>
      </c>
      <c r="T28" s="41">
        <v>6.0948780487804877</v>
      </c>
      <c r="U28" s="41" t="s">
        <v>324</v>
      </c>
      <c r="V28" s="41" t="s">
        <v>324</v>
      </c>
      <c r="W28" s="41" t="s">
        <v>324</v>
      </c>
      <c r="X28" s="41">
        <v>0.44791999999999998</v>
      </c>
      <c r="Y28" s="41" t="s">
        <v>324</v>
      </c>
      <c r="Z28" s="41">
        <v>3.3426829268292684</v>
      </c>
      <c r="AA28" s="41">
        <v>4.1271929824561404</v>
      </c>
      <c r="AB28" s="41" t="s">
        <v>324</v>
      </c>
      <c r="AC28" s="41">
        <v>3.026470588235294</v>
      </c>
      <c r="AD28" s="41" t="s">
        <v>324</v>
      </c>
      <c r="AE28" s="41" t="s">
        <v>324</v>
      </c>
      <c r="AF28" s="41" t="s">
        <v>324</v>
      </c>
      <c r="AG28" s="41" t="s">
        <v>324</v>
      </c>
      <c r="AH28" s="41">
        <v>0.89224777448071213</v>
      </c>
      <c r="AI28" s="41">
        <v>1.292528735632184</v>
      </c>
      <c r="AJ28" s="41"/>
      <c r="AK28" s="41">
        <v>0.59526315789473683</v>
      </c>
      <c r="AL28" s="41">
        <v>7.2227272727272727</v>
      </c>
      <c r="AM28" s="41">
        <v>1.8125</v>
      </c>
      <c r="AN28" s="41">
        <v>7.5432432432432428</v>
      </c>
      <c r="AO28" s="41">
        <v>3.7053191489361703</v>
      </c>
      <c r="AP28" s="41">
        <v>10.375</v>
      </c>
      <c r="AQ28" s="41">
        <v>0.97267694741004351</v>
      </c>
      <c r="AR28" s="41" t="s">
        <v>324</v>
      </c>
      <c r="AS28" s="41" t="s">
        <v>324</v>
      </c>
      <c r="AT28" s="41">
        <v>3.4887096774193549</v>
      </c>
      <c r="AU28" s="41">
        <v>3.3851851851851853</v>
      </c>
      <c r="AV28" s="41" t="s">
        <v>324</v>
      </c>
      <c r="AW28" s="41"/>
      <c r="AX28" s="41" t="s">
        <v>324</v>
      </c>
      <c r="AY28" s="41" t="s">
        <v>324</v>
      </c>
      <c r="AZ28" s="41" t="s">
        <v>324</v>
      </c>
      <c r="BA28" s="41" t="s">
        <v>324</v>
      </c>
      <c r="BB28" s="41">
        <v>5.1533546325878594E-2</v>
      </c>
      <c r="BC28" s="41">
        <v>0.59578804347826086</v>
      </c>
      <c r="BD28" s="41">
        <v>0.18333333333333332</v>
      </c>
      <c r="BE28" s="41" t="s">
        <v>324</v>
      </c>
      <c r="BF28" s="41" t="s">
        <v>324</v>
      </c>
      <c r="BG28" s="41" t="s">
        <v>324</v>
      </c>
      <c r="BH28" s="41" t="s">
        <v>324</v>
      </c>
      <c r="BI28" s="41" t="s">
        <v>324</v>
      </c>
      <c r="BJ28" s="41">
        <v>63.31666666666667</v>
      </c>
      <c r="BK28" s="41">
        <v>62.2</v>
      </c>
      <c r="BL28" s="41">
        <v>2.1</v>
      </c>
      <c r="BM28" s="41">
        <v>1.2521276595744681</v>
      </c>
      <c r="BN28" s="41">
        <v>2.1947154471544716</v>
      </c>
      <c r="BO28" s="41" t="s">
        <v>324</v>
      </c>
      <c r="BP28" s="41" t="s">
        <v>324</v>
      </c>
      <c r="BQ28" s="41" t="s">
        <v>324</v>
      </c>
      <c r="BR28" s="41" t="s">
        <v>324</v>
      </c>
      <c r="BS28" s="41">
        <v>0.91286135693215342</v>
      </c>
      <c r="BT28" s="41">
        <v>1.2900928167877321</v>
      </c>
      <c r="BU28" s="41" t="s">
        <v>324</v>
      </c>
      <c r="BV28" s="41" t="s">
        <v>324</v>
      </c>
      <c r="BW28" s="41" t="s">
        <v>324</v>
      </c>
      <c r="BX28" s="41" t="s">
        <v>324</v>
      </c>
      <c r="BY28" s="41" t="s">
        <v>324</v>
      </c>
      <c r="BZ28" s="41">
        <v>8.3015624999999993</v>
      </c>
      <c r="CA28" s="41" t="s">
        <v>324</v>
      </c>
      <c r="CB28" s="41" t="s">
        <v>324</v>
      </c>
      <c r="CC28" s="41" t="s">
        <v>324</v>
      </c>
      <c r="CD28" s="41" t="s">
        <v>324</v>
      </c>
      <c r="CE28" s="41" t="s">
        <v>324</v>
      </c>
      <c r="CF28" s="41">
        <v>8.1319286256643881</v>
      </c>
      <c r="CG28" s="41">
        <v>18.03846153846154</v>
      </c>
      <c r="CH28" s="41">
        <v>15.036363636363637</v>
      </c>
      <c r="CI28" s="41">
        <v>0.26876907426246183</v>
      </c>
      <c r="CJ28" s="41" t="s">
        <v>324</v>
      </c>
      <c r="CK28" s="41" t="s">
        <v>324</v>
      </c>
      <c r="CL28" s="41">
        <v>0.42180676855895194</v>
      </c>
      <c r="CM28" s="41">
        <v>1.2124999999999999</v>
      </c>
      <c r="CN28" s="41" t="s">
        <v>324</v>
      </c>
      <c r="CO28" s="41"/>
      <c r="CP28" s="41"/>
      <c r="CQ28" s="41"/>
      <c r="CR28" s="41"/>
      <c r="CS28" s="41"/>
      <c r="CT28" s="41"/>
      <c r="CU28" s="41"/>
      <c r="CV28" s="41"/>
      <c r="CW28" s="41"/>
      <c r="CX28" s="41"/>
      <c r="CY28" s="41"/>
      <c r="CZ28" s="41"/>
      <c r="DA28" s="41"/>
      <c r="DB28" s="41"/>
      <c r="DC28" s="41"/>
      <c r="DD28" s="41"/>
      <c r="DE28" s="41"/>
      <c r="DF28" s="41"/>
      <c r="DG28" s="41"/>
      <c r="DH28" s="41"/>
      <c r="DI28" s="41"/>
      <c r="DJ28" s="41"/>
      <c r="DK28" s="41"/>
      <c r="DL28" s="41"/>
      <c r="DM28" s="41"/>
      <c r="DN28" s="41"/>
      <c r="DO28" s="41"/>
      <c r="DP28" s="41"/>
      <c r="DQ28" s="41"/>
      <c r="DR28" s="41"/>
      <c r="DS28" s="41"/>
      <c r="DT28" s="41"/>
      <c r="DU28" s="41"/>
      <c r="DV28" s="41"/>
      <c r="DW28" s="41"/>
      <c r="DX28" s="41"/>
      <c r="DY28" s="41"/>
      <c r="DZ28" s="41"/>
      <c r="EA28" s="41"/>
      <c r="EB28" s="41"/>
      <c r="EC28" s="41"/>
      <c r="ED28" s="41"/>
      <c r="EE28" s="41"/>
      <c r="EF28" s="41"/>
      <c r="EG28" s="41"/>
      <c r="EH28" s="41"/>
      <c r="EI28" s="41"/>
      <c r="EJ28" s="41"/>
      <c r="EK28" s="41"/>
      <c r="EL28" s="41"/>
      <c r="EM28" s="41"/>
      <c r="EN28" s="41"/>
      <c r="EO28" s="41"/>
      <c r="EP28" s="41"/>
      <c r="EQ28" s="41"/>
      <c r="ER28" s="41"/>
      <c r="ES28" s="41"/>
      <c r="ET28" s="41"/>
      <c r="EU28" s="41"/>
      <c r="EV28" s="41"/>
      <c r="EW28" s="41"/>
      <c r="EX28" s="41"/>
      <c r="EY28" s="41"/>
      <c r="EZ28" s="41"/>
      <c r="FA28" s="42"/>
      <c r="FB28" s="42"/>
      <c r="FC28" s="42"/>
      <c r="FD28" s="42"/>
    </row>
    <row r="29" spans="1:160" x14ac:dyDescent="0.2"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  <c r="BZ29" s="41"/>
      <c r="CA29" s="41"/>
      <c r="CB29" s="41"/>
      <c r="CC29" s="41"/>
      <c r="CD29" s="41"/>
      <c r="CE29" s="41"/>
      <c r="CF29" s="41"/>
      <c r="CG29" s="41"/>
      <c r="CH29" s="41"/>
      <c r="CI29" s="41"/>
      <c r="CJ29" s="41"/>
      <c r="CK29" s="41"/>
      <c r="CL29" s="41"/>
      <c r="CM29" s="41"/>
      <c r="CN29" s="41"/>
      <c r="CO29" s="41"/>
      <c r="CP29" s="41"/>
      <c r="CQ29" s="41"/>
      <c r="CR29" s="41"/>
      <c r="CS29" s="41"/>
      <c r="CT29" s="41"/>
      <c r="CU29" s="41"/>
      <c r="CV29" s="41"/>
      <c r="CW29" s="41"/>
      <c r="CX29" s="41"/>
      <c r="CY29" s="41"/>
      <c r="CZ29" s="41"/>
      <c r="DA29" s="41"/>
      <c r="DB29" s="41"/>
      <c r="DC29" s="41"/>
      <c r="DD29" s="41"/>
      <c r="DE29" s="41"/>
      <c r="DF29" s="41"/>
      <c r="DG29" s="41"/>
      <c r="DH29" s="41"/>
      <c r="DI29" s="41"/>
      <c r="DJ29" s="41"/>
      <c r="DK29" s="41"/>
      <c r="DL29" s="41"/>
      <c r="DM29" s="41"/>
      <c r="DN29" s="41"/>
      <c r="DO29" s="41"/>
      <c r="DP29" s="41"/>
      <c r="DQ29" s="41"/>
      <c r="DR29" s="41"/>
      <c r="DS29" s="41"/>
      <c r="DT29" s="41"/>
      <c r="DU29" s="41"/>
      <c r="DV29" s="41"/>
      <c r="DW29" s="41"/>
      <c r="DX29" s="41"/>
      <c r="DY29" s="41"/>
      <c r="DZ29" s="41"/>
      <c r="EA29" s="41"/>
      <c r="EB29" s="41"/>
      <c r="EC29" s="41"/>
      <c r="ED29" s="41"/>
      <c r="EE29" s="41"/>
      <c r="EF29" s="41"/>
      <c r="EG29" s="41"/>
      <c r="EH29" s="41"/>
      <c r="EI29" s="41"/>
      <c r="EJ29" s="41"/>
      <c r="EK29" s="41"/>
      <c r="EL29" s="41"/>
      <c r="EM29" s="41"/>
      <c r="EN29" s="41"/>
      <c r="EO29" s="41"/>
      <c r="EP29" s="41"/>
      <c r="EQ29" s="41"/>
      <c r="ER29" s="41"/>
      <c r="ES29" s="41"/>
      <c r="ET29" s="41"/>
      <c r="EU29" s="41"/>
      <c r="EV29" s="41"/>
      <c r="EW29" s="41"/>
      <c r="EX29" s="41"/>
      <c r="EY29" s="41"/>
      <c r="EZ29" s="41"/>
    </row>
  </sheetData>
  <pageMargins left="0.75" right="0.75" top="1" bottom="1" header="0.5" footer="0.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B21"/>
  <sheetViews>
    <sheetView zoomScaleNormal="100" zoomScaleSheetLayoutView="110" workbookViewId="0">
      <pane xSplit="2" ySplit="8" topLeftCell="S9" activePane="bottomRight" state="frozenSplit"/>
      <selection activeCell="E19" sqref="E19"/>
      <selection pane="topRight" activeCell="E19" sqref="E19"/>
      <selection pane="bottomLeft" activeCell="E19" sqref="E19"/>
      <selection pane="bottomRight" activeCell="AD10" sqref="AD10:AD11"/>
    </sheetView>
  </sheetViews>
  <sheetFormatPr defaultColWidth="8.69921875" defaultRowHeight="12" x14ac:dyDescent="0.2"/>
  <cols>
    <col min="1" max="1" width="5.796875" style="27" customWidth="1"/>
    <col min="2" max="2" width="12.5" style="26" customWidth="1"/>
    <col min="3" max="25" width="10.8984375" style="26" customWidth="1"/>
    <col min="26" max="26" width="13.59765625" style="26" bestFit="1" customWidth="1"/>
    <col min="27" max="36" width="10.8984375" style="26" customWidth="1"/>
    <col min="37" max="37" width="13.19921875" style="26" bestFit="1" customWidth="1"/>
    <col min="38" max="39" width="14.8984375" style="26" bestFit="1" customWidth="1"/>
    <col min="40" max="45" width="10.8984375" style="26" customWidth="1"/>
    <col min="46" max="46" width="12.69921875" style="26" bestFit="1" customWidth="1"/>
    <col min="47" max="84" width="10.8984375" style="26" customWidth="1"/>
    <col min="85" max="85" width="12.69921875" style="26" bestFit="1" customWidth="1"/>
    <col min="86" max="88" width="10.8984375" style="26" customWidth="1"/>
    <col min="89" max="89" width="12.19921875" style="26" bestFit="1" customWidth="1"/>
    <col min="90" max="132" width="10.8984375" style="26" customWidth="1"/>
    <col min="133" max="187" width="8.69921875" style="26"/>
    <col min="188" max="188" width="5.796875" style="26" customWidth="1"/>
    <col min="189" max="189" width="12.5" style="26" customWidth="1"/>
    <col min="190" max="190" width="10.69921875" style="26" customWidth="1"/>
    <col min="191" max="193" width="8.69921875" style="26"/>
    <col min="194" max="194" width="13.8984375" style="26" customWidth="1"/>
    <col min="195" max="195" width="14.59765625" style="26" customWidth="1"/>
    <col min="196" max="207" width="8.69921875" style="26"/>
    <col min="208" max="208" width="10.796875" style="26" customWidth="1"/>
    <col min="209" max="209" width="11.5" style="26" customWidth="1"/>
    <col min="210" max="210" width="10" style="26" customWidth="1"/>
    <col min="211" max="211" width="10.796875" style="26" customWidth="1"/>
    <col min="212" max="212" width="8.69921875" style="26"/>
    <col min="213" max="213" width="13.796875" style="26" customWidth="1"/>
    <col min="214" max="214" width="13.69921875" style="26" customWidth="1"/>
    <col min="215" max="215" width="19.296875" style="26" customWidth="1"/>
    <col min="216" max="231" width="8.69921875" style="26"/>
    <col min="232" max="233" width="12.09765625" style="26" customWidth="1"/>
    <col min="234" max="234" width="8.69921875" style="26"/>
    <col min="235" max="235" width="12.5" style="26" customWidth="1"/>
    <col min="236" max="236" width="9.59765625" style="26" customWidth="1"/>
    <col min="237" max="237" width="15.59765625" style="26" customWidth="1"/>
    <col min="238" max="239" width="11.3984375" style="26" customWidth="1"/>
    <col min="240" max="240" width="10.09765625" style="26" customWidth="1"/>
    <col min="241" max="241" width="16.5" style="26" customWidth="1"/>
    <col min="242" max="242" width="11.59765625" style="26" customWidth="1"/>
    <col min="243" max="244" width="11.8984375" style="26" customWidth="1"/>
    <col min="245" max="245" width="9.796875" style="26" customWidth="1"/>
    <col min="246" max="246" width="10" style="26" customWidth="1"/>
    <col min="247" max="247" width="13.69921875" style="26" customWidth="1"/>
    <col min="248" max="248" width="8.69921875" style="26"/>
    <col min="249" max="249" width="9.8984375" style="26" customWidth="1"/>
    <col min="250" max="250" width="9.69921875" style="26" customWidth="1"/>
    <col min="251" max="251" width="10.296875" style="26" customWidth="1"/>
    <col min="252" max="252" width="3.59765625" style="26" customWidth="1"/>
    <col min="253" max="443" width="8.69921875" style="26"/>
    <col min="444" max="444" width="5.796875" style="26" customWidth="1"/>
    <col min="445" max="445" width="12.5" style="26" customWidth="1"/>
    <col min="446" max="446" width="10.69921875" style="26" customWidth="1"/>
    <col min="447" max="449" width="8.69921875" style="26"/>
    <col min="450" max="450" width="13.8984375" style="26" customWidth="1"/>
    <col min="451" max="451" width="14.59765625" style="26" customWidth="1"/>
    <col min="452" max="463" width="8.69921875" style="26"/>
    <col min="464" max="464" width="10.796875" style="26" customWidth="1"/>
    <col min="465" max="465" width="11.5" style="26" customWidth="1"/>
    <col min="466" max="466" width="10" style="26" customWidth="1"/>
    <col min="467" max="467" width="10.796875" style="26" customWidth="1"/>
    <col min="468" max="468" width="8.69921875" style="26"/>
    <col min="469" max="469" width="13.796875" style="26" customWidth="1"/>
    <col min="470" max="470" width="13.69921875" style="26" customWidth="1"/>
    <col min="471" max="471" width="19.296875" style="26" customWidth="1"/>
    <col min="472" max="487" width="8.69921875" style="26"/>
    <col min="488" max="489" width="12.09765625" style="26" customWidth="1"/>
    <col min="490" max="490" width="8.69921875" style="26"/>
    <col min="491" max="491" width="12.5" style="26" customWidth="1"/>
    <col min="492" max="492" width="9.59765625" style="26" customWidth="1"/>
    <col min="493" max="493" width="15.59765625" style="26" customWidth="1"/>
    <col min="494" max="495" width="11.3984375" style="26" customWidth="1"/>
    <col min="496" max="496" width="10.09765625" style="26" customWidth="1"/>
    <col min="497" max="497" width="16.5" style="26" customWidth="1"/>
    <col min="498" max="498" width="11.59765625" style="26" customWidth="1"/>
    <col min="499" max="500" width="11.8984375" style="26" customWidth="1"/>
    <col min="501" max="501" width="9.796875" style="26" customWidth="1"/>
    <col min="502" max="502" width="10" style="26" customWidth="1"/>
    <col min="503" max="503" width="13.69921875" style="26" customWidth="1"/>
    <col min="504" max="504" width="8.69921875" style="26"/>
    <col min="505" max="505" width="9.8984375" style="26" customWidth="1"/>
    <col min="506" max="506" width="9.69921875" style="26" customWidth="1"/>
    <col min="507" max="507" width="10.296875" style="26" customWidth="1"/>
    <col min="508" max="508" width="3.59765625" style="26" customWidth="1"/>
    <col min="509" max="699" width="8.69921875" style="26"/>
    <col min="700" max="700" width="5.796875" style="26" customWidth="1"/>
    <col min="701" max="701" width="12.5" style="26" customWidth="1"/>
    <col min="702" max="702" width="10.69921875" style="26" customWidth="1"/>
    <col min="703" max="705" width="8.69921875" style="26"/>
    <col min="706" max="706" width="13.8984375" style="26" customWidth="1"/>
    <col min="707" max="707" width="14.59765625" style="26" customWidth="1"/>
    <col min="708" max="719" width="8.69921875" style="26"/>
    <col min="720" max="720" width="10.796875" style="26" customWidth="1"/>
    <col min="721" max="721" width="11.5" style="26" customWidth="1"/>
    <col min="722" max="722" width="10" style="26" customWidth="1"/>
    <col min="723" max="723" width="10.796875" style="26" customWidth="1"/>
    <col min="724" max="724" width="8.69921875" style="26"/>
    <col min="725" max="725" width="13.796875" style="26" customWidth="1"/>
    <col min="726" max="726" width="13.69921875" style="26" customWidth="1"/>
    <col min="727" max="727" width="19.296875" style="26" customWidth="1"/>
    <col min="728" max="743" width="8.69921875" style="26"/>
    <col min="744" max="745" width="12.09765625" style="26" customWidth="1"/>
    <col min="746" max="746" width="8.69921875" style="26"/>
    <col min="747" max="747" width="12.5" style="26" customWidth="1"/>
    <col min="748" max="748" width="9.59765625" style="26" customWidth="1"/>
    <col min="749" max="749" width="15.59765625" style="26" customWidth="1"/>
    <col min="750" max="751" width="11.3984375" style="26" customWidth="1"/>
    <col min="752" max="752" width="10.09765625" style="26" customWidth="1"/>
    <col min="753" max="753" width="16.5" style="26" customWidth="1"/>
    <col min="754" max="754" width="11.59765625" style="26" customWidth="1"/>
    <col min="755" max="756" width="11.8984375" style="26" customWidth="1"/>
    <col min="757" max="757" width="9.796875" style="26" customWidth="1"/>
    <col min="758" max="758" width="10" style="26" customWidth="1"/>
    <col min="759" max="759" width="13.69921875" style="26" customWidth="1"/>
    <col min="760" max="760" width="8.69921875" style="26"/>
    <col min="761" max="761" width="9.8984375" style="26" customWidth="1"/>
    <col min="762" max="762" width="9.69921875" style="26" customWidth="1"/>
    <col min="763" max="763" width="10.296875" style="26" customWidth="1"/>
    <col min="764" max="764" width="3.59765625" style="26" customWidth="1"/>
    <col min="765" max="955" width="8.69921875" style="26"/>
    <col min="956" max="956" width="5.796875" style="26" customWidth="1"/>
    <col min="957" max="957" width="12.5" style="26" customWidth="1"/>
    <col min="958" max="958" width="10.69921875" style="26" customWidth="1"/>
    <col min="959" max="961" width="8.69921875" style="26"/>
    <col min="962" max="962" width="13.8984375" style="26" customWidth="1"/>
    <col min="963" max="963" width="14.59765625" style="26" customWidth="1"/>
    <col min="964" max="975" width="8.69921875" style="26"/>
    <col min="976" max="976" width="10.796875" style="26" customWidth="1"/>
    <col min="977" max="977" width="11.5" style="26" customWidth="1"/>
    <col min="978" max="978" width="10" style="26" customWidth="1"/>
    <col min="979" max="979" width="10.796875" style="26" customWidth="1"/>
    <col min="980" max="980" width="8.69921875" style="26"/>
    <col min="981" max="981" width="13.796875" style="26" customWidth="1"/>
    <col min="982" max="982" width="13.69921875" style="26" customWidth="1"/>
    <col min="983" max="983" width="19.296875" style="26" customWidth="1"/>
    <col min="984" max="999" width="8.69921875" style="26"/>
    <col min="1000" max="1001" width="12.09765625" style="26" customWidth="1"/>
    <col min="1002" max="1002" width="8.69921875" style="26"/>
    <col min="1003" max="1003" width="12.5" style="26" customWidth="1"/>
    <col min="1004" max="1004" width="9.59765625" style="26" customWidth="1"/>
    <col min="1005" max="1005" width="15.59765625" style="26" customWidth="1"/>
    <col min="1006" max="1007" width="11.3984375" style="26" customWidth="1"/>
    <col min="1008" max="1008" width="10.09765625" style="26" customWidth="1"/>
    <col min="1009" max="1009" width="16.5" style="26" customWidth="1"/>
    <col min="1010" max="1010" width="11.59765625" style="26" customWidth="1"/>
    <col min="1011" max="1012" width="11.8984375" style="26" customWidth="1"/>
    <col min="1013" max="1013" width="9.796875" style="26" customWidth="1"/>
    <col min="1014" max="1014" width="10" style="26" customWidth="1"/>
    <col min="1015" max="1015" width="13.69921875" style="26" customWidth="1"/>
    <col min="1016" max="1016" width="8.69921875" style="26"/>
    <col min="1017" max="1017" width="9.8984375" style="26" customWidth="1"/>
    <col min="1018" max="1018" width="9.69921875" style="26" customWidth="1"/>
    <col min="1019" max="1019" width="10.296875" style="26" customWidth="1"/>
    <col min="1020" max="1020" width="3.59765625" style="26" customWidth="1"/>
    <col min="1021" max="1211" width="8.69921875" style="26"/>
    <col min="1212" max="1212" width="5.796875" style="26" customWidth="1"/>
    <col min="1213" max="1213" width="12.5" style="26" customWidth="1"/>
    <col min="1214" max="1214" width="10.69921875" style="26" customWidth="1"/>
    <col min="1215" max="1217" width="8.69921875" style="26"/>
    <col min="1218" max="1218" width="13.8984375" style="26" customWidth="1"/>
    <col min="1219" max="1219" width="14.59765625" style="26" customWidth="1"/>
    <col min="1220" max="1231" width="8.69921875" style="26"/>
    <col min="1232" max="1232" width="10.796875" style="26" customWidth="1"/>
    <col min="1233" max="1233" width="11.5" style="26" customWidth="1"/>
    <col min="1234" max="1234" width="10" style="26" customWidth="1"/>
    <col min="1235" max="1235" width="10.796875" style="26" customWidth="1"/>
    <col min="1236" max="1236" width="8.69921875" style="26"/>
    <col min="1237" max="1237" width="13.796875" style="26" customWidth="1"/>
    <col min="1238" max="1238" width="13.69921875" style="26" customWidth="1"/>
    <col min="1239" max="1239" width="19.296875" style="26" customWidth="1"/>
    <col min="1240" max="1255" width="8.69921875" style="26"/>
    <col min="1256" max="1257" width="12.09765625" style="26" customWidth="1"/>
    <col min="1258" max="1258" width="8.69921875" style="26"/>
    <col min="1259" max="1259" width="12.5" style="26" customWidth="1"/>
    <col min="1260" max="1260" width="9.59765625" style="26" customWidth="1"/>
    <col min="1261" max="1261" width="15.59765625" style="26" customWidth="1"/>
    <col min="1262" max="1263" width="11.3984375" style="26" customWidth="1"/>
    <col min="1264" max="1264" width="10.09765625" style="26" customWidth="1"/>
    <col min="1265" max="1265" width="16.5" style="26" customWidth="1"/>
    <col min="1266" max="1266" width="11.59765625" style="26" customWidth="1"/>
    <col min="1267" max="1268" width="11.8984375" style="26" customWidth="1"/>
    <col min="1269" max="1269" width="9.796875" style="26" customWidth="1"/>
    <col min="1270" max="1270" width="10" style="26" customWidth="1"/>
    <col min="1271" max="1271" width="13.69921875" style="26" customWidth="1"/>
    <col min="1272" max="1272" width="8.69921875" style="26"/>
    <col min="1273" max="1273" width="9.8984375" style="26" customWidth="1"/>
    <col min="1274" max="1274" width="9.69921875" style="26" customWidth="1"/>
    <col min="1275" max="1275" width="10.296875" style="26" customWidth="1"/>
    <col min="1276" max="1276" width="3.59765625" style="26" customWidth="1"/>
    <col min="1277" max="1467" width="8.69921875" style="26"/>
    <col min="1468" max="1468" width="5.796875" style="26" customWidth="1"/>
    <col min="1469" max="1469" width="12.5" style="26" customWidth="1"/>
    <col min="1470" max="1470" width="10.69921875" style="26" customWidth="1"/>
    <col min="1471" max="1473" width="8.69921875" style="26"/>
    <col min="1474" max="1474" width="13.8984375" style="26" customWidth="1"/>
    <col min="1475" max="1475" width="14.59765625" style="26" customWidth="1"/>
    <col min="1476" max="1487" width="8.69921875" style="26"/>
    <col min="1488" max="1488" width="10.796875" style="26" customWidth="1"/>
    <col min="1489" max="1489" width="11.5" style="26" customWidth="1"/>
    <col min="1490" max="1490" width="10" style="26" customWidth="1"/>
    <col min="1491" max="1491" width="10.796875" style="26" customWidth="1"/>
    <col min="1492" max="1492" width="8.69921875" style="26"/>
    <col min="1493" max="1493" width="13.796875" style="26" customWidth="1"/>
    <col min="1494" max="1494" width="13.69921875" style="26" customWidth="1"/>
    <col min="1495" max="1495" width="19.296875" style="26" customWidth="1"/>
    <col min="1496" max="1511" width="8.69921875" style="26"/>
    <col min="1512" max="1513" width="12.09765625" style="26" customWidth="1"/>
    <col min="1514" max="1514" width="8.69921875" style="26"/>
    <col min="1515" max="1515" width="12.5" style="26" customWidth="1"/>
    <col min="1516" max="1516" width="9.59765625" style="26" customWidth="1"/>
    <col min="1517" max="1517" width="15.59765625" style="26" customWidth="1"/>
    <col min="1518" max="1519" width="11.3984375" style="26" customWidth="1"/>
    <col min="1520" max="1520" width="10.09765625" style="26" customWidth="1"/>
    <col min="1521" max="1521" width="16.5" style="26" customWidth="1"/>
    <col min="1522" max="1522" width="11.59765625" style="26" customWidth="1"/>
    <col min="1523" max="1524" width="11.8984375" style="26" customWidth="1"/>
    <col min="1525" max="1525" width="9.796875" style="26" customWidth="1"/>
    <col min="1526" max="1526" width="10" style="26" customWidth="1"/>
    <col min="1527" max="1527" width="13.69921875" style="26" customWidth="1"/>
    <col min="1528" max="1528" width="8.69921875" style="26"/>
    <col min="1529" max="1529" width="9.8984375" style="26" customWidth="1"/>
    <col min="1530" max="1530" width="9.69921875" style="26" customWidth="1"/>
    <col min="1531" max="1531" width="10.296875" style="26" customWidth="1"/>
    <col min="1532" max="1532" width="3.59765625" style="26" customWidth="1"/>
    <col min="1533" max="1723" width="8.69921875" style="26"/>
    <col min="1724" max="1724" width="5.796875" style="26" customWidth="1"/>
    <col min="1725" max="1725" width="12.5" style="26" customWidth="1"/>
    <col min="1726" max="1726" width="10.69921875" style="26" customWidth="1"/>
    <col min="1727" max="1729" width="8.69921875" style="26"/>
    <col min="1730" max="1730" width="13.8984375" style="26" customWidth="1"/>
    <col min="1731" max="1731" width="14.59765625" style="26" customWidth="1"/>
    <col min="1732" max="1743" width="8.69921875" style="26"/>
    <col min="1744" max="1744" width="10.796875" style="26" customWidth="1"/>
    <col min="1745" max="1745" width="11.5" style="26" customWidth="1"/>
    <col min="1746" max="1746" width="10" style="26" customWidth="1"/>
    <col min="1747" max="1747" width="10.796875" style="26" customWidth="1"/>
    <col min="1748" max="1748" width="8.69921875" style="26"/>
    <col min="1749" max="1749" width="13.796875" style="26" customWidth="1"/>
    <col min="1750" max="1750" width="13.69921875" style="26" customWidth="1"/>
    <col min="1751" max="1751" width="19.296875" style="26" customWidth="1"/>
    <col min="1752" max="1767" width="8.69921875" style="26"/>
    <col min="1768" max="1769" width="12.09765625" style="26" customWidth="1"/>
    <col min="1770" max="1770" width="8.69921875" style="26"/>
    <col min="1771" max="1771" width="12.5" style="26" customWidth="1"/>
    <col min="1772" max="1772" width="9.59765625" style="26" customWidth="1"/>
    <col min="1773" max="1773" width="15.59765625" style="26" customWidth="1"/>
    <col min="1774" max="1775" width="11.3984375" style="26" customWidth="1"/>
    <col min="1776" max="1776" width="10.09765625" style="26" customWidth="1"/>
    <col min="1777" max="1777" width="16.5" style="26" customWidth="1"/>
    <col min="1778" max="1778" width="11.59765625" style="26" customWidth="1"/>
    <col min="1779" max="1780" width="11.8984375" style="26" customWidth="1"/>
    <col min="1781" max="1781" width="9.796875" style="26" customWidth="1"/>
    <col min="1782" max="1782" width="10" style="26" customWidth="1"/>
    <col min="1783" max="1783" width="13.69921875" style="26" customWidth="1"/>
    <col min="1784" max="1784" width="8.69921875" style="26"/>
    <col min="1785" max="1785" width="9.8984375" style="26" customWidth="1"/>
    <col min="1786" max="1786" width="9.69921875" style="26" customWidth="1"/>
    <col min="1787" max="1787" width="10.296875" style="26" customWidth="1"/>
    <col min="1788" max="1788" width="3.59765625" style="26" customWidth="1"/>
    <col min="1789" max="1979" width="8.69921875" style="26"/>
    <col min="1980" max="1980" width="5.796875" style="26" customWidth="1"/>
    <col min="1981" max="1981" width="12.5" style="26" customWidth="1"/>
    <col min="1982" max="1982" width="10.69921875" style="26" customWidth="1"/>
    <col min="1983" max="1985" width="8.69921875" style="26"/>
    <col min="1986" max="1986" width="13.8984375" style="26" customWidth="1"/>
    <col min="1987" max="1987" width="14.59765625" style="26" customWidth="1"/>
    <col min="1988" max="1999" width="8.69921875" style="26"/>
    <col min="2000" max="2000" width="10.796875" style="26" customWidth="1"/>
    <col min="2001" max="2001" width="11.5" style="26" customWidth="1"/>
    <col min="2002" max="2002" width="10" style="26" customWidth="1"/>
    <col min="2003" max="2003" width="10.796875" style="26" customWidth="1"/>
    <col min="2004" max="2004" width="8.69921875" style="26"/>
    <col min="2005" max="2005" width="13.796875" style="26" customWidth="1"/>
    <col min="2006" max="2006" width="13.69921875" style="26" customWidth="1"/>
    <col min="2007" max="2007" width="19.296875" style="26" customWidth="1"/>
    <col min="2008" max="2023" width="8.69921875" style="26"/>
    <col min="2024" max="2025" width="12.09765625" style="26" customWidth="1"/>
    <col min="2026" max="2026" width="8.69921875" style="26"/>
    <col min="2027" max="2027" width="12.5" style="26" customWidth="1"/>
    <col min="2028" max="2028" width="9.59765625" style="26" customWidth="1"/>
    <col min="2029" max="2029" width="15.59765625" style="26" customWidth="1"/>
    <col min="2030" max="2031" width="11.3984375" style="26" customWidth="1"/>
    <col min="2032" max="2032" width="10.09765625" style="26" customWidth="1"/>
    <col min="2033" max="2033" width="16.5" style="26" customWidth="1"/>
    <col min="2034" max="2034" width="11.59765625" style="26" customWidth="1"/>
    <col min="2035" max="2036" width="11.8984375" style="26" customWidth="1"/>
    <col min="2037" max="2037" width="9.796875" style="26" customWidth="1"/>
    <col min="2038" max="2038" width="10" style="26" customWidth="1"/>
    <col min="2039" max="2039" width="13.69921875" style="26" customWidth="1"/>
    <col min="2040" max="2040" width="8.69921875" style="26"/>
    <col min="2041" max="2041" width="9.8984375" style="26" customWidth="1"/>
    <col min="2042" max="2042" width="9.69921875" style="26" customWidth="1"/>
    <col min="2043" max="2043" width="10.296875" style="26" customWidth="1"/>
    <col min="2044" max="2044" width="3.59765625" style="26" customWidth="1"/>
    <col min="2045" max="2235" width="8.69921875" style="26"/>
    <col min="2236" max="2236" width="5.796875" style="26" customWidth="1"/>
    <col min="2237" max="2237" width="12.5" style="26" customWidth="1"/>
    <col min="2238" max="2238" width="10.69921875" style="26" customWidth="1"/>
    <col min="2239" max="2241" width="8.69921875" style="26"/>
    <col min="2242" max="2242" width="13.8984375" style="26" customWidth="1"/>
    <col min="2243" max="2243" width="14.59765625" style="26" customWidth="1"/>
    <col min="2244" max="2255" width="8.69921875" style="26"/>
    <col min="2256" max="2256" width="10.796875" style="26" customWidth="1"/>
    <col min="2257" max="2257" width="11.5" style="26" customWidth="1"/>
    <col min="2258" max="2258" width="10" style="26" customWidth="1"/>
    <col min="2259" max="2259" width="10.796875" style="26" customWidth="1"/>
    <col min="2260" max="2260" width="8.69921875" style="26"/>
    <col min="2261" max="2261" width="13.796875" style="26" customWidth="1"/>
    <col min="2262" max="2262" width="13.69921875" style="26" customWidth="1"/>
    <col min="2263" max="2263" width="19.296875" style="26" customWidth="1"/>
    <col min="2264" max="2279" width="8.69921875" style="26"/>
    <col min="2280" max="2281" width="12.09765625" style="26" customWidth="1"/>
    <col min="2282" max="2282" width="8.69921875" style="26"/>
    <col min="2283" max="2283" width="12.5" style="26" customWidth="1"/>
    <col min="2284" max="2284" width="9.59765625" style="26" customWidth="1"/>
    <col min="2285" max="2285" width="15.59765625" style="26" customWidth="1"/>
    <col min="2286" max="2287" width="11.3984375" style="26" customWidth="1"/>
    <col min="2288" max="2288" width="10.09765625" style="26" customWidth="1"/>
    <col min="2289" max="2289" width="16.5" style="26" customWidth="1"/>
    <col min="2290" max="2290" width="11.59765625" style="26" customWidth="1"/>
    <col min="2291" max="2292" width="11.8984375" style="26" customWidth="1"/>
    <col min="2293" max="2293" width="9.796875" style="26" customWidth="1"/>
    <col min="2294" max="2294" width="10" style="26" customWidth="1"/>
    <col min="2295" max="2295" width="13.69921875" style="26" customWidth="1"/>
    <col min="2296" max="2296" width="8.69921875" style="26"/>
    <col min="2297" max="2297" width="9.8984375" style="26" customWidth="1"/>
    <col min="2298" max="2298" width="9.69921875" style="26" customWidth="1"/>
    <col min="2299" max="2299" width="10.296875" style="26" customWidth="1"/>
    <col min="2300" max="2300" width="3.59765625" style="26" customWidth="1"/>
    <col min="2301" max="2491" width="8.69921875" style="26"/>
    <col min="2492" max="2492" width="5.796875" style="26" customWidth="1"/>
    <col min="2493" max="2493" width="12.5" style="26" customWidth="1"/>
    <col min="2494" max="2494" width="10.69921875" style="26" customWidth="1"/>
    <col min="2495" max="2497" width="8.69921875" style="26"/>
    <col min="2498" max="2498" width="13.8984375" style="26" customWidth="1"/>
    <col min="2499" max="2499" width="14.59765625" style="26" customWidth="1"/>
    <col min="2500" max="2511" width="8.69921875" style="26"/>
    <col min="2512" max="2512" width="10.796875" style="26" customWidth="1"/>
    <col min="2513" max="2513" width="11.5" style="26" customWidth="1"/>
    <col min="2514" max="2514" width="10" style="26" customWidth="1"/>
    <col min="2515" max="2515" width="10.796875" style="26" customWidth="1"/>
    <col min="2516" max="2516" width="8.69921875" style="26"/>
    <col min="2517" max="2517" width="13.796875" style="26" customWidth="1"/>
    <col min="2518" max="2518" width="13.69921875" style="26" customWidth="1"/>
    <col min="2519" max="2519" width="19.296875" style="26" customWidth="1"/>
    <col min="2520" max="2535" width="8.69921875" style="26"/>
    <col min="2536" max="2537" width="12.09765625" style="26" customWidth="1"/>
    <col min="2538" max="2538" width="8.69921875" style="26"/>
    <col min="2539" max="2539" width="12.5" style="26" customWidth="1"/>
    <col min="2540" max="2540" width="9.59765625" style="26" customWidth="1"/>
    <col min="2541" max="2541" width="15.59765625" style="26" customWidth="1"/>
    <col min="2542" max="2543" width="11.3984375" style="26" customWidth="1"/>
    <col min="2544" max="2544" width="10.09765625" style="26" customWidth="1"/>
    <col min="2545" max="2545" width="16.5" style="26" customWidth="1"/>
    <col min="2546" max="2546" width="11.59765625" style="26" customWidth="1"/>
    <col min="2547" max="2548" width="11.8984375" style="26" customWidth="1"/>
    <col min="2549" max="2549" width="9.796875" style="26" customWidth="1"/>
    <col min="2550" max="2550" width="10" style="26" customWidth="1"/>
    <col min="2551" max="2551" width="13.69921875" style="26" customWidth="1"/>
    <col min="2552" max="2552" width="8.69921875" style="26"/>
    <col min="2553" max="2553" width="9.8984375" style="26" customWidth="1"/>
    <col min="2554" max="2554" width="9.69921875" style="26" customWidth="1"/>
    <col min="2555" max="2555" width="10.296875" style="26" customWidth="1"/>
    <col min="2556" max="2556" width="3.59765625" style="26" customWidth="1"/>
    <col min="2557" max="2747" width="8.69921875" style="26"/>
    <col min="2748" max="2748" width="5.796875" style="26" customWidth="1"/>
    <col min="2749" max="2749" width="12.5" style="26" customWidth="1"/>
    <col min="2750" max="2750" width="10.69921875" style="26" customWidth="1"/>
    <col min="2751" max="2753" width="8.69921875" style="26"/>
    <col min="2754" max="2754" width="13.8984375" style="26" customWidth="1"/>
    <col min="2755" max="2755" width="14.59765625" style="26" customWidth="1"/>
    <col min="2756" max="2767" width="8.69921875" style="26"/>
    <col min="2768" max="2768" width="10.796875" style="26" customWidth="1"/>
    <col min="2769" max="2769" width="11.5" style="26" customWidth="1"/>
    <col min="2770" max="2770" width="10" style="26" customWidth="1"/>
    <col min="2771" max="2771" width="10.796875" style="26" customWidth="1"/>
    <col min="2772" max="2772" width="8.69921875" style="26"/>
    <col min="2773" max="2773" width="13.796875" style="26" customWidth="1"/>
    <col min="2774" max="2774" width="13.69921875" style="26" customWidth="1"/>
    <col min="2775" max="2775" width="19.296875" style="26" customWidth="1"/>
    <col min="2776" max="2791" width="8.69921875" style="26"/>
    <col min="2792" max="2793" width="12.09765625" style="26" customWidth="1"/>
    <col min="2794" max="2794" width="8.69921875" style="26"/>
    <col min="2795" max="2795" width="12.5" style="26" customWidth="1"/>
    <col min="2796" max="2796" width="9.59765625" style="26" customWidth="1"/>
    <col min="2797" max="2797" width="15.59765625" style="26" customWidth="1"/>
    <col min="2798" max="2799" width="11.3984375" style="26" customWidth="1"/>
    <col min="2800" max="2800" width="10.09765625" style="26" customWidth="1"/>
    <col min="2801" max="2801" width="16.5" style="26" customWidth="1"/>
    <col min="2802" max="2802" width="11.59765625" style="26" customWidth="1"/>
    <col min="2803" max="2804" width="11.8984375" style="26" customWidth="1"/>
    <col min="2805" max="2805" width="9.796875" style="26" customWidth="1"/>
    <col min="2806" max="2806" width="10" style="26" customWidth="1"/>
    <col min="2807" max="2807" width="13.69921875" style="26" customWidth="1"/>
    <col min="2808" max="2808" width="8.69921875" style="26"/>
    <col min="2809" max="2809" width="9.8984375" style="26" customWidth="1"/>
    <col min="2810" max="2810" width="9.69921875" style="26" customWidth="1"/>
    <col min="2811" max="2811" width="10.296875" style="26" customWidth="1"/>
    <col min="2812" max="2812" width="3.59765625" style="26" customWidth="1"/>
    <col min="2813" max="3003" width="8.69921875" style="26"/>
    <col min="3004" max="3004" width="5.796875" style="26" customWidth="1"/>
    <col min="3005" max="3005" width="12.5" style="26" customWidth="1"/>
    <col min="3006" max="3006" width="10.69921875" style="26" customWidth="1"/>
    <col min="3007" max="3009" width="8.69921875" style="26"/>
    <col min="3010" max="3010" width="13.8984375" style="26" customWidth="1"/>
    <col min="3011" max="3011" width="14.59765625" style="26" customWidth="1"/>
    <col min="3012" max="3023" width="8.69921875" style="26"/>
    <col min="3024" max="3024" width="10.796875" style="26" customWidth="1"/>
    <col min="3025" max="3025" width="11.5" style="26" customWidth="1"/>
    <col min="3026" max="3026" width="10" style="26" customWidth="1"/>
    <col min="3027" max="3027" width="10.796875" style="26" customWidth="1"/>
    <col min="3028" max="3028" width="8.69921875" style="26"/>
    <col min="3029" max="3029" width="13.796875" style="26" customWidth="1"/>
    <col min="3030" max="3030" width="13.69921875" style="26" customWidth="1"/>
    <col min="3031" max="3031" width="19.296875" style="26" customWidth="1"/>
    <col min="3032" max="3047" width="8.69921875" style="26"/>
    <col min="3048" max="3049" width="12.09765625" style="26" customWidth="1"/>
    <col min="3050" max="3050" width="8.69921875" style="26"/>
    <col min="3051" max="3051" width="12.5" style="26" customWidth="1"/>
    <col min="3052" max="3052" width="9.59765625" style="26" customWidth="1"/>
    <col min="3053" max="3053" width="15.59765625" style="26" customWidth="1"/>
    <col min="3054" max="3055" width="11.3984375" style="26" customWidth="1"/>
    <col min="3056" max="3056" width="10.09765625" style="26" customWidth="1"/>
    <col min="3057" max="3057" width="16.5" style="26" customWidth="1"/>
    <col min="3058" max="3058" width="11.59765625" style="26" customWidth="1"/>
    <col min="3059" max="3060" width="11.8984375" style="26" customWidth="1"/>
    <col min="3061" max="3061" width="9.796875" style="26" customWidth="1"/>
    <col min="3062" max="3062" width="10" style="26" customWidth="1"/>
    <col min="3063" max="3063" width="13.69921875" style="26" customWidth="1"/>
    <col min="3064" max="3064" width="8.69921875" style="26"/>
    <col min="3065" max="3065" width="9.8984375" style="26" customWidth="1"/>
    <col min="3066" max="3066" width="9.69921875" style="26" customWidth="1"/>
    <col min="3067" max="3067" width="10.296875" style="26" customWidth="1"/>
    <col min="3068" max="3068" width="3.59765625" style="26" customWidth="1"/>
    <col min="3069" max="3259" width="8.69921875" style="26"/>
    <col min="3260" max="3260" width="5.796875" style="26" customWidth="1"/>
    <col min="3261" max="3261" width="12.5" style="26" customWidth="1"/>
    <col min="3262" max="3262" width="10.69921875" style="26" customWidth="1"/>
    <col min="3263" max="3265" width="8.69921875" style="26"/>
    <col min="3266" max="3266" width="13.8984375" style="26" customWidth="1"/>
    <col min="3267" max="3267" width="14.59765625" style="26" customWidth="1"/>
    <col min="3268" max="3279" width="8.69921875" style="26"/>
    <col min="3280" max="3280" width="10.796875" style="26" customWidth="1"/>
    <col min="3281" max="3281" width="11.5" style="26" customWidth="1"/>
    <col min="3282" max="3282" width="10" style="26" customWidth="1"/>
    <col min="3283" max="3283" width="10.796875" style="26" customWidth="1"/>
    <col min="3284" max="3284" width="8.69921875" style="26"/>
    <col min="3285" max="3285" width="13.796875" style="26" customWidth="1"/>
    <col min="3286" max="3286" width="13.69921875" style="26" customWidth="1"/>
    <col min="3287" max="3287" width="19.296875" style="26" customWidth="1"/>
    <col min="3288" max="3303" width="8.69921875" style="26"/>
    <col min="3304" max="3305" width="12.09765625" style="26" customWidth="1"/>
    <col min="3306" max="3306" width="8.69921875" style="26"/>
    <col min="3307" max="3307" width="12.5" style="26" customWidth="1"/>
    <col min="3308" max="3308" width="9.59765625" style="26" customWidth="1"/>
    <col min="3309" max="3309" width="15.59765625" style="26" customWidth="1"/>
    <col min="3310" max="3311" width="11.3984375" style="26" customWidth="1"/>
    <col min="3312" max="3312" width="10.09765625" style="26" customWidth="1"/>
    <col min="3313" max="3313" width="16.5" style="26" customWidth="1"/>
    <col min="3314" max="3314" width="11.59765625" style="26" customWidth="1"/>
    <col min="3315" max="3316" width="11.8984375" style="26" customWidth="1"/>
    <col min="3317" max="3317" width="9.796875" style="26" customWidth="1"/>
    <col min="3318" max="3318" width="10" style="26" customWidth="1"/>
    <col min="3319" max="3319" width="13.69921875" style="26" customWidth="1"/>
    <col min="3320" max="3320" width="8.69921875" style="26"/>
    <col min="3321" max="3321" width="9.8984375" style="26" customWidth="1"/>
    <col min="3322" max="3322" width="9.69921875" style="26" customWidth="1"/>
    <col min="3323" max="3323" width="10.296875" style="26" customWidth="1"/>
    <col min="3324" max="3324" width="3.59765625" style="26" customWidth="1"/>
    <col min="3325" max="3515" width="8.69921875" style="26"/>
    <col min="3516" max="3516" width="5.796875" style="26" customWidth="1"/>
    <col min="3517" max="3517" width="12.5" style="26" customWidth="1"/>
    <col min="3518" max="3518" width="10.69921875" style="26" customWidth="1"/>
    <col min="3519" max="3521" width="8.69921875" style="26"/>
    <col min="3522" max="3522" width="13.8984375" style="26" customWidth="1"/>
    <col min="3523" max="3523" width="14.59765625" style="26" customWidth="1"/>
    <col min="3524" max="3535" width="8.69921875" style="26"/>
    <col min="3536" max="3536" width="10.796875" style="26" customWidth="1"/>
    <col min="3537" max="3537" width="11.5" style="26" customWidth="1"/>
    <col min="3538" max="3538" width="10" style="26" customWidth="1"/>
    <col min="3539" max="3539" width="10.796875" style="26" customWidth="1"/>
    <col min="3540" max="3540" width="8.69921875" style="26"/>
    <col min="3541" max="3541" width="13.796875" style="26" customWidth="1"/>
    <col min="3542" max="3542" width="13.69921875" style="26" customWidth="1"/>
    <col min="3543" max="3543" width="19.296875" style="26" customWidth="1"/>
    <col min="3544" max="3559" width="8.69921875" style="26"/>
    <col min="3560" max="3561" width="12.09765625" style="26" customWidth="1"/>
    <col min="3562" max="3562" width="8.69921875" style="26"/>
    <col min="3563" max="3563" width="12.5" style="26" customWidth="1"/>
    <col min="3564" max="3564" width="9.59765625" style="26" customWidth="1"/>
    <col min="3565" max="3565" width="15.59765625" style="26" customWidth="1"/>
    <col min="3566" max="3567" width="11.3984375" style="26" customWidth="1"/>
    <col min="3568" max="3568" width="10.09765625" style="26" customWidth="1"/>
    <col min="3569" max="3569" width="16.5" style="26" customWidth="1"/>
    <col min="3570" max="3570" width="11.59765625" style="26" customWidth="1"/>
    <col min="3571" max="3572" width="11.8984375" style="26" customWidth="1"/>
    <col min="3573" max="3573" width="9.796875" style="26" customWidth="1"/>
    <col min="3574" max="3574" width="10" style="26" customWidth="1"/>
    <col min="3575" max="3575" width="13.69921875" style="26" customWidth="1"/>
    <col min="3576" max="3576" width="8.69921875" style="26"/>
    <col min="3577" max="3577" width="9.8984375" style="26" customWidth="1"/>
    <col min="3578" max="3578" width="9.69921875" style="26" customWidth="1"/>
    <col min="3579" max="3579" width="10.296875" style="26" customWidth="1"/>
    <col min="3580" max="3580" width="3.59765625" style="26" customWidth="1"/>
    <col min="3581" max="3771" width="8.69921875" style="26"/>
    <col min="3772" max="3772" width="5.796875" style="26" customWidth="1"/>
    <col min="3773" max="3773" width="12.5" style="26" customWidth="1"/>
    <col min="3774" max="3774" width="10.69921875" style="26" customWidth="1"/>
    <col min="3775" max="3777" width="8.69921875" style="26"/>
    <col min="3778" max="3778" width="13.8984375" style="26" customWidth="1"/>
    <col min="3779" max="3779" width="14.59765625" style="26" customWidth="1"/>
    <col min="3780" max="3791" width="8.69921875" style="26"/>
    <col min="3792" max="3792" width="10.796875" style="26" customWidth="1"/>
    <col min="3793" max="3793" width="11.5" style="26" customWidth="1"/>
    <col min="3794" max="3794" width="10" style="26" customWidth="1"/>
    <col min="3795" max="3795" width="10.796875" style="26" customWidth="1"/>
    <col min="3796" max="3796" width="8.69921875" style="26"/>
    <col min="3797" max="3797" width="13.796875" style="26" customWidth="1"/>
    <col min="3798" max="3798" width="13.69921875" style="26" customWidth="1"/>
    <col min="3799" max="3799" width="19.296875" style="26" customWidth="1"/>
    <col min="3800" max="3815" width="8.69921875" style="26"/>
    <col min="3816" max="3817" width="12.09765625" style="26" customWidth="1"/>
    <col min="3818" max="3818" width="8.69921875" style="26"/>
    <col min="3819" max="3819" width="12.5" style="26" customWidth="1"/>
    <col min="3820" max="3820" width="9.59765625" style="26" customWidth="1"/>
    <col min="3821" max="3821" width="15.59765625" style="26" customWidth="1"/>
    <col min="3822" max="3823" width="11.3984375" style="26" customWidth="1"/>
    <col min="3824" max="3824" width="10.09765625" style="26" customWidth="1"/>
    <col min="3825" max="3825" width="16.5" style="26" customWidth="1"/>
    <col min="3826" max="3826" width="11.59765625" style="26" customWidth="1"/>
    <col min="3827" max="3828" width="11.8984375" style="26" customWidth="1"/>
    <col min="3829" max="3829" width="9.796875" style="26" customWidth="1"/>
    <col min="3830" max="3830" width="10" style="26" customWidth="1"/>
    <col min="3831" max="3831" width="13.69921875" style="26" customWidth="1"/>
    <col min="3832" max="3832" width="8.69921875" style="26"/>
    <col min="3833" max="3833" width="9.8984375" style="26" customWidth="1"/>
    <col min="3834" max="3834" width="9.69921875" style="26" customWidth="1"/>
    <col min="3835" max="3835" width="10.296875" style="26" customWidth="1"/>
    <col min="3836" max="3836" width="3.59765625" style="26" customWidth="1"/>
    <col min="3837" max="4027" width="8.69921875" style="26"/>
    <col min="4028" max="4028" width="5.796875" style="26" customWidth="1"/>
    <col min="4029" max="4029" width="12.5" style="26" customWidth="1"/>
    <col min="4030" max="4030" width="10.69921875" style="26" customWidth="1"/>
    <col min="4031" max="4033" width="8.69921875" style="26"/>
    <col min="4034" max="4034" width="13.8984375" style="26" customWidth="1"/>
    <col min="4035" max="4035" width="14.59765625" style="26" customWidth="1"/>
    <col min="4036" max="4047" width="8.69921875" style="26"/>
    <col min="4048" max="4048" width="10.796875" style="26" customWidth="1"/>
    <col min="4049" max="4049" width="11.5" style="26" customWidth="1"/>
    <col min="4050" max="4050" width="10" style="26" customWidth="1"/>
    <col min="4051" max="4051" width="10.796875" style="26" customWidth="1"/>
    <col min="4052" max="4052" width="8.69921875" style="26"/>
    <col min="4053" max="4053" width="13.796875" style="26" customWidth="1"/>
    <col min="4054" max="4054" width="13.69921875" style="26" customWidth="1"/>
    <col min="4055" max="4055" width="19.296875" style="26" customWidth="1"/>
    <col min="4056" max="4071" width="8.69921875" style="26"/>
    <col min="4072" max="4073" width="12.09765625" style="26" customWidth="1"/>
    <col min="4074" max="4074" width="8.69921875" style="26"/>
    <col min="4075" max="4075" width="12.5" style="26" customWidth="1"/>
    <col min="4076" max="4076" width="9.59765625" style="26" customWidth="1"/>
    <col min="4077" max="4077" width="15.59765625" style="26" customWidth="1"/>
    <col min="4078" max="4079" width="11.3984375" style="26" customWidth="1"/>
    <col min="4080" max="4080" width="10.09765625" style="26" customWidth="1"/>
    <col min="4081" max="4081" width="16.5" style="26" customWidth="1"/>
    <col min="4082" max="4082" width="11.59765625" style="26" customWidth="1"/>
    <col min="4083" max="4084" width="11.8984375" style="26" customWidth="1"/>
    <col min="4085" max="4085" width="9.796875" style="26" customWidth="1"/>
    <col min="4086" max="4086" width="10" style="26" customWidth="1"/>
    <col min="4087" max="4087" width="13.69921875" style="26" customWidth="1"/>
    <col min="4088" max="4088" width="8.69921875" style="26"/>
    <col min="4089" max="4089" width="9.8984375" style="26" customWidth="1"/>
    <col min="4090" max="4090" width="9.69921875" style="26" customWidth="1"/>
    <col min="4091" max="4091" width="10.296875" style="26" customWidth="1"/>
    <col min="4092" max="4092" width="3.59765625" style="26" customWidth="1"/>
    <col min="4093" max="4283" width="8.69921875" style="26"/>
    <col min="4284" max="4284" width="5.796875" style="26" customWidth="1"/>
    <col min="4285" max="4285" width="12.5" style="26" customWidth="1"/>
    <col min="4286" max="4286" width="10.69921875" style="26" customWidth="1"/>
    <col min="4287" max="4289" width="8.69921875" style="26"/>
    <col min="4290" max="4290" width="13.8984375" style="26" customWidth="1"/>
    <col min="4291" max="4291" width="14.59765625" style="26" customWidth="1"/>
    <col min="4292" max="4303" width="8.69921875" style="26"/>
    <col min="4304" max="4304" width="10.796875" style="26" customWidth="1"/>
    <col min="4305" max="4305" width="11.5" style="26" customWidth="1"/>
    <col min="4306" max="4306" width="10" style="26" customWidth="1"/>
    <col min="4307" max="4307" width="10.796875" style="26" customWidth="1"/>
    <col min="4308" max="4308" width="8.69921875" style="26"/>
    <col min="4309" max="4309" width="13.796875" style="26" customWidth="1"/>
    <col min="4310" max="4310" width="13.69921875" style="26" customWidth="1"/>
    <col min="4311" max="4311" width="19.296875" style="26" customWidth="1"/>
    <col min="4312" max="4327" width="8.69921875" style="26"/>
    <col min="4328" max="4329" width="12.09765625" style="26" customWidth="1"/>
    <col min="4330" max="4330" width="8.69921875" style="26"/>
    <col min="4331" max="4331" width="12.5" style="26" customWidth="1"/>
    <col min="4332" max="4332" width="9.59765625" style="26" customWidth="1"/>
    <col min="4333" max="4333" width="15.59765625" style="26" customWidth="1"/>
    <col min="4334" max="4335" width="11.3984375" style="26" customWidth="1"/>
    <col min="4336" max="4336" width="10.09765625" style="26" customWidth="1"/>
    <col min="4337" max="4337" width="16.5" style="26" customWidth="1"/>
    <col min="4338" max="4338" width="11.59765625" style="26" customWidth="1"/>
    <col min="4339" max="4340" width="11.8984375" style="26" customWidth="1"/>
    <col min="4341" max="4341" width="9.796875" style="26" customWidth="1"/>
    <col min="4342" max="4342" width="10" style="26" customWidth="1"/>
    <col min="4343" max="4343" width="13.69921875" style="26" customWidth="1"/>
    <col min="4344" max="4344" width="8.69921875" style="26"/>
    <col min="4345" max="4345" width="9.8984375" style="26" customWidth="1"/>
    <col min="4346" max="4346" width="9.69921875" style="26" customWidth="1"/>
    <col min="4347" max="4347" width="10.296875" style="26" customWidth="1"/>
    <col min="4348" max="4348" width="3.59765625" style="26" customWidth="1"/>
    <col min="4349" max="4539" width="8.69921875" style="26"/>
    <col min="4540" max="4540" width="5.796875" style="26" customWidth="1"/>
    <col min="4541" max="4541" width="12.5" style="26" customWidth="1"/>
    <col min="4542" max="4542" width="10.69921875" style="26" customWidth="1"/>
    <col min="4543" max="4545" width="8.69921875" style="26"/>
    <col min="4546" max="4546" width="13.8984375" style="26" customWidth="1"/>
    <col min="4547" max="4547" width="14.59765625" style="26" customWidth="1"/>
    <col min="4548" max="4559" width="8.69921875" style="26"/>
    <col min="4560" max="4560" width="10.796875" style="26" customWidth="1"/>
    <col min="4561" max="4561" width="11.5" style="26" customWidth="1"/>
    <col min="4562" max="4562" width="10" style="26" customWidth="1"/>
    <col min="4563" max="4563" width="10.796875" style="26" customWidth="1"/>
    <col min="4564" max="4564" width="8.69921875" style="26"/>
    <col min="4565" max="4565" width="13.796875" style="26" customWidth="1"/>
    <col min="4566" max="4566" width="13.69921875" style="26" customWidth="1"/>
    <col min="4567" max="4567" width="19.296875" style="26" customWidth="1"/>
    <col min="4568" max="4583" width="8.69921875" style="26"/>
    <col min="4584" max="4585" width="12.09765625" style="26" customWidth="1"/>
    <col min="4586" max="4586" width="8.69921875" style="26"/>
    <col min="4587" max="4587" width="12.5" style="26" customWidth="1"/>
    <col min="4588" max="4588" width="9.59765625" style="26" customWidth="1"/>
    <col min="4589" max="4589" width="15.59765625" style="26" customWidth="1"/>
    <col min="4590" max="4591" width="11.3984375" style="26" customWidth="1"/>
    <col min="4592" max="4592" width="10.09765625" style="26" customWidth="1"/>
    <col min="4593" max="4593" width="16.5" style="26" customWidth="1"/>
    <col min="4594" max="4594" width="11.59765625" style="26" customWidth="1"/>
    <col min="4595" max="4596" width="11.8984375" style="26" customWidth="1"/>
    <col min="4597" max="4597" width="9.796875" style="26" customWidth="1"/>
    <col min="4598" max="4598" width="10" style="26" customWidth="1"/>
    <col min="4599" max="4599" width="13.69921875" style="26" customWidth="1"/>
    <col min="4600" max="4600" width="8.69921875" style="26"/>
    <col min="4601" max="4601" width="9.8984375" style="26" customWidth="1"/>
    <col min="4602" max="4602" width="9.69921875" style="26" customWidth="1"/>
    <col min="4603" max="4603" width="10.296875" style="26" customWidth="1"/>
    <col min="4604" max="4604" width="3.59765625" style="26" customWidth="1"/>
    <col min="4605" max="4795" width="8.69921875" style="26"/>
    <col min="4796" max="4796" width="5.796875" style="26" customWidth="1"/>
    <col min="4797" max="4797" width="12.5" style="26" customWidth="1"/>
    <col min="4798" max="4798" width="10.69921875" style="26" customWidth="1"/>
    <col min="4799" max="4801" width="8.69921875" style="26"/>
    <col min="4802" max="4802" width="13.8984375" style="26" customWidth="1"/>
    <col min="4803" max="4803" width="14.59765625" style="26" customWidth="1"/>
    <col min="4804" max="4815" width="8.69921875" style="26"/>
    <col min="4816" max="4816" width="10.796875" style="26" customWidth="1"/>
    <col min="4817" max="4817" width="11.5" style="26" customWidth="1"/>
    <col min="4818" max="4818" width="10" style="26" customWidth="1"/>
    <col min="4819" max="4819" width="10.796875" style="26" customWidth="1"/>
    <col min="4820" max="4820" width="8.69921875" style="26"/>
    <col min="4821" max="4821" width="13.796875" style="26" customWidth="1"/>
    <col min="4822" max="4822" width="13.69921875" style="26" customWidth="1"/>
    <col min="4823" max="4823" width="19.296875" style="26" customWidth="1"/>
    <col min="4824" max="4839" width="8.69921875" style="26"/>
    <col min="4840" max="4841" width="12.09765625" style="26" customWidth="1"/>
    <col min="4842" max="4842" width="8.69921875" style="26"/>
    <col min="4843" max="4843" width="12.5" style="26" customWidth="1"/>
    <col min="4844" max="4844" width="9.59765625" style="26" customWidth="1"/>
    <col min="4845" max="4845" width="15.59765625" style="26" customWidth="1"/>
    <col min="4846" max="4847" width="11.3984375" style="26" customWidth="1"/>
    <col min="4848" max="4848" width="10.09765625" style="26" customWidth="1"/>
    <col min="4849" max="4849" width="16.5" style="26" customWidth="1"/>
    <col min="4850" max="4850" width="11.59765625" style="26" customWidth="1"/>
    <col min="4851" max="4852" width="11.8984375" style="26" customWidth="1"/>
    <col min="4853" max="4853" width="9.796875" style="26" customWidth="1"/>
    <col min="4854" max="4854" width="10" style="26" customWidth="1"/>
    <col min="4855" max="4855" width="13.69921875" style="26" customWidth="1"/>
    <col min="4856" max="4856" width="8.69921875" style="26"/>
    <col min="4857" max="4857" width="9.8984375" style="26" customWidth="1"/>
    <col min="4858" max="4858" width="9.69921875" style="26" customWidth="1"/>
    <col min="4859" max="4859" width="10.296875" style="26" customWidth="1"/>
    <col min="4860" max="4860" width="3.59765625" style="26" customWidth="1"/>
    <col min="4861" max="5051" width="8.69921875" style="26"/>
    <col min="5052" max="5052" width="5.796875" style="26" customWidth="1"/>
    <col min="5053" max="5053" width="12.5" style="26" customWidth="1"/>
    <col min="5054" max="5054" width="10.69921875" style="26" customWidth="1"/>
    <col min="5055" max="5057" width="8.69921875" style="26"/>
    <col min="5058" max="5058" width="13.8984375" style="26" customWidth="1"/>
    <col min="5059" max="5059" width="14.59765625" style="26" customWidth="1"/>
    <col min="5060" max="5071" width="8.69921875" style="26"/>
    <col min="5072" max="5072" width="10.796875" style="26" customWidth="1"/>
    <col min="5073" max="5073" width="11.5" style="26" customWidth="1"/>
    <col min="5074" max="5074" width="10" style="26" customWidth="1"/>
    <col min="5075" max="5075" width="10.796875" style="26" customWidth="1"/>
    <col min="5076" max="5076" width="8.69921875" style="26"/>
    <col min="5077" max="5077" width="13.796875" style="26" customWidth="1"/>
    <col min="5078" max="5078" width="13.69921875" style="26" customWidth="1"/>
    <col min="5079" max="5079" width="19.296875" style="26" customWidth="1"/>
    <col min="5080" max="5095" width="8.69921875" style="26"/>
    <col min="5096" max="5097" width="12.09765625" style="26" customWidth="1"/>
    <col min="5098" max="5098" width="8.69921875" style="26"/>
    <col min="5099" max="5099" width="12.5" style="26" customWidth="1"/>
    <col min="5100" max="5100" width="9.59765625" style="26" customWidth="1"/>
    <col min="5101" max="5101" width="15.59765625" style="26" customWidth="1"/>
    <col min="5102" max="5103" width="11.3984375" style="26" customWidth="1"/>
    <col min="5104" max="5104" width="10.09765625" style="26" customWidth="1"/>
    <col min="5105" max="5105" width="16.5" style="26" customWidth="1"/>
    <col min="5106" max="5106" width="11.59765625" style="26" customWidth="1"/>
    <col min="5107" max="5108" width="11.8984375" style="26" customWidth="1"/>
    <col min="5109" max="5109" width="9.796875" style="26" customWidth="1"/>
    <col min="5110" max="5110" width="10" style="26" customWidth="1"/>
    <col min="5111" max="5111" width="13.69921875" style="26" customWidth="1"/>
    <col min="5112" max="5112" width="8.69921875" style="26"/>
    <col min="5113" max="5113" width="9.8984375" style="26" customWidth="1"/>
    <col min="5114" max="5114" width="9.69921875" style="26" customWidth="1"/>
    <col min="5115" max="5115" width="10.296875" style="26" customWidth="1"/>
    <col min="5116" max="5116" width="3.59765625" style="26" customWidth="1"/>
    <col min="5117" max="5307" width="8.69921875" style="26"/>
    <col min="5308" max="5308" width="5.796875" style="26" customWidth="1"/>
    <col min="5309" max="5309" width="12.5" style="26" customWidth="1"/>
    <col min="5310" max="5310" width="10.69921875" style="26" customWidth="1"/>
    <col min="5311" max="5313" width="8.69921875" style="26"/>
    <col min="5314" max="5314" width="13.8984375" style="26" customWidth="1"/>
    <col min="5315" max="5315" width="14.59765625" style="26" customWidth="1"/>
    <col min="5316" max="5327" width="8.69921875" style="26"/>
    <col min="5328" max="5328" width="10.796875" style="26" customWidth="1"/>
    <col min="5329" max="5329" width="11.5" style="26" customWidth="1"/>
    <col min="5330" max="5330" width="10" style="26" customWidth="1"/>
    <col min="5331" max="5331" width="10.796875" style="26" customWidth="1"/>
    <col min="5332" max="5332" width="8.69921875" style="26"/>
    <col min="5333" max="5333" width="13.796875" style="26" customWidth="1"/>
    <col min="5334" max="5334" width="13.69921875" style="26" customWidth="1"/>
    <col min="5335" max="5335" width="19.296875" style="26" customWidth="1"/>
    <col min="5336" max="5351" width="8.69921875" style="26"/>
    <col min="5352" max="5353" width="12.09765625" style="26" customWidth="1"/>
    <col min="5354" max="5354" width="8.69921875" style="26"/>
    <col min="5355" max="5355" width="12.5" style="26" customWidth="1"/>
    <col min="5356" max="5356" width="9.59765625" style="26" customWidth="1"/>
    <col min="5357" max="5357" width="15.59765625" style="26" customWidth="1"/>
    <col min="5358" max="5359" width="11.3984375" style="26" customWidth="1"/>
    <col min="5360" max="5360" width="10.09765625" style="26" customWidth="1"/>
    <col min="5361" max="5361" width="16.5" style="26" customWidth="1"/>
    <col min="5362" max="5362" width="11.59765625" style="26" customWidth="1"/>
    <col min="5363" max="5364" width="11.8984375" style="26" customWidth="1"/>
    <col min="5365" max="5365" width="9.796875" style="26" customWidth="1"/>
    <col min="5366" max="5366" width="10" style="26" customWidth="1"/>
    <col min="5367" max="5367" width="13.69921875" style="26" customWidth="1"/>
    <col min="5368" max="5368" width="8.69921875" style="26"/>
    <col min="5369" max="5369" width="9.8984375" style="26" customWidth="1"/>
    <col min="5370" max="5370" width="9.69921875" style="26" customWidth="1"/>
    <col min="5371" max="5371" width="10.296875" style="26" customWidth="1"/>
    <col min="5372" max="5372" width="3.59765625" style="26" customWidth="1"/>
    <col min="5373" max="5563" width="8.69921875" style="26"/>
    <col min="5564" max="5564" width="5.796875" style="26" customWidth="1"/>
    <col min="5565" max="5565" width="12.5" style="26" customWidth="1"/>
    <col min="5566" max="5566" width="10.69921875" style="26" customWidth="1"/>
    <col min="5567" max="5569" width="8.69921875" style="26"/>
    <col min="5570" max="5570" width="13.8984375" style="26" customWidth="1"/>
    <col min="5571" max="5571" width="14.59765625" style="26" customWidth="1"/>
    <col min="5572" max="5583" width="8.69921875" style="26"/>
    <col min="5584" max="5584" width="10.796875" style="26" customWidth="1"/>
    <col min="5585" max="5585" width="11.5" style="26" customWidth="1"/>
    <col min="5586" max="5586" width="10" style="26" customWidth="1"/>
    <col min="5587" max="5587" width="10.796875" style="26" customWidth="1"/>
    <col min="5588" max="5588" width="8.69921875" style="26"/>
    <col min="5589" max="5589" width="13.796875" style="26" customWidth="1"/>
    <col min="5590" max="5590" width="13.69921875" style="26" customWidth="1"/>
    <col min="5591" max="5591" width="19.296875" style="26" customWidth="1"/>
    <col min="5592" max="5607" width="8.69921875" style="26"/>
    <col min="5608" max="5609" width="12.09765625" style="26" customWidth="1"/>
    <col min="5610" max="5610" width="8.69921875" style="26"/>
    <col min="5611" max="5611" width="12.5" style="26" customWidth="1"/>
    <col min="5612" max="5612" width="9.59765625" style="26" customWidth="1"/>
    <col min="5613" max="5613" width="15.59765625" style="26" customWidth="1"/>
    <col min="5614" max="5615" width="11.3984375" style="26" customWidth="1"/>
    <col min="5616" max="5616" width="10.09765625" style="26" customWidth="1"/>
    <col min="5617" max="5617" width="16.5" style="26" customWidth="1"/>
    <col min="5618" max="5618" width="11.59765625" style="26" customWidth="1"/>
    <col min="5619" max="5620" width="11.8984375" style="26" customWidth="1"/>
    <col min="5621" max="5621" width="9.796875" style="26" customWidth="1"/>
    <col min="5622" max="5622" width="10" style="26" customWidth="1"/>
    <col min="5623" max="5623" width="13.69921875" style="26" customWidth="1"/>
    <col min="5624" max="5624" width="8.69921875" style="26"/>
    <col min="5625" max="5625" width="9.8984375" style="26" customWidth="1"/>
    <col min="5626" max="5626" width="9.69921875" style="26" customWidth="1"/>
    <col min="5627" max="5627" width="10.296875" style="26" customWidth="1"/>
    <col min="5628" max="5628" width="3.59765625" style="26" customWidth="1"/>
    <col min="5629" max="5819" width="8.69921875" style="26"/>
    <col min="5820" max="5820" width="5.796875" style="26" customWidth="1"/>
    <col min="5821" max="5821" width="12.5" style="26" customWidth="1"/>
    <col min="5822" max="5822" width="10.69921875" style="26" customWidth="1"/>
    <col min="5823" max="5825" width="8.69921875" style="26"/>
    <col min="5826" max="5826" width="13.8984375" style="26" customWidth="1"/>
    <col min="5827" max="5827" width="14.59765625" style="26" customWidth="1"/>
    <col min="5828" max="5839" width="8.69921875" style="26"/>
    <col min="5840" max="5840" width="10.796875" style="26" customWidth="1"/>
    <col min="5841" max="5841" width="11.5" style="26" customWidth="1"/>
    <col min="5842" max="5842" width="10" style="26" customWidth="1"/>
    <col min="5843" max="5843" width="10.796875" style="26" customWidth="1"/>
    <col min="5844" max="5844" width="8.69921875" style="26"/>
    <col min="5845" max="5845" width="13.796875" style="26" customWidth="1"/>
    <col min="5846" max="5846" width="13.69921875" style="26" customWidth="1"/>
    <col min="5847" max="5847" width="19.296875" style="26" customWidth="1"/>
    <col min="5848" max="5863" width="8.69921875" style="26"/>
    <col min="5864" max="5865" width="12.09765625" style="26" customWidth="1"/>
    <col min="5866" max="5866" width="8.69921875" style="26"/>
    <col min="5867" max="5867" width="12.5" style="26" customWidth="1"/>
    <col min="5868" max="5868" width="9.59765625" style="26" customWidth="1"/>
    <col min="5869" max="5869" width="15.59765625" style="26" customWidth="1"/>
    <col min="5870" max="5871" width="11.3984375" style="26" customWidth="1"/>
    <col min="5872" max="5872" width="10.09765625" style="26" customWidth="1"/>
    <col min="5873" max="5873" width="16.5" style="26" customWidth="1"/>
    <col min="5874" max="5874" width="11.59765625" style="26" customWidth="1"/>
    <col min="5875" max="5876" width="11.8984375" style="26" customWidth="1"/>
    <col min="5877" max="5877" width="9.796875" style="26" customWidth="1"/>
    <col min="5878" max="5878" width="10" style="26" customWidth="1"/>
    <col min="5879" max="5879" width="13.69921875" style="26" customWidth="1"/>
    <col min="5880" max="5880" width="8.69921875" style="26"/>
    <col min="5881" max="5881" width="9.8984375" style="26" customWidth="1"/>
    <col min="5882" max="5882" width="9.69921875" style="26" customWidth="1"/>
    <col min="5883" max="5883" width="10.296875" style="26" customWidth="1"/>
    <col min="5884" max="5884" width="3.59765625" style="26" customWidth="1"/>
    <col min="5885" max="6075" width="8.69921875" style="26"/>
    <col min="6076" max="6076" width="5.796875" style="26" customWidth="1"/>
    <col min="6077" max="6077" width="12.5" style="26" customWidth="1"/>
    <col min="6078" max="6078" width="10.69921875" style="26" customWidth="1"/>
    <col min="6079" max="6081" width="8.69921875" style="26"/>
    <col min="6082" max="6082" width="13.8984375" style="26" customWidth="1"/>
    <col min="6083" max="6083" width="14.59765625" style="26" customWidth="1"/>
    <col min="6084" max="6095" width="8.69921875" style="26"/>
    <col min="6096" max="6096" width="10.796875" style="26" customWidth="1"/>
    <col min="6097" max="6097" width="11.5" style="26" customWidth="1"/>
    <col min="6098" max="6098" width="10" style="26" customWidth="1"/>
    <col min="6099" max="6099" width="10.796875" style="26" customWidth="1"/>
    <col min="6100" max="6100" width="8.69921875" style="26"/>
    <col min="6101" max="6101" width="13.796875" style="26" customWidth="1"/>
    <col min="6102" max="6102" width="13.69921875" style="26" customWidth="1"/>
    <col min="6103" max="6103" width="19.296875" style="26" customWidth="1"/>
    <col min="6104" max="6119" width="8.69921875" style="26"/>
    <col min="6120" max="6121" width="12.09765625" style="26" customWidth="1"/>
    <col min="6122" max="6122" width="8.69921875" style="26"/>
    <col min="6123" max="6123" width="12.5" style="26" customWidth="1"/>
    <col min="6124" max="6124" width="9.59765625" style="26" customWidth="1"/>
    <col min="6125" max="6125" width="15.59765625" style="26" customWidth="1"/>
    <col min="6126" max="6127" width="11.3984375" style="26" customWidth="1"/>
    <col min="6128" max="6128" width="10.09765625" style="26" customWidth="1"/>
    <col min="6129" max="6129" width="16.5" style="26" customWidth="1"/>
    <col min="6130" max="6130" width="11.59765625" style="26" customWidth="1"/>
    <col min="6131" max="6132" width="11.8984375" style="26" customWidth="1"/>
    <col min="6133" max="6133" width="9.796875" style="26" customWidth="1"/>
    <col min="6134" max="6134" width="10" style="26" customWidth="1"/>
    <col min="6135" max="6135" width="13.69921875" style="26" customWidth="1"/>
    <col min="6136" max="6136" width="8.69921875" style="26"/>
    <col min="6137" max="6137" width="9.8984375" style="26" customWidth="1"/>
    <col min="6138" max="6138" width="9.69921875" style="26" customWidth="1"/>
    <col min="6139" max="6139" width="10.296875" style="26" customWidth="1"/>
    <col min="6140" max="6140" width="3.59765625" style="26" customWidth="1"/>
    <col min="6141" max="6331" width="8.69921875" style="26"/>
    <col min="6332" max="6332" width="5.796875" style="26" customWidth="1"/>
    <col min="6333" max="6333" width="12.5" style="26" customWidth="1"/>
    <col min="6334" max="6334" width="10.69921875" style="26" customWidth="1"/>
    <col min="6335" max="6337" width="8.69921875" style="26"/>
    <col min="6338" max="6338" width="13.8984375" style="26" customWidth="1"/>
    <col min="6339" max="6339" width="14.59765625" style="26" customWidth="1"/>
    <col min="6340" max="6351" width="8.69921875" style="26"/>
    <col min="6352" max="6352" width="10.796875" style="26" customWidth="1"/>
    <col min="6353" max="6353" width="11.5" style="26" customWidth="1"/>
    <col min="6354" max="6354" width="10" style="26" customWidth="1"/>
    <col min="6355" max="6355" width="10.796875" style="26" customWidth="1"/>
    <col min="6356" max="6356" width="8.69921875" style="26"/>
    <col min="6357" max="6357" width="13.796875" style="26" customWidth="1"/>
    <col min="6358" max="6358" width="13.69921875" style="26" customWidth="1"/>
    <col min="6359" max="6359" width="19.296875" style="26" customWidth="1"/>
    <col min="6360" max="6375" width="8.69921875" style="26"/>
    <col min="6376" max="6377" width="12.09765625" style="26" customWidth="1"/>
    <col min="6378" max="6378" width="8.69921875" style="26"/>
    <col min="6379" max="6379" width="12.5" style="26" customWidth="1"/>
    <col min="6380" max="6380" width="9.59765625" style="26" customWidth="1"/>
    <col min="6381" max="6381" width="15.59765625" style="26" customWidth="1"/>
    <col min="6382" max="6383" width="11.3984375" style="26" customWidth="1"/>
    <col min="6384" max="6384" width="10.09765625" style="26" customWidth="1"/>
    <col min="6385" max="6385" width="16.5" style="26" customWidth="1"/>
    <col min="6386" max="6386" width="11.59765625" style="26" customWidth="1"/>
    <col min="6387" max="6388" width="11.8984375" style="26" customWidth="1"/>
    <col min="6389" max="6389" width="9.796875" style="26" customWidth="1"/>
    <col min="6390" max="6390" width="10" style="26" customWidth="1"/>
    <col min="6391" max="6391" width="13.69921875" style="26" customWidth="1"/>
    <col min="6392" max="6392" width="8.69921875" style="26"/>
    <col min="6393" max="6393" width="9.8984375" style="26" customWidth="1"/>
    <col min="6394" max="6394" width="9.69921875" style="26" customWidth="1"/>
    <col min="6395" max="6395" width="10.296875" style="26" customWidth="1"/>
    <col min="6396" max="6396" width="3.59765625" style="26" customWidth="1"/>
    <col min="6397" max="6587" width="8.69921875" style="26"/>
    <col min="6588" max="6588" width="5.796875" style="26" customWidth="1"/>
    <col min="6589" max="6589" width="12.5" style="26" customWidth="1"/>
    <col min="6590" max="6590" width="10.69921875" style="26" customWidth="1"/>
    <col min="6591" max="6593" width="8.69921875" style="26"/>
    <col min="6594" max="6594" width="13.8984375" style="26" customWidth="1"/>
    <col min="6595" max="6595" width="14.59765625" style="26" customWidth="1"/>
    <col min="6596" max="6607" width="8.69921875" style="26"/>
    <col min="6608" max="6608" width="10.796875" style="26" customWidth="1"/>
    <col min="6609" max="6609" width="11.5" style="26" customWidth="1"/>
    <col min="6610" max="6610" width="10" style="26" customWidth="1"/>
    <col min="6611" max="6611" width="10.796875" style="26" customWidth="1"/>
    <col min="6612" max="6612" width="8.69921875" style="26"/>
    <col min="6613" max="6613" width="13.796875" style="26" customWidth="1"/>
    <col min="6614" max="6614" width="13.69921875" style="26" customWidth="1"/>
    <col min="6615" max="6615" width="19.296875" style="26" customWidth="1"/>
    <col min="6616" max="6631" width="8.69921875" style="26"/>
    <col min="6632" max="6633" width="12.09765625" style="26" customWidth="1"/>
    <col min="6634" max="6634" width="8.69921875" style="26"/>
    <col min="6635" max="6635" width="12.5" style="26" customWidth="1"/>
    <col min="6636" max="6636" width="9.59765625" style="26" customWidth="1"/>
    <col min="6637" max="6637" width="15.59765625" style="26" customWidth="1"/>
    <col min="6638" max="6639" width="11.3984375" style="26" customWidth="1"/>
    <col min="6640" max="6640" width="10.09765625" style="26" customWidth="1"/>
    <col min="6641" max="6641" width="16.5" style="26" customWidth="1"/>
    <col min="6642" max="6642" width="11.59765625" style="26" customWidth="1"/>
    <col min="6643" max="6644" width="11.8984375" style="26" customWidth="1"/>
    <col min="6645" max="6645" width="9.796875" style="26" customWidth="1"/>
    <col min="6646" max="6646" width="10" style="26" customWidth="1"/>
    <col min="6647" max="6647" width="13.69921875" style="26" customWidth="1"/>
    <col min="6648" max="6648" width="8.69921875" style="26"/>
    <col min="6649" max="6649" width="9.8984375" style="26" customWidth="1"/>
    <col min="6650" max="6650" width="9.69921875" style="26" customWidth="1"/>
    <col min="6651" max="6651" width="10.296875" style="26" customWidth="1"/>
    <col min="6652" max="6652" width="3.59765625" style="26" customWidth="1"/>
    <col min="6653" max="6843" width="8.69921875" style="26"/>
    <col min="6844" max="6844" width="5.796875" style="26" customWidth="1"/>
    <col min="6845" max="6845" width="12.5" style="26" customWidth="1"/>
    <col min="6846" max="6846" width="10.69921875" style="26" customWidth="1"/>
    <col min="6847" max="6849" width="8.69921875" style="26"/>
    <col min="6850" max="6850" width="13.8984375" style="26" customWidth="1"/>
    <col min="6851" max="6851" width="14.59765625" style="26" customWidth="1"/>
    <col min="6852" max="6863" width="8.69921875" style="26"/>
    <col min="6864" max="6864" width="10.796875" style="26" customWidth="1"/>
    <col min="6865" max="6865" width="11.5" style="26" customWidth="1"/>
    <col min="6866" max="6866" width="10" style="26" customWidth="1"/>
    <col min="6867" max="6867" width="10.796875" style="26" customWidth="1"/>
    <col min="6868" max="6868" width="8.69921875" style="26"/>
    <col min="6869" max="6869" width="13.796875" style="26" customWidth="1"/>
    <col min="6870" max="6870" width="13.69921875" style="26" customWidth="1"/>
    <col min="6871" max="6871" width="19.296875" style="26" customWidth="1"/>
    <col min="6872" max="6887" width="8.69921875" style="26"/>
    <col min="6888" max="6889" width="12.09765625" style="26" customWidth="1"/>
    <col min="6890" max="6890" width="8.69921875" style="26"/>
    <col min="6891" max="6891" width="12.5" style="26" customWidth="1"/>
    <col min="6892" max="6892" width="9.59765625" style="26" customWidth="1"/>
    <col min="6893" max="6893" width="15.59765625" style="26" customWidth="1"/>
    <col min="6894" max="6895" width="11.3984375" style="26" customWidth="1"/>
    <col min="6896" max="6896" width="10.09765625" style="26" customWidth="1"/>
    <col min="6897" max="6897" width="16.5" style="26" customWidth="1"/>
    <col min="6898" max="6898" width="11.59765625" style="26" customWidth="1"/>
    <col min="6899" max="6900" width="11.8984375" style="26" customWidth="1"/>
    <col min="6901" max="6901" width="9.796875" style="26" customWidth="1"/>
    <col min="6902" max="6902" width="10" style="26" customWidth="1"/>
    <col min="6903" max="6903" width="13.69921875" style="26" customWidth="1"/>
    <col min="6904" max="6904" width="8.69921875" style="26"/>
    <col min="6905" max="6905" width="9.8984375" style="26" customWidth="1"/>
    <col min="6906" max="6906" width="9.69921875" style="26" customWidth="1"/>
    <col min="6907" max="6907" width="10.296875" style="26" customWidth="1"/>
    <col min="6908" max="6908" width="3.59765625" style="26" customWidth="1"/>
    <col min="6909" max="7099" width="8.69921875" style="26"/>
    <col min="7100" max="7100" width="5.796875" style="26" customWidth="1"/>
    <col min="7101" max="7101" width="12.5" style="26" customWidth="1"/>
    <col min="7102" max="7102" width="10.69921875" style="26" customWidth="1"/>
    <col min="7103" max="7105" width="8.69921875" style="26"/>
    <col min="7106" max="7106" width="13.8984375" style="26" customWidth="1"/>
    <col min="7107" max="7107" width="14.59765625" style="26" customWidth="1"/>
    <col min="7108" max="7119" width="8.69921875" style="26"/>
    <col min="7120" max="7120" width="10.796875" style="26" customWidth="1"/>
    <col min="7121" max="7121" width="11.5" style="26" customWidth="1"/>
    <col min="7122" max="7122" width="10" style="26" customWidth="1"/>
    <col min="7123" max="7123" width="10.796875" style="26" customWidth="1"/>
    <col min="7124" max="7124" width="8.69921875" style="26"/>
    <col min="7125" max="7125" width="13.796875" style="26" customWidth="1"/>
    <col min="7126" max="7126" width="13.69921875" style="26" customWidth="1"/>
    <col min="7127" max="7127" width="19.296875" style="26" customWidth="1"/>
    <col min="7128" max="7143" width="8.69921875" style="26"/>
    <col min="7144" max="7145" width="12.09765625" style="26" customWidth="1"/>
    <col min="7146" max="7146" width="8.69921875" style="26"/>
    <col min="7147" max="7147" width="12.5" style="26" customWidth="1"/>
    <col min="7148" max="7148" width="9.59765625" style="26" customWidth="1"/>
    <col min="7149" max="7149" width="15.59765625" style="26" customWidth="1"/>
    <col min="7150" max="7151" width="11.3984375" style="26" customWidth="1"/>
    <col min="7152" max="7152" width="10.09765625" style="26" customWidth="1"/>
    <col min="7153" max="7153" width="16.5" style="26" customWidth="1"/>
    <col min="7154" max="7154" width="11.59765625" style="26" customWidth="1"/>
    <col min="7155" max="7156" width="11.8984375" style="26" customWidth="1"/>
    <col min="7157" max="7157" width="9.796875" style="26" customWidth="1"/>
    <col min="7158" max="7158" width="10" style="26" customWidth="1"/>
    <col min="7159" max="7159" width="13.69921875" style="26" customWidth="1"/>
    <col min="7160" max="7160" width="8.69921875" style="26"/>
    <col min="7161" max="7161" width="9.8984375" style="26" customWidth="1"/>
    <col min="7162" max="7162" width="9.69921875" style="26" customWidth="1"/>
    <col min="7163" max="7163" width="10.296875" style="26" customWidth="1"/>
    <col min="7164" max="7164" width="3.59765625" style="26" customWidth="1"/>
    <col min="7165" max="7355" width="8.69921875" style="26"/>
    <col min="7356" max="7356" width="5.796875" style="26" customWidth="1"/>
    <col min="7357" max="7357" width="12.5" style="26" customWidth="1"/>
    <col min="7358" max="7358" width="10.69921875" style="26" customWidth="1"/>
    <col min="7359" max="7361" width="8.69921875" style="26"/>
    <col min="7362" max="7362" width="13.8984375" style="26" customWidth="1"/>
    <col min="7363" max="7363" width="14.59765625" style="26" customWidth="1"/>
    <col min="7364" max="7375" width="8.69921875" style="26"/>
    <col min="7376" max="7376" width="10.796875" style="26" customWidth="1"/>
    <col min="7377" max="7377" width="11.5" style="26" customWidth="1"/>
    <col min="7378" max="7378" width="10" style="26" customWidth="1"/>
    <col min="7379" max="7379" width="10.796875" style="26" customWidth="1"/>
    <col min="7380" max="7380" width="8.69921875" style="26"/>
    <col min="7381" max="7381" width="13.796875" style="26" customWidth="1"/>
    <col min="7382" max="7382" width="13.69921875" style="26" customWidth="1"/>
    <col min="7383" max="7383" width="19.296875" style="26" customWidth="1"/>
    <col min="7384" max="7399" width="8.69921875" style="26"/>
    <col min="7400" max="7401" width="12.09765625" style="26" customWidth="1"/>
    <col min="7402" max="7402" width="8.69921875" style="26"/>
    <col min="7403" max="7403" width="12.5" style="26" customWidth="1"/>
    <col min="7404" max="7404" width="9.59765625" style="26" customWidth="1"/>
    <col min="7405" max="7405" width="15.59765625" style="26" customWidth="1"/>
    <col min="7406" max="7407" width="11.3984375" style="26" customWidth="1"/>
    <col min="7408" max="7408" width="10.09765625" style="26" customWidth="1"/>
    <col min="7409" max="7409" width="16.5" style="26" customWidth="1"/>
    <col min="7410" max="7410" width="11.59765625" style="26" customWidth="1"/>
    <col min="7411" max="7412" width="11.8984375" style="26" customWidth="1"/>
    <col min="7413" max="7413" width="9.796875" style="26" customWidth="1"/>
    <col min="7414" max="7414" width="10" style="26" customWidth="1"/>
    <col min="7415" max="7415" width="13.69921875" style="26" customWidth="1"/>
    <col min="7416" max="7416" width="8.69921875" style="26"/>
    <col min="7417" max="7417" width="9.8984375" style="26" customWidth="1"/>
    <col min="7418" max="7418" width="9.69921875" style="26" customWidth="1"/>
    <col min="7419" max="7419" width="10.296875" style="26" customWidth="1"/>
    <col min="7420" max="7420" width="3.59765625" style="26" customWidth="1"/>
    <col min="7421" max="7611" width="8.69921875" style="26"/>
    <col min="7612" max="7612" width="5.796875" style="26" customWidth="1"/>
    <col min="7613" max="7613" width="12.5" style="26" customWidth="1"/>
    <col min="7614" max="7614" width="10.69921875" style="26" customWidth="1"/>
    <col min="7615" max="7617" width="8.69921875" style="26"/>
    <col min="7618" max="7618" width="13.8984375" style="26" customWidth="1"/>
    <col min="7619" max="7619" width="14.59765625" style="26" customWidth="1"/>
    <col min="7620" max="7631" width="8.69921875" style="26"/>
    <col min="7632" max="7632" width="10.796875" style="26" customWidth="1"/>
    <col min="7633" max="7633" width="11.5" style="26" customWidth="1"/>
    <col min="7634" max="7634" width="10" style="26" customWidth="1"/>
    <col min="7635" max="7635" width="10.796875" style="26" customWidth="1"/>
    <col min="7636" max="7636" width="8.69921875" style="26"/>
    <col min="7637" max="7637" width="13.796875" style="26" customWidth="1"/>
    <col min="7638" max="7638" width="13.69921875" style="26" customWidth="1"/>
    <col min="7639" max="7639" width="19.296875" style="26" customWidth="1"/>
    <col min="7640" max="7655" width="8.69921875" style="26"/>
    <col min="7656" max="7657" width="12.09765625" style="26" customWidth="1"/>
    <col min="7658" max="7658" width="8.69921875" style="26"/>
    <col min="7659" max="7659" width="12.5" style="26" customWidth="1"/>
    <col min="7660" max="7660" width="9.59765625" style="26" customWidth="1"/>
    <col min="7661" max="7661" width="15.59765625" style="26" customWidth="1"/>
    <col min="7662" max="7663" width="11.3984375" style="26" customWidth="1"/>
    <col min="7664" max="7664" width="10.09765625" style="26" customWidth="1"/>
    <col min="7665" max="7665" width="16.5" style="26" customWidth="1"/>
    <col min="7666" max="7666" width="11.59765625" style="26" customWidth="1"/>
    <col min="7667" max="7668" width="11.8984375" style="26" customWidth="1"/>
    <col min="7669" max="7669" width="9.796875" style="26" customWidth="1"/>
    <col min="7670" max="7670" width="10" style="26" customWidth="1"/>
    <col min="7671" max="7671" width="13.69921875" style="26" customWidth="1"/>
    <col min="7672" max="7672" width="8.69921875" style="26"/>
    <col min="7673" max="7673" width="9.8984375" style="26" customWidth="1"/>
    <col min="7674" max="7674" width="9.69921875" style="26" customWidth="1"/>
    <col min="7675" max="7675" width="10.296875" style="26" customWidth="1"/>
    <col min="7676" max="7676" width="3.59765625" style="26" customWidth="1"/>
    <col min="7677" max="7867" width="8.69921875" style="26"/>
    <col min="7868" max="7868" width="5.796875" style="26" customWidth="1"/>
    <col min="7869" max="7869" width="12.5" style="26" customWidth="1"/>
    <col min="7870" max="7870" width="10.69921875" style="26" customWidth="1"/>
    <col min="7871" max="7873" width="8.69921875" style="26"/>
    <col min="7874" max="7874" width="13.8984375" style="26" customWidth="1"/>
    <col min="7875" max="7875" width="14.59765625" style="26" customWidth="1"/>
    <col min="7876" max="7887" width="8.69921875" style="26"/>
    <col min="7888" max="7888" width="10.796875" style="26" customWidth="1"/>
    <col min="7889" max="7889" width="11.5" style="26" customWidth="1"/>
    <col min="7890" max="7890" width="10" style="26" customWidth="1"/>
    <col min="7891" max="7891" width="10.796875" style="26" customWidth="1"/>
    <col min="7892" max="7892" width="8.69921875" style="26"/>
    <col min="7893" max="7893" width="13.796875" style="26" customWidth="1"/>
    <col min="7894" max="7894" width="13.69921875" style="26" customWidth="1"/>
    <col min="7895" max="7895" width="19.296875" style="26" customWidth="1"/>
    <col min="7896" max="7911" width="8.69921875" style="26"/>
    <col min="7912" max="7913" width="12.09765625" style="26" customWidth="1"/>
    <col min="7914" max="7914" width="8.69921875" style="26"/>
    <col min="7915" max="7915" width="12.5" style="26" customWidth="1"/>
    <col min="7916" max="7916" width="9.59765625" style="26" customWidth="1"/>
    <col min="7917" max="7917" width="15.59765625" style="26" customWidth="1"/>
    <col min="7918" max="7919" width="11.3984375" style="26" customWidth="1"/>
    <col min="7920" max="7920" width="10.09765625" style="26" customWidth="1"/>
    <col min="7921" max="7921" width="16.5" style="26" customWidth="1"/>
    <col min="7922" max="7922" width="11.59765625" style="26" customWidth="1"/>
    <col min="7923" max="7924" width="11.8984375" style="26" customWidth="1"/>
    <col min="7925" max="7925" width="9.796875" style="26" customWidth="1"/>
    <col min="7926" max="7926" width="10" style="26" customWidth="1"/>
    <col min="7927" max="7927" width="13.69921875" style="26" customWidth="1"/>
    <col min="7928" max="7928" width="8.69921875" style="26"/>
    <col min="7929" max="7929" width="9.8984375" style="26" customWidth="1"/>
    <col min="7930" max="7930" width="9.69921875" style="26" customWidth="1"/>
    <col min="7931" max="7931" width="10.296875" style="26" customWidth="1"/>
    <col min="7932" max="7932" width="3.59765625" style="26" customWidth="1"/>
    <col min="7933" max="8123" width="8.69921875" style="26"/>
    <col min="8124" max="8124" width="5.796875" style="26" customWidth="1"/>
    <col min="8125" max="8125" width="12.5" style="26" customWidth="1"/>
    <col min="8126" max="8126" width="10.69921875" style="26" customWidth="1"/>
    <col min="8127" max="8129" width="8.69921875" style="26"/>
    <col min="8130" max="8130" width="13.8984375" style="26" customWidth="1"/>
    <col min="8131" max="8131" width="14.59765625" style="26" customWidth="1"/>
    <col min="8132" max="8143" width="8.69921875" style="26"/>
    <col min="8144" max="8144" width="10.796875" style="26" customWidth="1"/>
    <col min="8145" max="8145" width="11.5" style="26" customWidth="1"/>
    <col min="8146" max="8146" width="10" style="26" customWidth="1"/>
    <col min="8147" max="8147" width="10.796875" style="26" customWidth="1"/>
    <col min="8148" max="8148" width="8.69921875" style="26"/>
    <col min="8149" max="8149" width="13.796875" style="26" customWidth="1"/>
    <col min="8150" max="8150" width="13.69921875" style="26" customWidth="1"/>
    <col min="8151" max="8151" width="19.296875" style="26" customWidth="1"/>
    <col min="8152" max="8167" width="8.69921875" style="26"/>
    <col min="8168" max="8169" width="12.09765625" style="26" customWidth="1"/>
    <col min="8170" max="8170" width="8.69921875" style="26"/>
    <col min="8171" max="8171" width="12.5" style="26" customWidth="1"/>
    <col min="8172" max="8172" width="9.59765625" style="26" customWidth="1"/>
    <col min="8173" max="8173" width="15.59765625" style="26" customWidth="1"/>
    <col min="8174" max="8175" width="11.3984375" style="26" customWidth="1"/>
    <col min="8176" max="8176" width="10.09765625" style="26" customWidth="1"/>
    <col min="8177" max="8177" width="16.5" style="26" customWidth="1"/>
    <col min="8178" max="8178" width="11.59765625" style="26" customWidth="1"/>
    <col min="8179" max="8180" width="11.8984375" style="26" customWidth="1"/>
    <col min="8181" max="8181" width="9.796875" style="26" customWidth="1"/>
    <col min="8182" max="8182" width="10" style="26" customWidth="1"/>
    <col min="8183" max="8183" width="13.69921875" style="26" customWidth="1"/>
    <col min="8184" max="8184" width="8.69921875" style="26"/>
    <col min="8185" max="8185" width="9.8984375" style="26" customWidth="1"/>
    <col min="8186" max="8186" width="9.69921875" style="26" customWidth="1"/>
    <col min="8187" max="8187" width="10.296875" style="26" customWidth="1"/>
    <col min="8188" max="8188" width="3.59765625" style="26" customWidth="1"/>
    <col min="8189" max="8379" width="8.69921875" style="26"/>
    <col min="8380" max="8380" width="5.796875" style="26" customWidth="1"/>
    <col min="8381" max="8381" width="12.5" style="26" customWidth="1"/>
    <col min="8382" max="8382" width="10.69921875" style="26" customWidth="1"/>
    <col min="8383" max="8385" width="8.69921875" style="26"/>
    <col min="8386" max="8386" width="13.8984375" style="26" customWidth="1"/>
    <col min="8387" max="8387" width="14.59765625" style="26" customWidth="1"/>
    <col min="8388" max="8399" width="8.69921875" style="26"/>
    <col min="8400" max="8400" width="10.796875" style="26" customWidth="1"/>
    <col min="8401" max="8401" width="11.5" style="26" customWidth="1"/>
    <col min="8402" max="8402" width="10" style="26" customWidth="1"/>
    <col min="8403" max="8403" width="10.796875" style="26" customWidth="1"/>
    <col min="8404" max="8404" width="8.69921875" style="26"/>
    <col min="8405" max="8405" width="13.796875" style="26" customWidth="1"/>
    <col min="8406" max="8406" width="13.69921875" style="26" customWidth="1"/>
    <col min="8407" max="8407" width="19.296875" style="26" customWidth="1"/>
    <col min="8408" max="8423" width="8.69921875" style="26"/>
    <col min="8424" max="8425" width="12.09765625" style="26" customWidth="1"/>
    <col min="8426" max="8426" width="8.69921875" style="26"/>
    <col min="8427" max="8427" width="12.5" style="26" customWidth="1"/>
    <col min="8428" max="8428" width="9.59765625" style="26" customWidth="1"/>
    <col min="8429" max="8429" width="15.59765625" style="26" customWidth="1"/>
    <col min="8430" max="8431" width="11.3984375" style="26" customWidth="1"/>
    <col min="8432" max="8432" width="10.09765625" style="26" customWidth="1"/>
    <col min="8433" max="8433" width="16.5" style="26" customWidth="1"/>
    <col min="8434" max="8434" width="11.59765625" style="26" customWidth="1"/>
    <col min="8435" max="8436" width="11.8984375" style="26" customWidth="1"/>
    <col min="8437" max="8437" width="9.796875" style="26" customWidth="1"/>
    <col min="8438" max="8438" width="10" style="26" customWidth="1"/>
    <col min="8439" max="8439" width="13.69921875" style="26" customWidth="1"/>
    <col min="8440" max="8440" width="8.69921875" style="26"/>
    <col min="8441" max="8441" width="9.8984375" style="26" customWidth="1"/>
    <col min="8442" max="8442" width="9.69921875" style="26" customWidth="1"/>
    <col min="8443" max="8443" width="10.296875" style="26" customWidth="1"/>
    <col min="8444" max="8444" width="3.59765625" style="26" customWidth="1"/>
    <col min="8445" max="8635" width="8.69921875" style="26"/>
    <col min="8636" max="8636" width="5.796875" style="26" customWidth="1"/>
    <col min="8637" max="8637" width="12.5" style="26" customWidth="1"/>
    <col min="8638" max="8638" width="10.69921875" style="26" customWidth="1"/>
    <col min="8639" max="8641" width="8.69921875" style="26"/>
    <col min="8642" max="8642" width="13.8984375" style="26" customWidth="1"/>
    <col min="8643" max="8643" width="14.59765625" style="26" customWidth="1"/>
    <col min="8644" max="8655" width="8.69921875" style="26"/>
    <col min="8656" max="8656" width="10.796875" style="26" customWidth="1"/>
    <col min="8657" max="8657" width="11.5" style="26" customWidth="1"/>
    <col min="8658" max="8658" width="10" style="26" customWidth="1"/>
    <col min="8659" max="8659" width="10.796875" style="26" customWidth="1"/>
    <col min="8660" max="8660" width="8.69921875" style="26"/>
    <col min="8661" max="8661" width="13.796875" style="26" customWidth="1"/>
    <col min="8662" max="8662" width="13.69921875" style="26" customWidth="1"/>
    <col min="8663" max="8663" width="19.296875" style="26" customWidth="1"/>
    <col min="8664" max="8679" width="8.69921875" style="26"/>
    <col min="8680" max="8681" width="12.09765625" style="26" customWidth="1"/>
    <col min="8682" max="8682" width="8.69921875" style="26"/>
    <col min="8683" max="8683" width="12.5" style="26" customWidth="1"/>
    <col min="8684" max="8684" width="9.59765625" style="26" customWidth="1"/>
    <col min="8685" max="8685" width="15.59765625" style="26" customWidth="1"/>
    <col min="8686" max="8687" width="11.3984375" style="26" customWidth="1"/>
    <col min="8688" max="8688" width="10.09765625" style="26" customWidth="1"/>
    <col min="8689" max="8689" width="16.5" style="26" customWidth="1"/>
    <col min="8690" max="8690" width="11.59765625" style="26" customWidth="1"/>
    <col min="8691" max="8692" width="11.8984375" style="26" customWidth="1"/>
    <col min="8693" max="8693" width="9.796875" style="26" customWidth="1"/>
    <col min="8694" max="8694" width="10" style="26" customWidth="1"/>
    <col min="8695" max="8695" width="13.69921875" style="26" customWidth="1"/>
    <col min="8696" max="8696" width="8.69921875" style="26"/>
    <col min="8697" max="8697" width="9.8984375" style="26" customWidth="1"/>
    <col min="8698" max="8698" width="9.69921875" style="26" customWidth="1"/>
    <col min="8699" max="8699" width="10.296875" style="26" customWidth="1"/>
    <col min="8700" max="8700" width="3.59765625" style="26" customWidth="1"/>
    <col min="8701" max="8891" width="8.69921875" style="26"/>
    <col min="8892" max="8892" width="5.796875" style="26" customWidth="1"/>
    <col min="8893" max="8893" width="12.5" style="26" customWidth="1"/>
    <col min="8894" max="8894" width="10.69921875" style="26" customWidth="1"/>
    <col min="8895" max="8897" width="8.69921875" style="26"/>
    <col min="8898" max="8898" width="13.8984375" style="26" customWidth="1"/>
    <col min="8899" max="8899" width="14.59765625" style="26" customWidth="1"/>
    <col min="8900" max="8911" width="8.69921875" style="26"/>
    <col min="8912" max="8912" width="10.796875" style="26" customWidth="1"/>
    <col min="8913" max="8913" width="11.5" style="26" customWidth="1"/>
    <col min="8914" max="8914" width="10" style="26" customWidth="1"/>
    <col min="8915" max="8915" width="10.796875" style="26" customWidth="1"/>
    <col min="8916" max="8916" width="8.69921875" style="26"/>
    <col min="8917" max="8917" width="13.796875" style="26" customWidth="1"/>
    <col min="8918" max="8918" width="13.69921875" style="26" customWidth="1"/>
    <col min="8919" max="8919" width="19.296875" style="26" customWidth="1"/>
    <col min="8920" max="8935" width="8.69921875" style="26"/>
    <col min="8936" max="8937" width="12.09765625" style="26" customWidth="1"/>
    <col min="8938" max="8938" width="8.69921875" style="26"/>
    <col min="8939" max="8939" width="12.5" style="26" customWidth="1"/>
    <col min="8940" max="8940" width="9.59765625" style="26" customWidth="1"/>
    <col min="8941" max="8941" width="15.59765625" style="26" customWidth="1"/>
    <col min="8942" max="8943" width="11.3984375" style="26" customWidth="1"/>
    <col min="8944" max="8944" width="10.09765625" style="26" customWidth="1"/>
    <col min="8945" max="8945" width="16.5" style="26" customWidth="1"/>
    <col min="8946" max="8946" width="11.59765625" style="26" customWidth="1"/>
    <col min="8947" max="8948" width="11.8984375" style="26" customWidth="1"/>
    <col min="8949" max="8949" width="9.796875" style="26" customWidth="1"/>
    <col min="8950" max="8950" width="10" style="26" customWidth="1"/>
    <col min="8951" max="8951" width="13.69921875" style="26" customWidth="1"/>
    <col min="8952" max="8952" width="8.69921875" style="26"/>
    <col min="8953" max="8953" width="9.8984375" style="26" customWidth="1"/>
    <col min="8954" max="8954" width="9.69921875" style="26" customWidth="1"/>
    <col min="8955" max="8955" width="10.296875" style="26" customWidth="1"/>
    <col min="8956" max="8956" width="3.59765625" style="26" customWidth="1"/>
    <col min="8957" max="9147" width="8.69921875" style="26"/>
    <col min="9148" max="9148" width="5.796875" style="26" customWidth="1"/>
    <col min="9149" max="9149" width="12.5" style="26" customWidth="1"/>
    <col min="9150" max="9150" width="10.69921875" style="26" customWidth="1"/>
    <col min="9151" max="9153" width="8.69921875" style="26"/>
    <col min="9154" max="9154" width="13.8984375" style="26" customWidth="1"/>
    <col min="9155" max="9155" width="14.59765625" style="26" customWidth="1"/>
    <col min="9156" max="9167" width="8.69921875" style="26"/>
    <col min="9168" max="9168" width="10.796875" style="26" customWidth="1"/>
    <col min="9169" max="9169" width="11.5" style="26" customWidth="1"/>
    <col min="9170" max="9170" width="10" style="26" customWidth="1"/>
    <col min="9171" max="9171" width="10.796875" style="26" customWidth="1"/>
    <col min="9172" max="9172" width="8.69921875" style="26"/>
    <col min="9173" max="9173" width="13.796875" style="26" customWidth="1"/>
    <col min="9174" max="9174" width="13.69921875" style="26" customWidth="1"/>
    <col min="9175" max="9175" width="19.296875" style="26" customWidth="1"/>
    <col min="9176" max="9191" width="8.69921875" style="26"/>
    <col min="9192" max="9193" width="12.09765625" style="26" customWidth="1"/>
    <col min="9194" max="9194" width="8.69921875" style="26"/>
    <col min="9195" max="9195" width="12.5" style="26" customWidth="1"/>
    <col min="9196" max="9196" width="9.59765625" style="26" customWidth="1"/>
    <col min="9197" max="9197" width="15.59765625" style="26" customWidth="1"/>
    <col min="9198" max="9199" width="11.3984375" style="26" customWidth="1"/>
    <col min="9200" max="9200" width="10.09765625" style="26" customWidth="1"/>
    <col min="9201" max="9201" width="16.5" style="26" customWidth="1"/>
    <col min="9202" max="9202" width="11.59765625" style="26" customWidth="1"/>
    <col min="9203" max="9204" width="11.8984375" style="26" customWidth="1"/>
    <col min="9205" max="9205" width="9.796875" style="26" customWidth="1"/>
    <col min="9206" max="9206" width="10" style="26" customWidth="1"/>
    <col min="9207" max="9207" width="13.69921875" style="26" customWidth="1"/>
    <col min="9208" max="9208" width="8.69921875" style="26"/>
    <col min="9209" max="9209" width="9.8984375" style="26" customWidth="1"/>
    <col min="9210" max="9210" width="9.69921875" style="26" customWidth="1"/>
    <col min="9211" max="9211" width="10.296875" style="26" customWidth="1"/>
    <col min="9212" max="9212" width="3.59765625" style="26" customWidth="1"/>
    <col min="9213" max="9403" width="8.69921875" style="26"/>
    <col min="9404" max="9404" width="5.796875" style="26" customWidth="1"/>
    <col min="9405" max="9405" width="12.5" style="26" customWidth="1"/>
    <col min="9406" max="9406" width="10.69921875" style="26" customWidth="1"/>
    <col min="9407" max="9409" width="8.69921875" style="26"/>
    <col min="9410" max="9410" width="13.8984375" style="26" customWidth="1"/>
    <col min="9411" max="9411" width="14.59765625" style="26" customWidth="1"/>
    <col min="9412" max="9423" width="8.69921875" style="26"/>
    <col min="9424" max="9424" width="10.796875" style="26" customWidth="1"/>
    <col min="9425" max="9425" width="11.5" style="26" customWidth="1"/>
    <col min="9426" max="9426" width="10" style="26" customWidth="1"/>
    <col min="9427" max="9427" width="10.796875" style="26" customWidth="1"/>
    <col min="9428" max="9428" width="8.69921875" style="26"/>
    <col min="9429" max="9429" width="13.796875" style="26" customWidth="1"/>
    <col min="9430" max="9430" width="13.69921875" style="26" customWidth="1"/>
    <col min="9431" max="9431" width="19.296875" style="26" customWidth="1"/>
    <col min="9432" max="9447" width="8.69921875" style="26"/>
    <col min="9448" max="9449" width="12.09765625" style="26" customWidth="1"/>
    <col min="9450" max="9450" width="8.69921875" style="26"/>
    <col min="9451" max="9451" width="12.5" style="26" customWidth="1"/>
    <col min="9452" max="9452" width="9.59765625" style="26" customWidth="1"/>
    <col min="9453" max="9453" width="15.59765625" style="26" customWidth="1"/>
    <col min="9454" max="9455" width="11.3984375" style="26" customWidth="1"/>
    <col min="9456" max="9456" width="10.09765625" style="26" customWidth="1"/>
    <col min="9457" max="9457" width="16.5" style="26" customWidth="1"/>
    <col min="9458" max="9458" width="11.59765625" style="26" customWidth="1"/>
    <col min="9459" max="9460" width="11.8984375" style="26" customWidth="1"/>
    <col min="9461" max="9461" width="9.796875" style="26" customWidth="1"/>
    <col min="9462" max="9462" width="10" style="26" customWidth="1"/>
    <col min="9463" max="9463" width="13.69921875" style="26" customWidth="1"/>
    <col min="9464" max="9464" width="8.69921875" style="26"/>
    <col min="9465" max="9465" width="9.8984375" style="26" customWidth="1"/>
    <col min="9466" max="9466" width="9.69921875" style="26" customWidth="1"/>
    <col min="9467" max="9467" width="10.296875" style="26" customWidth="1"/>
    <col min="9468" max="9468" width="3.59765625" style="26" customWidth="1"/>
    <col min="9469" max="9659" width="8.69921875" style="26"/>
    <col min="9660" max="9660" width="5.796875" style="26" customWidth="1"/>
    <col min="9661" max="9661" width="12.5" style="26" customWidth="1"/>
    <col min="9662" max="9662" width="10.69921875" style="26" customWidth="1"/>
    <col min="9663" max="9665" width="8.69921875" style="26"/>
    <col min="9666" max="9666" width="13.8984375" style="26" customWidth="1"/>
    <col min="9667" max="9667" width="14.59765625" style="26" customWidth="1"/>
    <col min="9668" max="9679" width="8.69921875" style="26"/>
    <col min="9680" max="9680" width="10.796875" style="26" customWidth="1"/>
    <col min="9681" max="9681" width="11.5" style="26" customWidth="1"/>
    <col min="9682" max="9682" width="10" style="26" customWidth="1"/>
    <col min="9683" max="9683" width="10.796875" style="26" customWidth="1"/>
    <col min="9684" max="9684" width="8.69921875" style="26"/>
    <col min="9685" max="9685" width="13.796875" style="26" customWidth="1"/>
    <col min="9686" max="9686" width="13.69921875" style="26" customWidth="1"/>
    <col min="9687" max="9687" width="19.296875" style="26" customWidth="1"/>
    <col min="9688" max="9703" width="8.69921875" style="26"/>
    <col min="9704" max="9705" width="12.09765625" style="26" customWidth="1"/>
    <col min="9706" max="9706" width="8.69921875" style="26"/>
    <col min="9707" max="9707" width="12.5" style="26" customWidth="1"/>
    <col min="9708" max="9708" width="9.59765625" style="26" customWidth="1"/>
    <col min="9709" max="9709" width="15.59765625" style="26" customWidth="1"/>
    <col min="9710" max="9711" width="11.3984375" style="26" customWidth="1"/>
    <col min="9712" max="9712" width="10.09765625" style="26" customWidth="1"/>
    <col min="9713" max="9713" width="16.5" style="26" customWidth="1"/>
    <col min="9714" max="9714" width="11.59765625" style="26" customWidth="1"/>
    <col min="9715" max="9716" width="11.8984375" style="26" customWidth="1"/>
    <col min="9717" max="9717" width="9.796875" style="26" customWidth="1"/>
    <col min="9718" max="9718" width="10" style="26" customWidth="1"/>
    <col min="9719" max="9719" width="13.69921875" style="26" customWidth="1"/>
    <col min="9720" max="9720" width="8.69921875" style="26"/>
    <col min="9721" max="9721" width="9.8984375" style="26" customWidth="1"/>
    <col min="9722" max="9722" width="9.69921875" style="26" customWidth="1"/>
    <col min="9723" max="9723" width="10.296875" style="26" customWidth="1"/>
    <col min="9724" max="9724" width="3.59765625" style="26" customWidth="1"/>
    <col min="9725" max="9915" width="8.69921875" style="26"/>
    <col min="9916" max="9916" width="5.796875" style="26" customWidth="1"/>
    <col min="9917" max="9917" width="12.5" style="26" customWidth="1"/>
    <col min="9918" max="9918" width="10.69921875" style="26" customWidth="1"/>
    <col min="9919" max="9921" width="8.69921875" style="26"/>
    <col min="9922" max="9922" width="13.8984375" style="26" customWidth="1"/>
    <col min="9923" max="9923" width="14.59765625" style="26" customWidth="1"/>
    <col min="9924" max="9935" width="8.69921875" style="26"/>
    <col min="9936" max="9936" width="10.796875" style="26" customWidth="1"/>
    <col min="9937" max="9937" width="11.5" style="26" customWidth="1"/>
    <col min="9938" max="9938" width="10" style="26" customWidth="1"/>
    <col min="9939" max="9939" width="10.796875" style="26" customWidth="1"/>
    <col min="9940" max="9940" width="8.69921875" style="26"/>
    <col min="9941" max="9941" width="13.796875" style="26" customWidth="1"/>
    <col min="9942" max="9942" width="13.69921875" style="26" customWidth="1"/>
    <col min="9943" max="9943" width="19.296875" style="26" customWidth="1"/>
    <col min="9944" max="9959" width="8.69921875" style="26"/>
    <col min="9960" max="9961" width="12.09765625" style="26" customWidth="1"/>
    <col min="9962" max="9962" width="8.69921875" style="26"/>
    <col min="9963" max="9963" width="12.5" style="26" customWidth="1"/>
    <col min="9964" max="9964" width="9.59765625" style="26" customWidth="1"/>
    <col min="9965" max="9965" width="15.59765625" style="26" customWidth="1"/>
    <col min="9966" max="9967" width="11.3984375" style="26" customWidth="1"/>
    <col min="9968" max="9968" width="10.09765625" style="26" customWidth="1"/>
    <col min="9969" max="9969" width="16.5" style="26" customWidth="1"/>
    <col min="9970" max="9970" width="11.59765625" style="26" customWidth="1"/>
    <col min="9971" max="9972" width="11.8984375" style="26" customWidth="1"/>
    <col min="9973" max="9973" width="9.796875" style="26" customWidth="1"/>
    <col min="9974" max="9974" width="10" style="26" customWidth="1"/>
    <col min="9975" max="9975" width="13.69921875" style="26" customWidth="1"/>
    <col min="9976" max="9976" width="8.69921875" style="26"/>
    <col min="9977" max="9977" width="9.8984375" style="26" customWidth="1"/>
    <col min="9978" max="9978" width="9.69921875" style="26" customWidth="1"/>
    <col min="9979" max="9979" width="10.296875" style="26" customWidth="1"/>
    <col min="9980" max="9980" width="3.59765625" style="26" customWidth="1"/>
    <col min="9981" max="10171" width="8.69921875" style="26"/>
    <col min="10172" max="10172" width="5.796875" style="26" customWidth="1"/>
    <col min="10173" max="10173" width="12.5" style="26" customWidth="1"/>
    <col min="10174" max="10174" width="10.69921875" style="26" customWidth="1"/>
    <col min="10175" max="10177" width="8.69921875" style="26"/>
    <col min="10178" max="10178" width="13.8984375" style="26" customWidth="1"/>
    <col min="10179" max="10179" width="14.59765625" style="26" customWidth="1"/>
    <col min="10180" max="10191" width="8.69921875" style="26"/>
    <col min="10192" max="10192" width="10.796875" style="26" customWidth="1"/>
    <col min="10193" max="10193" width="11.5" style="26" customWidth="1"/>
    <col min="10194" max="10194" width="10" style="26" customWidth="1"/>
    <col min="10195" max="10195" width="10.796875" style="26" customWidth="1"/>
    <col min="10196" max="10196" width="8.69921875" style="26"/>
    <col min="10197" max="10197" width="13.796875" style="26" customWidth="1"/>
    <col min="10198" max="10198" width="13.69921875" style="26" customWidth="1"/>
    <col min="10199" max="10199" width="19.296875" style="26" customWidth="1"/>
    <col min="10200" max="10215" width="8.69921875" style="26"/>
    <col min="10216" max="10217" width="12.09765625" style="26" customWidth="1"/>
    <col min="10218" max="10218" width="8.69921875" style="26"/>
    <col min="10219" max="10219" width="12.5" style="26" customWidth="1"/>
    <col min="10220" max="10220" width="9.59765625" style="26" customWidth="1"/>
    <col min="10221" max="10221" width="15.59765625" style="26" customWidth="1"/>
    <col min="10222" max="10223" width="11.3984375" style="26" customWidth="1"/>
    <col min="10224" max="10224" width="10.09765625" style="26" customWidth="1"/>
    <col min="10225" max="10225" width="16.5" style="26" customWidth="1"/>
    <col min="10226" max="10226" width="11.59765625" style="26" customWidth="1"/>
    <col min="10227" max="10228" width="11.8984375" style="26" customWidth="1"/>
    <col min="10229" max="10229" width="9.796875" style="26" customWidth="1"/>
    <col min="10230" max="10230" width="10" style="26" customWidth="1"/>
    <col min="10231" max="10231" width="13.69921875" style="26" customWidth="1"/>
    <col min="10232" max="10232" width="8.69921875" style="26"/>
    <col min="10233" max="10233" width="9.8984375" style="26" customWidth="1"/>
    <col min="10234" max="10234" width="9.69921875" style="26" customWidth="1"/>
    <col min="10235" max="10235" width="10.296875" style="26" customWidth="1"/>
    <col min="10236" max="10236" width="3.59765625" style="26" customWidth="1"/>
    <col min="10237" max="10427" width="8.69921875" style="26"/>
    <col min="10428" max="10428" width="5.796875" style="26" customWidth="1"/>
    <col min="10429" max="10429" width="12.5" style="26" customWidth="1"/>
    <col min="10430" max="10430" width="10.69921875" style="26" customWidth="1"/>
    <col min="10431" max="10433" width="8.69921875" style="26"/>
    <col min="10434" max="10434" width="13.8984375" style="26" customWidth="1"/>
    <col min="10435" max="10435" width="14.59765625" style="26" customWidth="1"/>
    <col min="10436" max="10447" width="8.69921875" style="26"/>
    <col min="10448" max="10448" width="10.796875" style="26" customWidth="1"/>
    <col min="10449" max="10449" width="11.5" style="26" customWidth="1"/>
    <col min="10450" max="10450" width="10" style="26" customWidth="1"/>
    <col min="10451" max="10451" width="10.796875" style="26" customWidth="1"/>
    <col min="10452" max="10452" width="8.69921875" style="26"/>
    <col min="10453" max="10453" width="13.796875" style="26" customWidth="1"/>
    <col min="10454" max="10454" width="13.69921875" style="26" customWidth="1"/>
    <col min="10455" max="10455" width="19.296875" style="26" customWidth="1"/>
    <col min="10456" max="10471" width="8.69921875" style="26"/>
    <col min="10472" max="10473" width="12.09765625" style="26" customWidth="1"/>
    <col min="10474" max="10474" width="8.69921875" style="26"/>
    <col min="10475" max="10475" width="12.5" style="26" customWidth="1"/>
    <col min="10476" max="10476" width="9.59765625" style="26" customWidth="1"/>
    <col min="10477" max="10477" width="15.59765625" style="26" customWidth="1"/>
    <col min="10478" max="10479" width="11.3984375" style="26" customWidth="1"/>
    <col min="10480" max="10480" width="10.09765625" style="26" customWidth="1"/>
    <col min="10481" max="10481" width="16.5" style="26" customWidth="1"/>
    <col min="10482" max="10482" width="11.59765625" style="26" customWidth="1"/>
    <col min="10483" max="10484" width="11.8984375" style="26" customWidth="1"/>
    <col min="10485" max="10485" width="9.796875" style="26" customWidth="1"/>
    <col min="10486" max="10486" width="10" style="26" customWidth="1"/>
    <col min="10487" max="10487" width="13.69921875" style="26" customWidth="1"/>
    <col min="10488" max="10488" width="8.69921875" style="26"/>
    <col min="10489" max="10489" width="9.8984375" style="26" customWidth="1"/>
    <col min="10490" max="10490" width="9.69921875" style="26" customWidth="1"/>
    <col min="10491" max="10491" width="10.296875" style="26" customWidth="1"/>
    <col min="10492" max="10492" width="3.59765625" style="26" customWidth="1"/>
    <col min="10493" max="10683" width="8.69921875" style="26"/>
    <col min="10684" max="10684" width="5.796875" style="26" customWidth="1"/>
    <col min="10685" max="10685" width="12.5" style="26" customWidth="1"/>
    <col min="10686" max="10686" width="10.69921875" style="26" customWidth="1"/>
    <col min="10687" max="10689" width="8.69921875" style="26"/>
    <col min="10690" max="10690" width="13.8984375" style="26" customWidth="1"/>
    <col min="10691" max="10691" width="14.59765625" style="26" customWidth="1"/>
    <col min="10692" max="10703" width="8.69921875" style="26"/>
    <col min="10704" max="10704" width="10.796875" style="26" customWidth="1"/>
    <col min="10705" max="10705" width="11.5" style="26" customWidth="1"/>
    <col min="10706" max="10706" width="10" style="26" customWidth="1"/>
    <col min="10707" max="10707" width="10.796875" style="26" customWidth="1"/>
    <col min="10708" max="10708" width="8.69921875" style="26"/>
    <col min="10709" max="10709" width="13.796875" style="26" customWidth="1"/>
    <col min="10710" max="10710" width="13.69921875" style="26" customWidth="1"/>
    <col min="10711" max="10711" width="19.296875" style="26" customWidth="1"/>
    <col min="10712" max="10727" width="8.69921875" style="26"/>
    <col min="10728" max="10729" width="12.09765625" style="26" customWidth="1"/>
    <col min="10730" max="10730" width="8.69921875" style="26"/>
    <col min="10731" max="10731" width="12.5" style="26" customWidth="1"/>
    <col min="10732" max="10732" width="9.59765625" style="26" customWidth="1"/>
    <col min="10733" max="10733" width="15.59765625" style="26" customWidth="1"/>
    <col min="10734" max="10735" width="11.3984375" style="26" customWidth="1"/>
    <col min="10736" max="10736" width="10.09765625" style="26" customWidth="1"/>
    <col min="10737" max="10737" width="16.5" style="26" customWidth="1"/>
    <col min="10738" max="10738" width="11.59765625" style="26" customWidth="1"/>
    <col min="10739" max="10740" width="11.8984375" style="26" customWidth="1"/>
    <col min="10741" max="10741" width="9.796875" style="26" customWidth="1"/>
    <col min="10742" max="10742" width="10" style="26" customWidth="1"/>
    <col min="10743" max="10743" width="13.69921875" style="26" customWidth="1"/>
    <col min="10744" max="10744" width="8.69921875" style="26"/>
    <col min="10745" max="10745" width="9.8984375" style="26" customWidth="1"/>
    <col min="10746" max="10746" width="9.69921875" style="26" customWidth="1"/>
    <col min="10747" max="10747" width="10.296875" style="26" customWidth="1"/>
    <col min="10748" max="10748" width="3.59765625" style="26" customWidth="1"/>
    <col min="10749" max="10939" width="8.69921875" style="26"/>
    <col min="10940" max="10940" width="5.796875" style="26" customWidth="1"/>
    <col min="10941" max="10941" width="12.5" style="26" customWidth="1"/>
    <col min="10942" max="10942" width="10.69921875" style="26" customWidth="1"/>
    <col min="10943" max="10945" width="8.69921875" style="26"/>
    <col min="10946" max="10946" width="13.8984375" style="26" customWidth="1"/>
    <col min="10947" max="10947" width="14.59765625" style="26" customWidth="1"/>
    <col min="10948" max="10959" width="8.69921875" style="26"/>
    <col min="10960" max="10960" width="10.796875" style="26" customWidth="1"/>
    <col min="10961" max="10961" width="11.5" style="26" customWidth="1"/>
    <col min="10962" max="10962" width="10" style="26" customWidth="1"/>
    <col min="10963" max="10963" width="10.796875" style="26" customWidth="1"/>
    <col min="10964" max="10964" width="8.69921875" style="26"/>
    <col min="10965" max="10965" width="13.796875" style="26" customWidth="1"/>
    <col min="10966" max="10966" width="13.69921875" style="26" customWidth="1"/>
    <col min="10967" max="10967" width="19.296875" style="26" customWidth="1"/>
    <col min="10968" max="10983" width="8.69921875" style="26"/>
    <col min="10984" max="10985" width="12.09765625" style="26" customWidth="1"/>
    <col min="10986" max="10986" width="8.69921875" style="26"/>
    <col min="10987" max="10987" width="12.5" style="26" customWidth="1"/>
    <col min="10988" max="10988" width="9.59765625" style="26" customWidth="1"/>
    <col min="10989" max="10989" width="15.59765625" style="26" customWidth="1"/>
    <col min="10990" max="10991" width="11.3984375" style="26" customWidth="1"/>
    <col min="10992" max="10992" width="10.09765625" style="26" customWidth="1"/>
    <col min="10993" max="10993" width="16.5" style="26" customWidth="1"/>
    <col min="10994" max="10994" width="11.59765625" style="26" customWidth="1"/>
    <col min="10995" max="10996" width="11.8984375" style="26" customWidth="1"/>
    <col min="10997" max="10997" width="9.796875" style="26" customWidth="1"/>
    <col min="10998" max="10998" width="10" style="26" customWidth="1"/>
    <col min="10999" max="10999" width="13.69921875" style="26" customWidth="1"/>
    <col min="11000" max="11000" width="8.69921875" style="26"/>
    <col min="11001" max="11001" width="9.8984375" style="26" customWidth="1"/>
    <col min="11002" max="11002" width="9.69921875" style="26" customWidth="1"/>
    <col min="11003" max="11003" width="10.296875" style="26" customWidth="1"/>
    <col min="11004" max="11004" width="3.59765625" style="26" customWidth="1"/>
    <col min="11005" max="11195" width="8.69921875" style="26"/>
    <col min="11196" max="11196" width="5.796875" style="26" customWidth="1"/>
    <col min="11197" max="11197" width="12.5" style="26" customWidth="1"/>
    <col min="11198" max="11198" width="10.69921875" style="26" customWidth="1"/>
    <col min="11199" max="11201" width="8.69921875" style="26"/>
    <col min="11202" max="11202" width="13.8984375" style="26" customWidth="1"/>
    <col min="11203" max="11203" width="14.59765625" style="26" customWidth="1"/>
    <col min="11204" max="11215" width="8.69921875" style="26"/>
    <col min="11216" max="11216" width="10.796875" style="26" customWidth="1"/>
    <col min="11217" max="11217" width="11.5" style="26" customWidth="1"/>
    <col min="11218" max="11218" width="10" style="26" customWidth="1"/>
    <col min="11219" max="11219" width="10.796875" style="26" customWidth="1"/>
    <col min="11220" max="11220" width="8.69921875" style="26"/>
    <col min="11221" max="11221" width="13.796875" style="26" customWidth="1"/>
    <col min="11222" max="11222" width="13.69921875" style="26" customWidth="1"/>
    <col min="11223" max="11223" width="19.296875" style="26" customWidth="1"/>
    <col min="11224" max="11239" width="8.69921875" style="26"/>
    <col min="11240" max="11241" width="12.09765625" style="26" customWidth="1"/>
    <col min="11242" max="11242" width="8.69921875" style="26"/>
    <col min="11243" max="11243" width="12.5" style="26" customWidth="1"/>
    <col min="11244" max="11244" width="9.59765625" style="26" customWidth="1"/>
    <col min="11245" max="11245" width="15.59765625" style="26" customWidth="1"/>
    <col min="11246" max="11247" width="11.3984375" style="26" customWidth="1"/>
    <col min="11248" max="11248" width="10.09765625" style="26" customWidth="1"/>
    <col min="11249" max="11249" width="16.5" style="26" customWidth="1"/>
    <col min="11250" max="11250" width="11.59765625" style="26" customWidth="1"/>
    <col min="11251" max="11252" width="11.8984375" style="26" customWidth="1"/>
    <col min="11253" max="11253" width="9.796875" style="26" customWidth="1"/>
    <col min="11254" max="11254" width="10" style="26" customWidth="1"/>
    <col min="11255" max="11255" width="13.69921875" style="26" customWidth="1"/>
    <col min="11256" max="11256" width="8.69921875" style="26"/>
    <col min="11257" max="11257" width="9.8984375" style="26" customWidth="1"/>
    <col min="11258" max="11258" width="9.69921875" style="26" customWidth="1"/>
    <col min="11259" max="11259" width="10.296875" style="26" customWidth="1"/>
    <col min="11260" max="11260" width="3.59765625" style="26" customWidth="1"/>
    <col min="11261" max="11451" width="8.69921875" style="26"/>
    <col min="11452" max="11452" width="5.796875" style="26" customWidth="1"/>
    <col min="11453" max="11453" width="12.5" style="26" customWidth="1"/>
    <col min="11454" max="11454" width="10.69921875" style="26" customWidth="1"/>
    <col min="11455" max="11457" width="8.69921875" style="26"/>
    <col min="11458" max="11458" width="13.8984375" style="26" customWidth="1"/>
    <col min="11459" max="11459" width="14.59765625" style="26" customWidth="1"/>
    <col min="11460" max="11471" width="8.69921875" style="26"/>
    <col min="11472" max="11472" width="10.796875" style="26" customWidth="1"/>
    <col min="11473" max="11473" width="11.5" style="26" customWidth="1"/>
    <col min="11474" max="11474" width="10" style="26" customWidth="1"/>
    <col min="11475" max="11475" width="10.796875" style="26" customWidth="1"/>
    <col min="11476" max="11476" width="8.69921875" style="26"/>
    <col min="11477" max="11477" width="13.796875" style="26" customWidth="1"/>
    <col min="11478" max="11478" width="13.69921875" style="26" customWidth="1"/>
    <col min="11479" max="11479" width="19.296875" style="26" customWidth="1"/>
    <col min="11480" max="11495" width="8.69921875" style="26"/>
    <col min="11496" max="11497" width="12.09765625" style="26" customWidth="1"/>
    <col min="11498" max="11498" width="8.69921875" style="26"/>
    <col min="11499" max="11499" width="12.5" style="26" customWidth="1"/>
    <col min="11500" max="11500" width="9.59765625" style="26" customWidth="1"/>
    <col min="11501" max="11501" width="15.59765625" style="26" customWidth="1"/>
    <col min="11502" max="11503" width="11.3984375" style="26" customWidth="1"/>
    <col min="11504" max="11504" width="10.09765625" style="26" customWidth="1"/>
    <col min="11505" max="11505" width="16.5" style="26" customWidth="1"/>
    <col min="11506" max="11506" width="11.59765625" style="26" customWidth="1"/>
    <col min="11507" max="11508" width="11.8984375" style="26" customWidth="1"/>
    <col min="11509" max="11509" width="9.796875" style="26" customWidth="1"/>
    <col min="11510" max="11510" width="10" style="26" customWidth="1"/>
    <col min="11511" max="11511" width="13.69921875" style="26" customWidth="1"/>
    <col min="11512" max="11512" width="8.69921875" style="26"/>
    <col min="11513" max="11513" width="9.8984375" style="26" customWidth="1"/>
    <col min="11514" max="11514" width="9.69921875" style="26" customWidth="1"/>
    <col min="11515" max="11515" width="10.296875" style="26" customWidth="1"/>
    <col min="11516" max="11516" width="3.59765625" style="26" customWidth="1"/>
    <col min="11517" max="11707" width="8.69921875" style="26"/>
    <col min="11708" max="11708" width="5.796875" style="26" customWidth="1"/>
    <col min="11709" max="11709" width="12.5" style="26" customWidth="1"/>
    <col min="11710" max="11710" width="10.69921875" style="26" customWidth="1"/>
    <col min="11711" max="11713" width="8.69921875" style="26"/>
    <col min="11714" max="11714" width="13.8984375" style="26" customWidth="1"/>
    <col min="11715" max="11715" width="14.59765625" style="26" customWidth="1"/>
    <col min="11716" max="11727" width="8.69921875" style="26"/>
    <col min="11728" max="11728" width="10.796875" style="26" customWidth="1"/>
    <col min="11729" max="11729" width="11.5" style="26" customWidth="1"/>
    <col min="11730" max="11730" width="10" style="26" customWidth="1"/>
    <col min="11731" max="11731" width="10.796875" style="26" customWidth="1"/>
    <col min="11732" max="11732" width="8.69921875" style="26"/>
    <col min="11733" max="11733" width="13.796875" style="26" customWidth="1"/>
    <col min="11734" max="11734" width="13.69921875" style="26" customWidth="1"/>
    <col min="11735" max="11735" width="19.296875" style="26" customWidth="1"/>
    <col min="11736" max="11751" width="8.69921875" style="26"/>
    <col min="11752" max="11753" width="12.09765625" style="26" customWidth="1"/>
    <col min="11754" max="11754" width="8.69921875" style="26"/>
    <col min="11755" max="11755" width="12.5" style="26" customWidth="1"/>
    <col min="11756" max="11756" width="9.59765625" style="26" customWidth="1"/>
    <col min="11757" max="11757" width="15.59765625" style="26" customWidth="1"/>
    <col min="11758" max="11759" width="11.3984375" style="26" customWidth="1"/>
    <col min="11760" max="11760" width="10.09765625" style="26" customWidth="1"/>
    <col min="11761" max="11761" width="16.5" style="26" customWidth="1"/>
    <col min="11762" max="11762" width="11.59765625" style="26" customWidth="1"/>
    <col min="11763" max="11764" width="11.8984375" style="26" customWidth="1"/>
    <col min="11765" max="11765" width="9.796875" style="26" customWidth="1"/>
    <col min="11766" max="11766" width="10" style="26" customWidth="1"/>
    <col min="11767" max="11767" width="13.69921875" style="26" customWidth="1"/>
    <col min="11768" max="11768" width="8.69921875" style="26"/>
    <col min="11769" max="11769" width="9.8984375" style="26" customWidth="1"/>
    <col min="11770" max="11770" width="9.69921875" style="26" customWidth="1"/>
    <col min="11771" max="11771" width="10.296875" style="26" customWidth="1"/>
    <col min="11772" max="11772" width="3.59765625" style="26" customWidth="1"/>
    <col min="11773" max="11963" width="8.69921875" style="26"/>
    <col min="11964" max="11964" width="5.796875" style="26" customWidth="1"/>
    <col min="11965" max="11965" width="12.5" style="26" customWidth="1"/>
    <col min="11966" max="11966" width="10.69921875" style="26" customWidth="1"/>
    <col min="11967" max="11969" width="8.69921875" style="26"/>
    <col min="11970" max="11970" width="13.8984375" style="26" customWidth="1"/>
    <col min="11971" max="11971" width="14.59765625" style="26" customWidth="1"/>
    <col min="11972" max="11983" width="8.69921875" style="26"/>
    <col min="11984" max="11984" width="10.796875" style="26" customWidth="1"/>
    <col min="11985" max="11985" width="11.5" style="26" customWidth="1"/>
    <col min="11986" max="11986" width="10" style="26" customWidth="1"/>
    <col min="11987" max="11987" width="10.796875" style="26" customWidth="1"/>
    <col min="11988" max="11988" width="8.69921875" style="26"/>
    <col min="11989" max="11989" width="13.796875" style="26" customWidth="1"/>
    <col min="11990" max="11990" width="13.69921875" style="26" customWidth="1"/>
    <col min="11991" max="11991" width="19.296875" style="26" customWidth="1"/>
    <col min="11992" max="12007" width="8.69921875" style="26"/>
    <col min="12008" max="12009" width="12.09765625" style="26" customWidth="1"/>
    <col min="12010" max="12010" width="8.69921875" style="26"/>
    <col min="12011" max="12011" width="12.5" style="26" customWidth="1"/>
    <col min="12012" max="12012" width="9.59765625" style="26" customWidth="1"/>
    <col min="12013" max="12013" width="15.59765625" style="26" customWidth="1"/>
    <col min="12014" max="12015" width="11.3984375" style="26" customWidth="1"/>
    <col min="12016" max="12016" width="10.09765625" style="26" customWidth="1"/>
    <col min="12017" max="12017" width="16.5" style="26" customWidth="1"/>
    <col min="12018" max="12018" width="11.59765625" style="26" customWidth="1"/>
    <col min="12019" max="12020" width="11.8984375" style="26" customWidth="1"/>
    <col min="12021" max="12021" width="9.796875" style="26" customWidth="1"/>
    <col min="12022" max="12022" width="10" style="26" customWidth="1"/>
    <col min="12023" max="12023" width="13.69921875" style="26" customWidth="1"/>
    <col min="12024" max="12024" width="8.69921875" style="26"/>
    <col min="12025" max="12025" width="9.8984375" style="26" customWidth="1"/>
    <col min="12026" max="12026" width="9.69921875" style="26" customWidth="1"/>
    <col min="12027" max="12027" width="10.296875" style="26" customWidth="1"/>
    <col min="12028" max="12028" width="3.59765625" style="26" customWidth="1"/>
    <col min="12029" max="12219" width="8.69921875" style="26"/>
    <col min="12220" max="12220" width="5.796875" style="26" customWidth="1"/>
    <col min="12221" max="12221" width="12.5" style="26" customWidth="1"/>
    <col min="12222" max="12222" width="10.69921875" style="26" customWidth="1"/>
    <col min="12223" max="12225" width="8.69921875" style="26"/>
    <col min="12226" max="12226" width="13.8984375" style="26" customWidth="1"/>
    <col min="12227" max="12227" width="14.59765625" style="26" customWidth="1"/>
    <col min="12228" max="12239" width="8.69921875" style="26"/>
    <col min="12240" max="12240" width="10.796875" style="26" customWidth="1"/>
    <col min="12241" max="12241" width="11.5" style="26" customWidth="1"/>
    <col min="12242" max="12242" width="10" style="26" customWidth="1"/>
    <col min="12243" max="12243" width="10.796875" style="26" customWidth="1"/>
    <col min="12244" max="12244" width="8.69921875" style="26"/>
    <col min="12245" max="12245" width="13.796875" style="26" customWidth="1"/>
    <col min="12246" max="12246" width="13.69921875" style="26" customWidth="1"/>
    <col min="12247" max="12247" width="19.296875" style="26" customWidth="1"/>
    <col min="12248" max="12263" width="8.69921875" style="26"/>
    <col min="12264" max="12265" width="12.09765625" style="26" customWidth="1"/>
    <col min="12266" max="12266" width="8.69921875" style="26"/>
    <col min="12267" max="12267" width="12.5" style="26" customWidth="1"/>
    <col min="12268" max="12268" width="9.59765625" style="26" customWidth="1"/>
    <col min="12269" max="12269" width="15.59765625" style="26" customWidth="1"/>
    <col min="12270" max="12271" width="11.3984375" style="26" customWidth="1"/>
    <col min="12272" max="12272" width="10.09765625" style="26" customWidth="1"/>
    <col min="12273" max="12273" width="16.5" style="26" customWidth="1"/>
    <col min="12274" max="12274" width="11.59765625" style="26" customWidth="1"/>
    <col min="12275" max="12276" width="11.8984375" style="26" customWidth="1"/>
    <col min="12277" max="12277" width="9.796875" style="26" customWidth="1"/>
    <col min="12278" max="12278" width="10" style="26" customWidth="1"/>
    <col min="12279" max="12279" width="13.69921875" style="26" customWidth="1"/>
    <col min="12280" max="12280" width="8.69921875" style="26"/>
    <col min="12281" max="12281" width="9.8984375" style="26" customWidth="1"/>
    <col min="12282" max="12282" width="9.69921875" style="26" customWidth="1"/>
    <col min="12283" max="12283" width="10.296875" style="26" customWidth="1"/>
    <col min="12284" max="12284" width="3.59765625" style="26" customWidth="1"/>
    <col min="12285" max="12475" width="8.69921875" style="26"/>
    <col min="12476" max="12476" width="5.796875" style="26" customWidth="1"/>
    <col min="12477" max="12477" width="12.5" style="26" customWidth="1"/>
    <col min="12478" max="12478" width="10.69921875" style="26" customWidth="1"/>
    <col min="12479" max="12481" width="8.69921875" style="26"/>
    <col min="12482" max="12482" width="13.8984375" style="26" customWidth="1"/>
    <col min="12483" max="12483" width="14.59765625" style="26" customWidth="1"/>
    <col min="12484" max="12495" width="8.69921875" style="26"/>
    <col min="12496" max="12496" width="10.796875" style="26" customWidth="1"/>
    <col min="12497" max="12497" width="11.5" style="26" customWidth="1"/>
    <col min="12498" max="12498" width="10" style="26" customWidth="1"/>
    <col min="12499" max="12499" width="10.796875" style="26" customWidth="1"/>
    <col min="12500" max="12500" width="8.69921875" style="26"/>
    <col min="12501" max="12501" width="13.796875" style="26" customWidth="1"/>
    <col min="12502" max="12502" width="13.69921875" style="26" customWidth="1"/>
    <col min="12503" max="12503" width="19.296875" style="26" customWidth="1"/>
    <col min="12504" max="12519" width="8.69921875" style="26"/>
    <col min="12520" max="12521" width="12.09765625" style="26" customWidth="1"/>
    <col min="12522" max="12522" width="8.69921875" style="26"/>
    <col min="12523" max="12523" width="12.5" style="26" customWidth="1"/>
    <col min="12524" max="12524" width="9.59765625" style="26" customWidth="1"/>
    <col min="12525" max="12525" width="15.59765625" style="26" customWidth="1"/>
    <col min="12526" max="12527" width="11.3984375" style="26" customWidth="1"/>
    <col min="12528" max="12528" width="10.09765625" style="26" customWidth="1"/>
    <col min="12529" max="12529" width="16.5" style="26" customWidth="1"/>
    <col min="12530" max="12530" width="11.59765625" style="26" customWidth="1"/>
    <col min="12531" max="12532" width="11.8984375" style="26" customWidth="1"/>
    <col min="12533" max="12533" width="9.796875" style="26" customWidth="1"/>
    <col min="12534" max="12534" width="10" style="26" customWidth="1"/>
    <col min="12535" max="12535" width="13.69921875" style="26" customWidth="1"/>
    <col min="12536" max="12536" width="8.69921875" style="26"/>
    <col min="12537" max="12537" width="9.8984375" style="26" customWidth="1"/>
    <col min="12538" max="12538" width="9.69921875" style="26" customWidth="1"/>
    <col min="12539" max="12539" width="10.296875" style="26" customWidth="1"/>
    <col min="12540" max="12540" width="3.59765625" style="26" customWidth="1"/>
    <col min="12541" max="12731" width="8.69921875" style="26"/>
    <col min="12732" max="12732" width="5.796875" style="26" customWidth="1"/>
    <col min="12733" max="12733" width="12.5" style="26" customWidth="1"/>
    <col min="12734" max="12734" width="10.69921875" style="26" customWidth="1"/>
    <col min="12735" max="12737" width="8.69921875" style="26"/>
    <col min="12738" max="12738" width="13.8984375" style="26" customWidth="1"/>
    <col min="12739" max="12739" width="14.59765625" style="26" customWidth="1"/>
    <col min="12740" max="12751" width="8.69921875" style="26"/>
    <col min="12752" max="12752" width="10.796875" style="26" customWidth="1"/>
    <col min="12753" max="12753" width="11.5" style="26" customWidth="1"/>
    <col min="12754" max="12754" width="10" style="26" customWidth="1"/>
    <col min="12755" max="12755" width="10.796875" style="26" customWidth="1"/>
    <col min="12756" max="12756" width="8.69921875" style="26"/>
    <col min="12757" max="12757" width="13.796875" style="26" customWidth="1"/>
    <col min="12758" max="12758" width="13.69921875" style="26" customWidth="1"/>
    <col min="12759" max="12759" width="19.296875" style="26" customWidth="1"/>
    <col min="12760" max="12775" width="8.69921875" style="26"/>
    <col min="12776" max="12777" width="12.09765625" style="26" customWidth="1"/>
    <col min="12778" max="12778" width="8.69921875" style="26"/>
    <col min="12779" max="12779" width="12.5" style="26" customWidth="1"/>
    <col min="12780" max="12780" width="9.59765625" style="26" customWidth="1"/>
    <col min="12781" max="12781" width="15.59765625" style="26" customWidth="1"/>
    <col min="12782" max="12783" width="11.3984375" style="26" customWidth="1"/>
    <col min="12784" max="12784" width="10.09765625" style="26" customWidth="1"/>
    <col min="12785" max="12785" width="16.5" style="26" customWidth="1"/>
    <col min="12786" max="12786" width="11.59765625" style="26" customWidth="1"/>
    <col min="12787" max="12788" width="11.8984375" style="26" customWidth="1"/>
    <col min="12789" max="12789" width="9.796875" style="26" customWidth="1"/>
    <col min="12790" max="12790" width="10" style="26" customWidth="1"/>
    <col min="12791" max="12791" width="13.69921875" style="26" customWidth="1"/>
    <col min="12792" max="12792" width="8.69921875" style="26"/>
    <col min="12793" max="12793" width="9.8984375" style="26" customWidth="1"/>
    <col min="12794" max="12794" width="9.69921875" style="26" customWidth="1"/>
    <col min="12795" max="12795" width="10.296875" style="26" customWidth="1"/>
    <col min="12796" max="12796" width="3.59765625" style="26" customWidth="1"/>
    <col min="12797" max="12987" width="8.69921875" style="26"/>
    <col min="12988" max="12988" width="5.796875" style="26" customWidth="1"/>
    <col min="12989" max="12989" width="12.5" style="26" customWidth="1"/>
    <col min="12990" max="12990" width="10.69921875" style="26" customWidth="1"/>
    <col min="12991" max="12993" width="8.69921875" style="26"/>
    <col min="12994" max="12994" width="13.8984375" style="26" customWidth="1"/>
    <col min="12995" max="12995" width="14.59765625" style="26" customWidth="1"/>
    <col min="12996" max="13007" width="8.69921875" style="26"/>
    <col min="13008" max="13008" width="10.796875" style="26" customWidth="1"/>
    <col min="13009" max="13009" width="11.5" style="26" customWidth="1"/>
    <col min="13010" max="13010" width="10" style="26" customWidth="1"/>
    <col min="13011" max="13011" width="10.796875" style="26" customWidth="1"/>
    <col min="13012" max="13012" width="8.69921875" style="26"/>
    <col min="13013" max="13013" width="13.796875" style="26" customWidth="1"/>
    <col min="13014" max="13014" width="13.69921875" style="26" customWidth="1"/>
    <col min="13015" max="13015" width="19.296875" style="26" customWidth="1"/>
    <col min="13016" max="13031" width="8.69921875" style="26"/>
    <col min="13032" max="13033" width="12.09765625" style="26" customWidth="1"/>
    <col min="13034" max="13034" width="8.69921875" style="26"/>
    <col min="13035" max="13035" width="12.5" style="26" customWidth="1"/>
    <col min="13036" max="13036" width="9.59765625" style="26" customWidth="1"/>
    <col min="13037" max="13037" width="15.59765625" style="26" customWidth="1"/>
    <col min="13038" max="13039" width="11.3984375" style="26" customWidth="1"/>
    <col min="13040" max="13040" width="10.09765625" style="26" customWidth="1"/>
    <col min="13041" max="13041" width="16.5" style="26" customWidth="1"/>
    <col min="13042" max="13042" width="11.59765625" style="26" customWidth="1"/>
    <col min="13043" max="13044" width="11.8984375" style="26" customWidth="1"/>
    <col min="13045" max="13045" width="9.796875" style="26" customWidth="1"/>
    <col min="13046" max="13046" width="10" style="26" customWidth="1"/>
    <col min="13047" max="13047" width="13.69921875" style="26" customWidth="1"/>
    <col min="13048" max="13048" width="8.69921875" style="26"/>
    <col min="13049" max="13049" width="9.8984375" style="26" customWidth="1"/>
    <col min="13050" max="13050" width="9.69921875" style="26" customWidth="1"/>
    <col min="13051" max="13051" width="10.296875" style="26" customWidth="1"/>
    <col min="13052" max="13052" width="3.59765625" style="26" customWidth="1"/>
    <col min="13053" max="13243" width="8.69921875" style="26"/>
    <col min="13244" max="13244" width="5.796875" style="26" customWidth="1"/>
    <col min="13245" max="13245" width="12.5" style="26" customWidth="1"/>
    <col min="13246" max="13246" width="10.69921875" style="26" customWidth="1"/>
    <col min="13247" max="13249" width="8.69921875" style="26"/>
    <col min="13250" max="13250" width="13.8984375" style="26" customWidth="1"/>
    <col min="13251" max="13251" width="14.59765625" style="26" customWidth="1"/>
    <col min="13252" max="13263" width="8.69921875" style="26"/>
    <col min="13264" max="13264" width="10.796875" style="26" customWidth="1"/>
    <col min="13265" max="13265" width="11.5" style="26" customWidth="1"/>
    <col min="13266" max="13266" width="10" style="26" customWidth="1"/>
    <col min="13267" max="13267" width="10.796875" style="26" customWidth="1"/>
    <col min="13268" max="13268" width="8.69921875" style="26"/>
    <col min="13269" max="13269" width="13.796875" style="26" customWidth="1"/>
    <col min="13270" max="13270" width="13.69921875" style="26" customWidth="1"/>
    <col min="13271" max="13271" width="19.296875" style="26" customWidth="1"/>
    <col min="13272" max="13287" width="8.69921875" style="26"/>
    <col min="13288" max="13289" width="12.09765625" style="26" customWidth="1"/>
    <col min="13290" max="13290" width="8.69921875" style="26"/>
    <col min="13291" max="13291" width="12.5" style="26" customWidth="1"/>
    <col min="13292" max="13292" width="9.59765625" style="26" customWidth="1"/>
    <col min="13293" max="13293" width="15.59765625" style="26" customWidth="1"/>
    <col min="13294" max="13295" width="11.3984375" style="26" customWidth="1"/>
    <col min="13296" max="13296" width="10.09765625" style="26" customWidth="1"/>
    <col min="13297" max="13297" width="16.5" style="26" customWidth="1"/>
    <col min="13298" max="13298" width="11.59765625" style="26" customWidth="1"/>
    <col min="13299" max="13300" width="11.8984375" style="26" customWidth="1"/>
    <col min="13301" max="13301" width="9.796875" style="26" customWidth="1"/>
    <col min="13302" max="13302" width="10" style="26" customWidth="1"/>
    <col min="13303" max="13303" width="13.69921875" style="26" customWidth="1"/>
    <col min="13304" max="13304" width="8.69921875" style="26"/>
    <col min="13305" max="13305" width="9.8984375" style="26" customWidth="1"/>
    <col min="13306" max="13306" width="9.69921875" style="26" customWidth="1"/>
    <col min="13307" max="13307" width="10.296875" style="26" customWidth="1"/>
    <col min="13308" max="13308" width="3.59765625" style="26" customWidth="1"/>
    <col min="13309" max="13499" width="8.69921875" style="26"/>
    <col min="13500" max="13500" width="5.796875" style="26" customWidth="1"/>
    <col min="13501" max="13501" width="12.5" style="26" customWidth="1"/>
    <col min="13502" max="13502" width="10.69921875" style="26" customWidth="1"/>
    <col min="13503" max="13505" width="8.69921875" style="26"/>
    <col min="13506" max="13506" width="13.8984375" style="26" customWidth="1"/>
    <col min="13507" max="13507" width="14.59765625" style="26" customWidth="1"/>
    <col min="13508" max="13519" width="8.69921875" style="26"/>
    <col min="13520" max="13520" width="10.796875" style="26" customWidth="1"/>
    <col min="13521" max="13521" width="11.5" style="26" customWidth="1"/>
    <col min="13522" max="13522" width="10" style="26" customWidth="1"/>
    <col min="13523" max="13523" width="10.796875" style="26" customWidth="1"/>
    <col min="13524" max="13524" width="8.69921875" style="26"/>
    <col min="13525" max="13525" width="13.796875" style="26" customWidth="1"/>
    <col min="13526" max="13526" width="13.69921875" style="26" customWidth="1"/>
    <col min="13527" max="13527" width="19.296875" style="26" customWidth="1"/>
    <col min="13528" max="13543" width="8.69921875" style="26"/>
    <col min="13544" max="13545" width="12.09765625" style="26" customWidth="1"/>
    <col min="13546" max="13546" width="8.69921875" style="26"/>
    <col min="13547" max="13547" width="12.5" style="26" customWidth="1"/>
    <col min="13548" max="13548" width="9.59765625" style="26" customWidth="1"/>
    <col min="13549" max="13549" width="15.59765625" style="26" customWidth="1"/>
    <col min="13550" max="13551" width="11.3984375" style="26" customWidth="1"/>
    <col min="13552" max="13552" width="10.09765625" style="26" customWidth="1"/>
    <col min="13553" max="13553" width="16.5" style="26" customWidth="1"/>
    <col min="13554" max="13554" width="11.59765625" style="26" customWidth="1"/>
    <col min="13555" max="13556" width="11.8984375" style="26" customWidth="1"/>
    <col min="13557" max="13557" width="9.796875" style="26" customWidth="1"/>
    <col min="13558" max="13558" width="10" style="26" customWidth="1"/>
    <col min="13559" max="13559" width="13.69921875" style="26" customWidth="1"/>
    <col min="13560" max="13560" width="8.69921875" style="26"/>
    <col min="13561" max="13561" width="9.8984375" style="26" customWidth="1"/>
    <col min="13562" max="13562" width="9.69921875" style="26" customWidth="1"/>
    <col min="13563" max="13563" width="10.296875" style="26" customWidth="1"/>
    <col min="13564" max="13564" width="3.59765625" style="26" customWidth="1"/>
    <col min="13565" max="13755" width="8.69921875" style="26"/>
    <col min="13756" max="13756" width="5.796875" style="26" customWidth="1"/>
    <col min="13757" max="13757" width="12.5" style="26" customWidth="1"/>
    <col min="13758" max="13758" width="10.69921875" style="26" customWidth="1"/>
    <col min="13759" max="13761" width="8.69921875" style="26"/>
    <col min="13762" max="13762" width="13.8984375" style="26" customWidth="1"/>
    <col min="13763" max="13763" width="14.59765625" style="26" customWidth="1"/>
    <col min="13764" max="13775" width="8.69921875" style="26"/>
    <col min="13776" max="13776" width="10.796875" style="26" customWidth="1"/>
    <col min="13777" max="13777" width="11.5" style="26" customWidth="1"/>
    <col min="13778" max="13778" width="10" style="26" customWidth="1"/>
    <col min="13779" max="13779" width="10.796875" style="26" customWidth="1"/>
    <col min="13780" max="13780" width="8.69921875" style="26"/>
    <col min="13781" max="13781" width="13.796875" style="26" customWidth="1"/>
    <col min="13782" max="13782" width="13.69921875" style="26" customWidth="1"/>
    <col min="13783" max="13783" width="19.296875" style="26" customWidth="1"/>
    <col min="13784" max="13799" width="8.69921875" style="26"/>
    <col min="13800" max="13801" width="12.09765625" style="26" customWidth="1"/>
    <col min="13802" max="13802" width="8.69921875" style="26"/>
    <col min="13803" max="13803" width="12.5" style="26" customWidth="1"/>
    <col min="13804" max="13804" width="9.59765625" style="26" customWidth="1"/>
    <col min="13805" max="13805" width="15.59765625" style="26" customWidth="1"/>
    <col min="13806" max="13807" width="11.3984375" style="26" customWidth="1"/>
    <col min="13808" max="13808" width="10.09765625" style="26" customWidth="1"/>
    <col min="13809" max="13809" width="16.5" style="26" customWidth="1"/>
    <col min="13810" max="13810" width="11.59765625" style="26" customWidth="1"/>
    <col min="13811" max="13812" width="11.8984375" style="26" customWidth="1"/>
    <col min="13813" max="13813" width="9.796875" style="26" customWidth="1"/>
    <col min="13814" max="13814" width="10" style="26" customWidth="1"/>
    <col min="13815" max="13815" width="13.69921875" style="26" customWidth="1"/>
    <col min="13816" max="13816" width="8.69921875" style="26"/>
    <col min="13817" max="13817" width="9.8984375" style="26" customWidth="1"/>
    <col min="13818" max="13818" width="9.69921875" style="26" customWidth="1"/>
    <col min="13819" max="13819" width="10.296875" style="26" customWidth="1"/>
    <col min="13820" max="13820" width="3.59765625" style="26" customWidth="1"/>
    <col min="13821" max="14011" width="8.69921875" style="26"/>
    <col min="14012" max="14012" width="5.796875" style="26" customWidth="1"/>
    <col min="14013" max="14013" width="12.5" style="26" customWidth="1"/>
    <col min="14014" max="14014" width="10.69921875" style="26" customWidth="1"/>
    <col min="14015" max="14017" width="8.69921875" style="26"/>
    <col min="14018" max="14018" width="13.8984375" style="26" customWidth="1"/>
    <col min="14019" max="14019" width="14.59765625" style="26" customWidth="1"/>
    <col min="14020" max="14031" width="8.69921875" style="26"/>
    <col min="14032" max="14032" width="10.796875" style="26" customWidth="1"/>
    <col min="14033" max="14033" width="11.5" style="26" customWidth="1"/>
    <col min="14034" max="14034" width="10" style="26" customWidth="1"/>
    <col min="14035" max="14035" width="10.796875" style="26" customWidth="1"/>
    <col min="14036" max="14036" width="8.69921875" style="26"/>
    <col min="14037" max="14037" width="13.796875" style="26" customWidth="1"/>
    <col min="14038" max="14038" width="13.69921875" style="26" customWidth="1"/>
    <col min="14039" max="14039" width="19.296875" style="26" customWidth="1"/>
    <col min="14040" max="14055" width="8.69921875" style="26"/>
    <col min="14056" max="14057" width="12.09765625" style="26" customWidth="1"/>
    <col min="14058" max="14058" width="8.69921875" style="26"/>
    <col min="14059" max="14059" width="12.5" style="26" customWidth="1"/>
    <col min="14060" max="14060" width="9.59765625" style="26" customWidth="1"/>
    <col min="14061" max="14061" width="15.59765625" style="26" customWidth="1"/>
    <col min="14062" max="14063" width="11.3984375" style="26" customWidth="1"/>
    <col min="14064" max="14064" width="10.09765625" style="26" customWidth="1"/>
    <col min="14065" max="14065" width="16.5" style="26" customWidth="1"/>
    <col min="14066" max="14066" width="11.59765625" style="26" customWidth="1"/>
    <col min="14067" max="14068" width="11.8984375" style="26" customWidth="1"/>
    <col min="14069" max="14069" width="9.796875" style="26" customWidth="1"/>
    <col min="14070" max="14070" width="10" style="26" customWidth="1"/>
    <col min="14071" max="14071" width="13.69921875" style="26" customWidth="1"/>
    <col min="14072" max="14072" width="8.69921875" style="26"/>
    <col min="14073" max="14073" width="9.8984375" style="26" customWidth="1"/>
    <col min="14074" max="14074" width="9.69921875" style="26" customWidth="1"/>
    <col min="14075" max="14075" width="10.296875" style="26" customWidth="1"/>
    <col min="14076" max="14076" width="3.59765625" style="26" customWidth="1"/>
    <col min="14077" max="14267" width="8.69921875" style="26"/>
    <col min="14268" max="14268" width="5.796875" style="26" customWidth="1"/>
    <col min="14269" max="14269" width="12.5" style="26" customWidth="1"/>
    <col min="14270" max="14270" width="10.69921875" style="26" customWidth="1"/>
    <col min="14271" max="14273" width="8.69921875" style="26"/>
    <col min="14274" max="14274" width="13.8984375" style="26" customWidth="1"/>
    <col min="14275" max="14275" width="14.59765625" style="26" customWidth="1"/>
    <col min="14276" max="14287" width="8.69921875" style="26"/>
    <col min="14288" max="14288" width="10.796875" style="26" customWidth="1"/>
    <col min="14289" max="14289" width="11.5" style="26" customWidth="1"/>
    <col min="14290" max="14290" width="10" style="26" customWidth="1"/>
    <col min="14291" max="14291" width="10.796875" style="26" customWidth="1"/>
    <col min="14292" max="14292" width="8.69921875" style="26"/>
    <col min="14293" max="14293" width="13.796875" style="26" customWidth="1"/>
    <col min="14294" max="14294" width="13.69921875" style="26" customWidth="1"/>
    <col min="14295" max="14295" width="19.296875" style="26" customWidth="1"/>
    <col min="14296" max="14311" width="8.69921875" style="26"/>
    <col min="14312" max="14313" width="12.09765625" style="26" customWidth="1"/>
    <col min="14314" max="14314" width="8.69921875" style="26"/>
    <col min="14315" max="14315" width="12.5" style="26" customWidth="1"/>
    <col min="14316" max="14316" width="9.59765625" style="26" customWidth="1"/>
    <col min="14317" max="14317" width="15.59765625" style="26" customWidth="1"/>
    <col min="14318" max="14319" width="11.3984375" style="26" customWidth="1"/>
    <col min="14320" max="14320" width="10.09765625" style="26" customWidth="1"/>
    <col min="14321" max="14321" width="16.5" style="26" customWidth="1"/>
    <col min="14322" max="14322" width="11.59765625" style="26" customWidth="1"/>
    <col min="14323" max="14324" width="11.8984375" style="26" customWidth="1"/>
    <col min="14325" max="14325" width="9.796875" style="26" customWidth="1"/>
    <col min="14326" max="14326" width="10" style="26" customWidth="1"/>
    <col min="14327" max="14327" width="13.69921875" style="26" customWidth="1"/>
    <col min="14328" max="14328" width="8.69921875" style="26"/>
    <col min="14329" max="14329" width="9.8984375" style="26" customWidth="1"/>
    <col min="14330" max="14330" width="9.69921875" style="26" customWidth="1"/>
    <col min="14331" max="14331" width="10.296875" style="26" customWidth="1"/>
    <col min="14332" max="14332" width="3.59765625" style="26" customWidth="1"/>
    <col min="14333" max="14523" width="8.69921875" style="26"/>
    <col min="14524" max="14524" width="5.796875" style="26" customWidth="1"/>
    <col min="14525" max="14525" width="12.5" style="26" customWidth="1"/>
    <col min="14526" max="14526" width="10.69921875" style="26" customWidth="1"/>
    <col min="14527" max="14529" width="8.69921875" style="26"/>
    <col min="14530" max="14530" width="13.8984375" style="26" customWidth="1"/>
    <col min="14531" max="14531" width="14.59765625" style="26" customWidth="1"/>
    <col min="14532" max="14543" width="8.69921875" style="26"/>
    <col min="14544" max="14544" width="10.796875" style="26" customWidth="1"/>
    <col min="14545" max="14545" width="11.5" style="26" customWidth="1"/>
    <col min="14546" max="14546" width="10" style="26" customWidth="1"/>
    <col min="14547" max="14547" width="10.796875" style="26" customWidth="1"/>
    <col min="14548" max="14548" width="8.69921875" style="26"/>
    <col min="14549" max="14549" width="13.796875" style="26" customWidth="1"/>
    <col min="14550" max="14550" width="13.69921875" style="26" customWidth="1"/>
    <col min="14551" max="14551" width="19.296875" style="26" customWidth="1"/>
    <col min="14552" max="14567" width="8.69921875" style="26"/>
    <col min="14568" max="14569" width="12.09765625" style="26" customWidth="1"/>
    <col min="14570" max="14570" width="8.69921875" style="26"/>
    <col min="14571" max="14571" width="12.5" style="26" customWidth="1"/>
    <col min="14572" max="14572" width="9.59765625" style="26" customWidth="1"/>
    <col min="14573" max="14573" width="15.59765625" style="26" customWidth="1"/>
    <col min="14574" max="14575" width="11.3984375" style="26" customWidth="1"/>
    <col min="14576" max="14576" width="10.09765625" style="26" customWidth="1"/>
    <col min="14577" max="14577" width="16.5" style="26" customWidth="1"/>
    <col min="14578" max="14578" width="11.59765625" style="26" customWidth="1"/>
    <col min="14579" max="14580" width="11.8984375" style="26" customWidth="1"/>
    <col min="14581" max="14581" width="9.796875" style="26" customWidth="1"/>
    <col min="14582" max="14582" width="10" style="26" customWidth="1"/>
    <col min="14583" max="14583" width="13.69921875" style="26" customWidth="1"/>
    <col min="14584" max="14584" width="8.69921875" style="26"/>
    <col min="14585" max="14585" width="9.8984375" style="26" customWidth="1"/>
    <col min="14586" max="14586" width="9.69921875" style="26" customWidth="1"/>
    <col min="14587" max="14587" width="10.296875" style="26" customWidth="1"/>
    <col min="14588" max="14588" width="3.59765625" style="26" customWidth="1"/>
    <col min="14589" max="14779" width="8.69921875" style="26"/>
    <col min="14780" max="14780" width="5.796875" style="26" customWidth="1"/>
    <col min="14781" max="14781" width="12.5" style="26" customWidth="1"/>
    <col min="14782" max="14782" width="10.69921875" style="26" customWidth="1"/>
    <col min="14783" max="14785" width="8.69921875" style="26"/>
    <col min="14786" max="14786" width="13.8984375" style="26" customWidth="1"/>
    <col min="14787" max="14787" width="14.59765625" style="26" customWidth="1"/>
    <col min="14788" max="14799" width="8.69921875" style="26"/>
    <col min="14800" max="14800" width="10.796875" style="26" customWidth="1"/>
    <col min="14801" max="14801" width="11.5" style="26" customWidth="1"/>
    <col min="14802" max="14802" width="10" style="26" customWidth="1"/>
    <col min="14803" max="14803" width="10.796875" style="26" customWidth="1"/>
    <col min="14804" max="14804" width="8.69921875" style="26"/>
    <col min="14805" max="14805" width="13.796875" style="26" customWidth="1"/>
    <col min="14806" max="14806" width="13.69921875" style="26" customWidth="1"/>
    <col min="14807" max="14807" width="19.296875" style="26" customWidth="1"/>
    <col min="14808" max="14823" width="8.69921875" style="26"/>
    <col min="14824" max="14825" width="12.09765625" style="26" customWidth="1"/>
    <col min="14826" max="14826" width="8.69921875" style="26"/>
    <col min="14827" max="14827" width="12.5" style="26" customWidth="1"/>
    <col min="14828" max="14828" width="9.59765625" style="26" customWidth="1"/>
    <col min="14829" max="14829" width="15.59765625" style="26" customWidth="1"/>
    <col min="14830" max="14831" width="11.3984375" style="26" customWidth="1"/>
    <col min="14832" max="14832" width="10.09765625" style="26" customWidth="1"/>
    <col min="14833" max="14833" width="16.5" style="26" customWidth="1"/>
    <col min="14834" max="14834" width="11.59765625" style="26" customWidth="1"/>
    <col min="14835" max="14836" width="11.8984375" style="26" customWidth="1"/>
    <col min="14837" max="14837" width="9.796875" style="26" customWidth="1"/>
    <col min="14838" max="14838" width="10" style="26" customWidth="1"/>
    <col min="14839" max="14839" width="13.69921875" style="26" customWidth="1"/>
    <col min="14840" max="14840" width="8.69921875" style="26"/>
    <col min="14841" max="14841" width="9.8984375" style="26" customWidth="1"/>
    <col min="14842" max="14842" width="9.69921875" style="26" customWidth="1"/>
    <col min="14843" max="14843" width="10.296875" style="26" customWidth="1"/>
    <col min="14844" max="14844" width="3.59765625" style="26" customWidth="1"/>
    <col min="14845" max="15035" width="8.69921875" style="26"/>
    <col min="15036" max="15036" width="5.796875" style="26" customWidth="1"/>
    <col min="15037" max="15037" width="12.5" style="26" customWidth="1"/>
    <col min="15038" max="15038" width="10.69921875" style="26" customWidth="1"/>
    <col min="15039" max="15041" width="8.69921875" style="26"/>
    <col min="15042" max="15042" width="13.8984375" style="26" customWidth="1"/>
    <col min="15043" max="15043" width="14.59765625" style="26" customWidth="1"/>
    <col min="15044" max="15055" width="8.69921875" style="26"/>
    <col min="15056" max="15056" width="10.796875" style="26" customWidth="1"/>
    <col min="15057" max="15057" width="11.5" style="26" customWidth="1"/>
    <col min="15058" max="15058" width="10" style="26" customWidth="1"/>
    <col min="15059" max="15059" width="10.796875" style="26" customWidth="1"/>
    <col min="15060" max="15060" width="8.69921875" style="26"/>
    <col min="15061" max="15061" width="13.796875" style="26" customWidth="1"/>
    <col min="15062" max="15062" width="13.69921875" style="26" customWidth="1"/>
    <col min="15063" max="15063" width="19.296875" style="26" customWidth="1"/>
    <col min="15064" max="15079" width="8.69921875" style="26"/>
    <col min="15080" max="15081" width="12.09765625" style="26" customWidth="1"/>
    <col min="15082" max="15082" width="8.69921875" style="26"/>
    <col min="15083" max="15083" width="12.5" style="26" customWidth="1"/>
    <col min="15084" max="15084" width="9.59765625" style="26" customWidth="1"/>
    <col min="15085" max="15085" width="15.59765625" style="26" customWidth="1"/>
    <col min="15086" max="15087" width="11.3984375" style="26" customWidth="1"/>
    <col min="15088" max="15088" width="10.09765625" style="26" customWidth="1"/>
    <col min="15089" max="15089" width="16.5" style="26" customWidth="1"/>
    <col min="15090" max="15090" width="11.59765625" style="26" customWidth="1"/>
    <col min="15091" max="15092" width="11.8984375" style="26" customWidth="1"/>
    <col min="15093" max="15093" width="9.796875" style="26" customWidth="1"/>
    <col min="15094" max="15094" width="10" style="26" customWidth="1"/>
    <col min="15095" max="15095" width="13.69921875" style="26" customWidth="1"/>
    <col min="15096" max="15096" width="8.69921875" style="26"/>
    <col min="15097" max="15097" width="9.8984375" style="26" customWidth="1"/>
    <col min="15098" max="15098" width="9.69921875" style="26" customWidth="1"/>
    <col min="15099" max="15099" width="10.296875" style="26" customWidth="1"/>
    <col min="15100" max="15100" width="3.59765625" style="26" customWidth="1"/>
    <col min="15101" max="15291" width="8.69921875" style="26"/>
    <col min="15292" max="15292" width="5.796875" style="26" customWidth="1"/>
    <col min="15293" max="15293" width="12.5" style="26" customWidth="1"/>
    <col min="15294" max="15294" width="10.69921875" style="26" customWidth="1"/>
    <col min="15295" max="15297" width="8.69921875" style="26"/>
    <col min="15298" max="15298" width="13.8984375" style="26" customWidth="1"/>
    <col min="15299" max="15299" width="14.59765625" style="26" customWidth="1"/>
    <col min="15300" max="15311" width="8.69921875" style="26"/>
    <col min="15312" max="15312" width="10.796875" style="26" customWidth="1"/>
    <col min="15313" max="15313" width="11.5" style="26" customWidth="1"/>
    <col min="15314" max="15314" width="10" style="26" customWidth="1"/>
    <col min="15315" max="15315" width="10.796875" style="26" customWidth="1"/>
    <col min="15316" max="15316" width="8.69921875" style="26"/>
    <col min="15317" max="15317" width="13.796875" style="26" customWidth="1"/>
    <col min="15318" max="15318" width="13.69921875" style="26" customWidth="1"/>
    <col min="15319" max="15319" width="19.296875" style="26" customWidth="1"/>
    <col min="15320" max="15335" width="8.69921875" style="26"/>
    <col min="15336" max="15337" width="12.09765625" style="26" customWidth="1"/>
    <col min="15338" max="15338" width="8.69921875" style="26"/>
    <col min="15339" max="15339" width="12.5" style="26" customWidth="1"/>
    <col min="15340" max="15340" width="9.59765625" style="26" customWidth="1"/>
    <col min="15341" max="15341" width="15.59765625" style="26" customWidth="1"/>
    <col min="15342" max="15343" width="11.3984375" style="26" customWidth="1"/>
    <col min="15344" max="15344" width="10.09765625" style="26" customWidth="1"/>
    <col min="15345" max="15345" width="16.5" style="26" customWidth="1"/>
    <col min="15346" max="15346" width="11.59765625" style="26" customWidth="1"/>
    <col min="15347" max="15348" width="11.8984375" style="26" customWidth="1"/>
    <col min="15349" max="15349" width="9.796875" style="26" customWidth="1"/>
    <col min="15350" max="15350" width="10" style="26" customWidth="1"/>
    <col min="15351" max="15351" width="13.69921875" style="26" customWidth="1"/>
    <col min="15352" max="15352" width="8.69921875" style="26"/>
    <col min="15353" max="15353" width="9.8984375" style="26" customWidth="1"/>
    <col min="15354" max="15354" width="9.69921875" style="26" customWidth="1"/>
    <col min="15355" max="15355" width="10.296875" style="26" customWidth="1"/>
    <col min="15356" max="15356" width="3.59765625" style="26" customWidth="1"/>
    <col min="15357" max="15547" width="8.69921875" style="26"/>
    <col min="15548" max="15548" width="5.796875" style="26" customWidth="1"/>
    <col min="15549" max="15549" width="12.5" style="26" customWidth="1"/>
    <col min="15550" max="15550" width="10.69921875" style="26" customWidth="1"/>
    <col min="15551" max="15553" width="8.69921875" style="26"/>
    <col min="15554" max="15554" width="13.8984375" style="26" customWidth="1"/>
    <col min="15555" max="15555" width="14.59765625" style="26" customWidth="1"/>
    <col min="15556" max="15567" width="8.69921875" style="26"/>
    <col min="15568" max="15568" width="10.796875" style="26" customWidth="1"/>
    <col min="15569" max="15569" width="11.5" style="26" customWidth="1"/>
    <col min="15570" max="15570" width="10" style="26" customWidth="1"/>
    <col min="15571" max="15571" width="10.796875" style="26" customWidth="1"/>
    <col min="15572" max="15572" width="8.69921875" style="26"/>
    <col min="15573" max="15573" width="13.796875" style="26" customWidth="1"/>
    <col min="15574" max="15574" width="13.69921875" style="26" customWidth="1"/>
    <col min="15575" max="15575" width="19.296875" style="26" customWidth="1"/>
    <col min="15576" max="15591" width="8.69921875" style="26"/>
    <col min="15592" max="15593" width="12.09765625" style="26" customWidth="1"/>
    <col min="15594" max="15594" width="8.69921875" style="26"/>
    <col min="15595" max="15595" width="12.5" style="26" customWidth="1"/>
    <col min="15596" max="15596" width="9.59765625" style="26" customWidth="1"/>
    <col min="15597" max="15597" width="15.59765625" style="26" customWidth="1"/>
    <col min="15598" max="15599" width="11.3984375" style="26" customWidth="1"/>
    <col min="15600" max="15600" width="10.09765625" style="26" customWidth="1"/>
    <col min="15601" max="15601" width="16.5" style="26" customWidth="1"/>
    <col min="15602" max="15602" width="11.59765625" style="26" customWidth="1"/>
    <col min="15603" max="15604" width="11.8984375" style="26" customWidth="1"/>
    <col min="15605" max="15605" width="9.796875" style="26" customWidth="1"/>
    <col min="15606" max="15606" width="10" style="26" customWidth="1"/>
    <col min="15607" max="15607" width="13.69921875" style="26" customWidth="1"/>
    <col min="15608" max="15608" width="8.69921875" style="26"/>
    <col min="15609" max="15609" width="9.8984375" style="26" customWidth="1"/>
    <col min="15610" max="15610" width="9.69921875" style="26" customWidth="1"/>
    <col min="15611" max="15611" width="10.296875" style="26" customWidth="1"/>
    <col min="15612" max="15612" width="3.59765625" style="26" customWidth="1"/>
    <col min="15613" max="15803" width="8.69921875" style="26"/>
    <col min="15804" max="15804" width="5.796875" style="26" customWidth="1"/>
    <col min="15805" max="15805" width="12.5" style="26" customWidth="1"/>
    <col min="15806" max="15806" width="10.69921875" style="26" customWidth="1"/>
    <col min="15807" max="15809" width="8.69921875" style="26"/>
    <col min="15810" max="15810" width="13.8984375" style="26" customWidth="1"/>
    <col min="15811" max="15811" width="14.59765625" style="26" customWidth="1"/>
    <col min="15812" max="15823" width="8.69921875" style="26"/>
    <col min="15824" max="15824" width="10.796875" style="26" customWidth="1"/>
    <col min="15825" max="15825" width="11.5" style="26" customWidth="1"/>
    <col min="15826" max="15826" width="10" style="26" customWidth="1"/>
    <col min="15827" max="15827" width="10.796875" style="26" customWidth="1"/>
    <col min="15828" max="15828" width="8.69921875" style="26"/>
    <col min="15829" max="15829" width="13.796875" style="26" customWidth="1"/>
    <col min="15830" max="15830" width="13.69921875" style="26" customWidth="1"/>
    <col min="15831" max="15831" width="19.296875" style="26" customWidth="1"/>
    <col min="15832" max="15847" width="8.69921875" style="26"/>
    <col min="15848" max="15849" width="12.09765625" style="26" customWidth="1"/>
    <col min="15850" max="15850" width="8.69921875" style="26"/>
    <col min="15851" max="15851" width="12.5" style="26" customWidth="1"/>
    <col min="15852" max="15852" width="9.59765625" style="26" customWidth="1"/>
    <col min="15853" max="15853" width="15.59765625" style="26" customWidth="1"/>
    <col min="15854" max="15855" width="11.3984375" style="26" customWidth="1"/>
    <col min="15856" max="15856" width="10.09765625" style="26" customWidth="1"/>
    <col min="15857" max="15857" width="16.5" style="26" customWidth="1"/>
    <col min="15858" max="15858" width="11.59765625" style="26" customWidth="1"/>
    <col min="15859" max="15860" width="11.8984375" style="26" customWidth="1"/>
    <col min="15861" max="15861" width="9.796875" style="26" customWidth="1"/>
    <col min="15862" max="15862" width="10" style="26" customWidth="1"/>
    <col min="15863" max="15863" width="13.69921875" style="26" customWidth="1"/>
    <col min="15864" max="15864" width="8.69921875" style="26"/>
    <col min="15865" max="15865" width="9.8984375" style="26" customWidth="1"/>
    <col min="15866" max="15866" width="9.69921875" style="26" customWidth="1"/>
    <col min="15867" max="15867" width="10.296875" style="26" customWidth="1"/>
    <col min="15868" max="15868" width="3.59765625" style="26" customWidth="1"/>
    <col min="15869" max="16059" width="8.69921875" style="26"/>
    <col min="16060" max="16060" width="5.796875" style="26" customWidth="1"/>
    <col min="16061" max="16061" width="12.5" style="26" customWidth="1"/>
    <col min="16062" max="16062" width="10.69921875" style="26" customWidth="1"/>
    <col min="16063" max="16065" width="8.69921875" style="26"/>
    <col min="16066" max="16066" width="13.8984375" style="26" customWidth="1"/>
    <col min="16067" max="16067" width="14.59765625" style="26" customWidth="1"/>
    <col min="16068" max="16079" width="8.69921875" style="26"/>
    <col min="16080" max="16080" width="10.796875" style="26" customWidth="1"/>
    <col min="16081" max="16081" width="11.5" style="26" customWidth="1"/>
    <col min="16082" max="16082" width="10" style="26" customWidth="1"/>
    <col min="16083" max="16083" width="10.796875" style="26" customWidth="1"/>
    <col min="16084" max="16084" width="8.69921875" style="26"/>
    <col min="16085" max="16085" width="13.796875" style="26" customWidth="1"/>
    <col min="16086" max="16086" width="13.69921875" style="26" customWidth="1"/>
    <col min="16087" max="16087" width="19.296875" style="26" customWidth="1"/>
    <col min="16088" max="16103" width="8.69921875" style="26"/>
    <col min="16104" max="16105" width="12.09765625" style="26" customWidth="1"/>
    <col min="16106" max="16106" width="8.69921875" style="26"/>
    <col min="16107" max="16107" width="12.5" style="26" customWidth="1"/>
    <col min="16108" max="16108" width="9.59765625" style="26" customWidth="1"/>
    <col min="16109" max="16109" width="15.59765625" style="26" customWidth="1"/>
    <col min="16110" max="16111" width="11.3984375" style="26" customWidth="1"/>
    <col min="16112" max="16112" width="10.09765625" style="26" customWidth="1"/>
    <col min="16113" max="16113" width="16.5" style="26" customWidth="1"/>
    <col min="16114" max="16114" width="11.59765625" style="26" customWidth="1"/>
    <col min="16115" max="16116" width="11.8984375" style="26" customWidth="1"/>
    <col min="16117" max="16117" width="9.796875" style="26" customWidth="1"/>
    <col min="16118" max="16118" width="10" style="26" customWidth="1"/>
    <col min="16119" max="16119" width="13.69921875" style="26" customWidth="1"/>
    <col min="16120" max="16120" width="8.69921875" style="26"/>
    <col min="16121" max="16121" width="9.8984375" style="26" customWidth="1"/>
    <col min="16122" max="16122" width="9.69921875" style="26" customWidth="1"/>
    <col min="16123" max="16123" width="10.296875" style="26" customWidth="1"/>
    <col min="16124" max="16124" width="3.59765625" style="26" customWidth="1"/>
    <col min="16125" max="16384" width="8.69921875" style="26"/>
  </cols>
  <sheetData>
    <row r="1" spans="1:132" ht="13.2" x14ac:dyDescent="0.2">
      <c r="A1" s="25" t="s">
        <v>182</v>
      </c>
    </row>
    <row r="2" spans="1:132" x14ac:dyDescent="0.2">
      <c r="C2" s="28" t="s">
        <v>183</v>
      </c>
      <c r="BJ2" s="28"/>
    </row>
    <row r="3" spans="1:132" s="27" customFormat="1" x14ac:dyDescent="0.2">
      <c r="A3" s="29"/>
      <c r="B3" s="30" t="s">
        <v>184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1"/>
      <c r="DW3" s="31"/>
      <c r="DX3" s="31"/>
      <c r="DY3" s="31"/>
      <c r="DZ3" s="31"/>
      <c r="EA3" s="31"/>
      <c r="EB3" s="31"/>
    </row>
    <row r="4" spans="1:132" s="27" customFormat="1" x14ac:dyDescent="0.2">
      <c r="A4" s="29"/>
      <c r="B4" s="32" t="s">
        <v>185</v>
      </c>
      <c r="C4" s="31" t="s">
        <v>306</v>
      </c>
      <c r="D4" s="31" t="s">
        <v>307</v>
      </c>
      <c r="E4" s="31" t="s">
        <v>306</v>
      </c>
      <c r="F4" s="31" t="s">
        <v>306</v>
      </c>
      <c r="G4" s="31" t="s">
        <v>332</v>
      </c>
      <c r="H4" s="31" t="s">
        <v>332</v>
      </c>
      <c r="I4" s="31" t="s">
        <v>309</v>
      </c>
      <c r="J4" s="31" t="s">
        <v>332</v>
      </c>
      <c r="K4" s="31" t="s">
        <v>309</v>
      </c>
      <c r="L4" s="31" t="s">
        <v>306</v>
      </c>
      <c r="M4" s="31" t="s">
        <v>306</v>
      </c>
      <c r="N4" s="31" t="s">
        <v>309</v>
      </c>
      <c r="O4" s="31" t="s">
        <v>309</v>
      </c>
      <c r="P4" s="31" t="s">
        <v>309</v>
      </c>
      <c r="Q4" s="31" t="s">
        <v>309</v>
      </c>
      <c r="R4" s="31" t="s">
        <v>309</v>
      </c>
      <c r="S4" s="31" t="s">
        <v>310</v>
      </c>
      <c r="T4" s="31" t="s">
        <v>309</v>
      </c>
      <c r="U4" s="31" t="s">
        <v>335</v>
      </c>
      <c r="V4" s="31" t="s">
        <v>331</v>
      </c>
      <c r="W4" s="31" t="s">
        <v>333</v>
      </c>
      <c r="X4" s="31" t="s">
        <v>334</v>
      </c>
      <c r="Y4" s="31" t="s">
        <v>335</v>
      </c>
      <c r="Z4" s="31" t="s">
        <v>310</v>
      </c>
      <c r="AA4" s="31" t="s">
        <v>306</v>
      </c>
      <c r="AB4" s="31" t="s">
        <v>306</v>
      </c>
      <c r="AC4" s="31" t="s">
        <v>332</v>
      </c>
      <c r="AD4" s="31" t="s">
        <v>306</v>
      </c>
      <c r="AE4" s="31" t="s">
        <v>306</v>
      </c>
      <c r="AF4" s="31" t="s">
        <v>306</v>
      </c>
      <c r="AG4" s="31" t="s">
        <v>306</v>
      </c>
      <c r="AH4" s="31" t="s">
        <v>306</v>
      </c>
      <c r="AI4" s="31" t="s">
        <v>306</v>
      </c>
      <c r="AJ4" s="31" t="s">
        <v>332</v>
      </c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</row>
    <row r="5" spans="1:132" s="27" customFormat="1" x14ac:dyDescent="0.2">
      <c r="A5" s="29"/>
      <c r="B5" s="30" t="s">
        <v>186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4" t="s">
        <v>351</v>
      </c>
      <c r="W5" s="34" t="s">
        <v>351</v>
      </c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</row>
    <row r="6" spans="1:132" s="35" customFormat="1" x14ac:dyDescent="0.2">
      <c r="A6" s="33"/>
      <c r="B6" s="30" t="s">
        <v>187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</row>
    <row r="7" spans="1:132" s="45" customFormat="1" ht="22.8" customHeight="1" x14ac:dyDescent="0.2">
      <c r="A7" s="44"/>
      <c r="B7" s="30" t="s">
        <v>188</v>
      </c>
      <c r="C7" s="37" t="s">
        <v>23</v>
      </c>
      <c r="D7" s="37" t="s">
        <v>288</v>
      </c>
      <c r="E7" s="37" t="s">
        <v>35</v>
      </c>
      <c r="F7" s="37" t="s">
        <v>37</v>
      </c>
      <c r="G7" s="37" t="s">
        <v>19</v>
      </c>
      <c r="H7" s="37" t="s">
        <v>34</v>
      </c>
      <c r="I7" s="37" t="s">
        <v>349</v>
      </c>
      <c r="J7" s="37" t="s">
        <v>349</v>
      </c>
      <c r="K7" s="37" t="s">
        <v>14</v>
      </c>
      <c r="L7" s="37" t="s">
        <v>289</v>
      </c>
      <c r="M7" s="37" t="s">
        <v>289</v>
      </c>
      <c r="N7" s="37" t="s">
        <v>28</v>
      </c>
      <c r="O7" s="37" t="s">
        <v>31</v>
      </c>
      <c r="P7" s="37" t="s">
        <v>29</v>
      </c>
      <c r="Q7" s="37" t="s">
        <v>290</v>
      </c>
      <c r="R7" s="37" t="s">
        <v>291</v>
      </c>
      <c r="S7" s="37" t="s">
        <v>189</v>
      </c>
      <c r="T7" s="37" t="s">
        <v>33</v>
      </c>
      <c r="U7" s="37" t="s">
        <v>33</v>
      </c>
      <c r="V7" s="37" t="s">
        <v>47</v>
      </c>
      <c r="W7" s="37" t="s">
        <v>47</v>
      </c>
      <c r="X7" s="37" t="s">
        <v>292</v>
      </c>
      <c r="Y7" s="37" t="s">
        <v>38</v>
      </c>
      <c r="Z7" s="37" t="s">
        <v>293</v>
      </c>
      <c r="AA7" s="37" t="s">
        <v>15</v>
      </c>
      <c r="AB7" s="37" t="s">
        <v>16</v>
      </c>
      <c r="AC7" s="37" t="s">
        <v>20</v>
      </c>
      <c r="AD7" s="37" t="s">
        <v>10</v>
      </c>
      <c r="AE7" s="37" t="s">
        <v>350</v>
      </c>
      <c r="AF7" s="37" t="s">
        <v>39</v>
      </c>
      <c r="AG7" s="37" t="s">
        <v>18</v>
      </c>
      <c r="AH7" s="37" t="s">
        <v>12</v>
      </c>
      <c r="AI7" s="37" t="s">
        <v>348</v>
      </c>
      <c r="AJ7" s="37" t="s">
        <v>348</v>
      </c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</row>
    <row r="8" spans="1:132" x14ac:dyDescent="0.2">
      <c r="A8" s="39" t="s">
        <v>194</v>
      </c>
      <c r="B8" s="40"/>
    </row>
    <row r="9" spans="1:132" x14ac:dyDescent="0.2">
      <c r="A9" s="43" t="s">
        <v>195</v>
      </c>
      <c r="B9" s="40"/>
      <c r="C9" s="41" t="s">
        <v>324</v>
      </c>
      <c r="D9" s="41" t="s">
        <v>324</v>
      </c>
      <c r="E9" s="41" t="s">
        <v>324</v>
      </c>
      <c r="F9" s="41" t="s">
        <v>324</v>
      </c>
      <c r="G9" s="41" t="s">
        <v>324</v>
      </c>
      <c r="H9" s="41" t="s">
        <v>324</v>
      </c>
      <c r="I9" s="41">
        <v>1.5333333333333334</v>
      </c>
      <c r="J9" s="41"/>
      <c r="K9" s="41" t="s">
        <v>324</v>
      </c>
      <c r="L9" s="41">
        <v>0.25955676080044887</v>
      </c>
      <c r="M9" s="41" t="s">
        <v>324</v>
      </c>
      <c r="N9" s="41" t="s">
        <v>324</v>
      </c>
      <c r="O9" s="41" t="s">
        <v>324</v>
      </c>
      <c r="P9" s="41" t="s">
        <v>324</v>
      </c>
      <c r="Q9" s="41" t="s">
        <v>324</v>
      </c>
      <c r="R9" s="41" t="s">
        <v>324</v>
      </c>
      <c r="S9" s="41">
        <v>8</v>
      </c>
      <c r="T9" s="41">
        <v>0.41952983725135623</v>
      </c>
      <c r="U9" s="41" t="s">
        <v>324</v>
      </c>
      <c r="V9" s="41" t="s">
        <v>324</v>
      </c>
      <c r="W9" s="41" t="s">
        <v>324</v>
      </c>
      <c r="X9" s="41" t="s">
        <v>324</v>
      </c>
      <c r="Y9" s="41" t="s">
        <v>324</v>
      </c>
      <c r="Z9" s="41">
        <v>10</v>
      </c>
      <c r="AA9" s="41" t="s">
        <v>324</v>
      </c>
      <c r="AB9" s="41" t="s">
        <v>324</v>
      </c>
      <c r="AC9" s="41">
        <v>0.15625</v>
      </c>
      <c r="AD9" s="41" t="s">
        <v>324</v>
      </c>
      <c r="AE9" s="41" t="s">
        <v>324</v>
      </c>
      <c r="AF9" s="41">
        <v>0.41632653061224489</v>
      </c>
      <c r="AG9" s="41" t="s">
        <v>324</v>
      </c>
      <c r="AH9" s="41">
        <v>0.20482315112540192</v>
      </c>
      <c r="AI9" s="41"/>
      <c r="AJ9" s="41">
        <v>2.5251602564102562</v>
      </c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</row>
    <row r="10" spans="1:132" x14ac:dyDescent="0.2">
      <c r="A10" s="43" t="s">
        <v>196</v>
      </c>
      <c r="B10" s="40"/>
      <c r="C10" s="41" t="s">
        <v>324</v>
      </c>
      <c r="D10" s="41" t="s">
        <v>324</v>
      </c>
      <c r="E10" s="41">
        <v>0.16763378465506126</v>
      </c>
      <c r="F10" s="41">
        <v>0.21226309921962097</v>
      </c>
      <c r="G10" s="41">
        <v>0.4</v>
      </c>
      <c r="H10" s="41">
        <v>3.6107142857142858</v>
      </c>
      <c r="I10" s="41" t="s">
        <v>324</v>
      </c>
      <c r="J10" s="41" t="s">
        <v>324</v>
      </c>
      <c r="K10" s="41" t="s">
        <v>324</v>
      </c>
      <c r="L10" s="41">
        <v>0.19818584070796461</v>
      </c>
      <c r="M10" s="41" t="s">
        <v>324</v>
      </c>
      <c r="N10" s="41" t="s">
        <v>324</v>
      </c>
      <c r="O10" s="41" t="s">
        <v>324</v>
      </c>
      <c r="P10" s="41" t="s">
        <v>324</v>
      </c>
      <c r="Q10" s="41" t="s">
        <v>324</v>
      </c>
      <c r="R10" s="41" t="s">
        <v>324</v>
      </c>
      <c r="S10" s="41">
        <v>8</v>
      </c>
      <c r="T10" s="41" t="s">
        <v>324</v>
      </c>
      <c r="U10" s="41">
        <v>0.5</v>
      </c>
      <c r="V10" s="41" t="s">
        <v>324</v>
      </c>
      <c r="W10" s="41" t="s">
        <v>324</v>
      </c>
      <c r="X10" s="41" t="s">
        <v>324</v>
      </c>
      <c r="Y10" s="41" t="s">
        <v>324</v>
      </c>
      <c r="Z10" s="41" t="s">
        <v>324</v>
      </c>
      <c r="AA10" s="41" t="s">
        <v>324</v>
      </c>
      <c r="AB10" s="41" t="s">
        <v>324</v>
      </c>
      <c r="AC10" s="41">
        <v>5</v>
      </c>
      <c r="AD10" s="41">
        <v>0.33112582781456956</v>
      </c>
      <c r="AE10" s="41">
        <v>0.40729166666666666</v>
      </c>
      <c r="AF10" s="41" t="s">
        <v>324</v>
      </c>
      <c r="AG10" s="41" t="s">
        <v>324</v>
      </c>
      <c r="AH10" s="41">
        <v>0.22518428596140067</v>
      </c>
      <c r="AI10" s="41"/>
      <c r="AJ10" s="41">
        <v>5.1705282669138093</v>
      </c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</row>
    <row r="11" spans="1:132" x14ac:dyDescent="0.2">
      <c r="A11" s="43" t="s">
        <v>197</v>
      </c>
      <c r="B11" s="46"/>
      <c r="C11" s="41" t="s">
        <v>324</v>
      </c>
      <c r="D11" s="41" t="s">
        <v>324</v>
      </c>
      <c r="E11" s="41">
        <v>0.16727272727272727</v>
      </c>
      <c r="F11" s="41">
        <v>0.19004524886877827</v>
      </c>
      <c r="G11" s="41">
        <v>0.62419205909510622</v>
      </c>
      <c r="H11" s="41">
        <v>5.3421052631578947</v>
      </c>
      <c r="I11" s="41" t="s">
        <v>324</v>
      </c>
      <c r="J11" s="41" t="s">
        <v>324</v>
      </c>
      <c r="K11" s="41" t="s">
        <v>324</v>
      </c>
      <c r="L11" s="41">
        <v>0.20291700903861956</v>
      </c>
      <c r="M11" s="41">
        <v>0.24943820224719099</v>
      </c>
      <c r="N11" s="41" t="s">
        <v>324</v>
      </c>
      <c r="O11" s="41">
        <v>1.6956521739130435</v>
      </c>
      <c r="P11" s="41" t="s">
        <v>324</v>
      </c>
      <c r="Q11" s="41" t="s">
        <v>324</v>
      </c>
      <c r="R11" s="41" t="s">
        <v>324</v>
      </c>
      <c r="S11" s="41">
        <v>18.476190476190474</v>
      </c>
      <c r="T11" s="41">
        <v>0.5</v>
      </c>
      <c r="U11" s="41">
        <v>0.5</v>
      </c>
      <c r="V11" s="41" t="s">
        <v>324</v>
      </c>
      <c r="W11" s="41" t="s">
        <v>324</v>
      </c>
      <c r="X11" s="41" t="s">
        <v>324</v>
      </c>
      <c r="Y11" s="41">
        <v>1.9701492537313432</v>
      </c>
      <c r="Z11" s="41" t="s">
        <v>324</v>
      </c>
      <c r="AA11" s="41" t="s">
        <v>324</v>
      </c>
      <c r="AB11" s="41">
        <v>60.876780108390349</v>
      </c>
      <c r="AC11" s="41">
        <v>2.5</v>
      </c>
      <c r="AD11" s="41">
        <v>0.33333333333333331</v>
      </c>
      <c r="AE11" s="41">
        <v>0.4161464835622139</v>
      </c>
      <c r="AF11" s="41" t="s">
        <v>324</v>
      </c>
      <c r="AG11" s="41" t="s">
        <v>324</v>
      </c>
      <c r="AH11" s="41">
        <v>0.25350416267411019</v>
      </c>
      <c r="AI11" s="41"/>
      <c r="AJ11" s="41">
        <v>5.8004788507581804</v>
      </c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</row>
    <row r="12" spans="1:132" x14ac:dyDescent="0.2">
      <c r="A12" s="43" t="s">
        <v>198</v>
      </c>
      <c r="B12" s="46"/>
      <c r="C12" s="41" t="s">
        <v>324</v>
      </c>
      <c r="D12" s="41" t="s">
        <v>324</v>
      </c>
      <c r="E12" s="41" t="s">
        <v>324</v>
      </c>
      <c r="F12" s="41" t="s">
        <v>324</v>
      </c>
      <c r="G12" s="41">
        <v>0.41459074733096085</v>
      </c>
      <c r="H12" s="41" t="s">
        <v>324</v>
      </c>
      <c r="I12" s="41"/>
      <c r="J12" s="41">
        <v>4</v>
      </c>
      <c r="K12" s="41">
        <v>0.15367146101438303</v>
      </c>
      <c r="L12" s="41" t="s">
        <v>324</v>
      </c>
      <c r="M12" s="41" t="s">
        <v>324</v>
      </c>
      <c r="N12" s="41" t="s">
        <v>324</v>
      </c>
      <c r="O12" s="41" t="s">
        <v>324</v>
      </c>
      <c r="P12" s="41" t="s">
        <v>324</v>
      </c>
      <c r="Q12" s="41" t="s">
        <v>324</v>
      </c>
      <c r="R12" s="41" t="s">
        <v>324</v>
      </c>
      <c r="S12" s="41">
        <v>12.5</v>
      </c>
      <c r="T12" s="41">
        <v>0.24468427835051546</v>
      </c>
      <c r="U12" s="41" t="s">
        <v>324</v>
      </c>
      <c r="V12" s="41" t="s">
        <v>324</v>
      </c>
      <c r="W12" s="41" t="s">
        <v>324</v>
      </c>
      <c r="X12" s="41" t="s">
        <v>324</v>
      </c>
      <c r="Y12" s="41" t="s">
        <v>324</v>
      </c>
      <c r="Z12" s="41" t="s">
        <v>324</v>
      </c>
      <c r="AA12" s="41" t="s">
        <v>324</v>
      </c>
      <c r="AB12" s="41">
        <v>0</v>
      </c>
      <c r="AC12" s="41">
        <v>3</v>
      </c>
      <c r="AD12" s="41" t="s">
        <v>324</v>
      </c>
      <c r="AE12" s="41">
        <v>0.33333333333333331</v>
      </c>
      <c r="AF12" s="41" t="s">
        <v>324</v>
      </c>
      <c r="AG12" s="41" t="s">
        <v>324</v>
      </c>
      <c r="AH12" s="41">
        <v>0.22446982055464926</v>
      </c>
      <c r="AI12" s="41"/>
      <c r="AJ12" s="41">
        <v>4.8850346878097124</v>
      </c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1"/>
      <c r="DK12" s="41"/>
      <c r="DL12" s="41"/>
      <c r="DM12" s="41"/>
      <c r="DN12" s="41"/>
      <c r="DO12" s="41"/>
      <c r="DP12" s="41"/>
      <c r="DQ12" s="41"/>
      <c r="DR12" s="41"/>
      <c r="DS12" s="41"/>
      <c r="DT12" s="41"/>
      <c r="DU12" s="41"/>
      <c r="DV12" s="41"/>
      <c r="DW12" s="41"/>
      <c r="DX12" s="41"/>
      <c r="DY12" s="41"/>
      <c r="DZ12" s="41"/>
      <c r="EA12" s="41"/>
      <c r="EB12" s="41"/>
    </row>
    <row r="13" spans="1:132" x14ac:dyDescent="0.2">
      <c r="A13" s="43" t="s">
        <v>199</v>
      </c>
      <c r="B13" s="46"/>
      <c r="C13" s="41" t="s">
        <v>324</v>
      </c>
      <c r="D13" s="41" t="s">
        <v>324</v>
      </c>
      <c r="E13" s="41" t="s">
        <v>324</v>
      </c>
      <c r="F13" s="41" t="s">
        <v>324</v>
      </c>
      <c r="G13" s="41">
        <v>0.3462897526501767</v>
      </c>
      <c r="H13" s="41" t="s">
        <v>324</v>
      </c>
      <c r="I13" s="41"/>
      <c r="J13" s="41">
        <v>4.1000000000000005</v>
      </c>
      <c r="K13" s="41">
        <v>7.0284738041002284E-2</v>
      </c>
      <c r="L13" s="41" t="s">
        <v>324</v>
      </c>
      <c r="M13" s="41" t="s">
        <v>324</v>
      </c>
      <c r="N13" s="41" t="s">
        <v>324</v>
      </c>
      <c r="O13" s="41" t="s">
        <v>324</v>
      </c>
      <c r="P13" s="41" t="s">
        <v>324</v>
      </c>
      <c r="Q13" s="41" t="s">
        <v>324</v>
      </c>
      <c r="R13" s="41" t="s">
        <v>324</v>
      </c>
      <c r="S13" s="41">
        <v>16</v>
      </c>
      <c r="T13" s="41">
        <v>0.28073866292660121</v>
      </c>
      <c r="U13" s="41" t="s">
        <v>324</v>
      </c>
      <c r="V13" s="41" t="s">
        <v>324</v>
      </c>
      <c r="W13" s="41" t="s">
        <v>324</v>
      </c>
      <c r="X13" s="41" t="s">
        <v>324</v>
      </c>
      <c r="Y13" s="41" t="s">
        <v>324</v>
      </c>
      <c r="Z13" s="41" t="s">
        <v>324</v>
      </c>
      <c r="AA13" s="41" t="s">
        <v>324</v>
      </c>
      <c r="AB13" s="41">
        <v>47.784967645594826</v>
      </c>
      <c r="AC13" s="41">
        <v>2.4596412556053813</v>
      </c>
      <c r="AD13" s="41" t="s">
        <v>324</v>
      </c>
      <c r="AE13" s="41">
        <v>0.26674045379081351</v>
      </c>
      <c r="AF13" s="41" t="s">
        <v>324</v>
      </c>
      <c r="AG13" s="41" t="s">
        <v>324</v>
      </c>
      <c r="AH13" s="41">
        <v>9.9146741798741458E-2</v>
      </c>
      <c r="AI13" s="41"/>
      <c r="AJ13" s="41">
        <v>4</v>
      </c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41"/>
      <c r="CL13" s="41"/>
      <c r="CM13" s="41"/>
      <c r="CN13" s="41"/>
      <c r="CO13" s="41"/>
      <c r="CP13" s="41"/>
      <c r="CQ13" s="41"/>
      <c r="CR13" s="41"/>
      <c r="CS13" s="41"/>
      <c r="CT13" s="41"/>
      <c r="CU13" s="41"/>
      <c r="CV13" s="41"/>
      <c r="CW13" s="41"/>
      <c r="CX13" s="41"/>
      <c r="CY13" s="41"/>
      <c r="CZ13" s="41"/>
      <c r="DA13" s="41"/>
      <c r="DB13" s="41"/>
      <c r="DC13" s="41"/>
      <c r="DD13" s="41"/>
      <c r="DE13" s="41"/>
      <c r="DF13" s="41"/>
      <c r="DG13" s="41"/>
      <c r="DH13" s="41"/>
      <c r="DI13" s="41"/>
      <c r="DJ13" s="41"/>
      <c r="DK13" s="41"/>
      <c r="DL13" s="41"/>
      <c r="DM13" s="41"/>
      <c r="DN13" s="41"/>
      <c r="DO13" s="41"/>
      <c r="DP13" s="41"/>
      <c r="DQ13" s="41"/>
      <c r="DR13" s="41"/>
      <c r="DS13" s="41"/>
      <c r="DT13" s="41"/>
      <c r="DU13" s="41"/>
      <c r="DV13" s="41"/>
      <c r="DW13" s="41"/>
      <c r="DX13" s="41"/>
      <c r="DY13" s="41"/>
      <c r="DZ13" s="41"/>
      <c r="EA13" s="41"/>
      <c r="EB13" s="41"/>
    </row>
    <row r="14" spans="1:132" x14ac:dyDescent="0.2">
      <c r="A14" s="43" t="s">
        <v>200</v>
      </c>
      <c r="C14" s="41" t="s">
        <v>324</v>
      </c>
      <c r="D14" s="41" t="s">
        <v>324</v>
      </c>
      <c r="E14" s="41" t="s">
        <v>324</v>
      </c>
      <c r="F14" s="41" t="s">
        <v>324</v>
      </c>
      <c r="G14" s="41" t="s">
        <v>324</v>
      </c>
      <c r="H14" s="41" t="s">
        <v>324</v>
      </c>
      <c r="I14" s="41"/>
      <c r="J14" s="41" t="s">
        <v>324</v>
      </c>
      <c r="K14" s="41">
        <v>0.14586183310533515</v>
      </c>
      <c r="L14" s="41" t="s">
        <v>324</v>
      </c>
      <c r="M14" s="41" t="s">
        <v>324</v>
      </c>
      <c r="N14" s="41" t="s">
        <v>324</v>
      </c>
      <c r="O14" s="41">
        <v>1.8869047619047619</v>
      </c>
      <c r="P14" s="41">
        <v>0.26155462184873951</v>
      </c>
      <c r="Q14" s="41" t="s">
        <v>324</v>
      </c>
      <c r="R14" s="41" t="s">
        <v>324</v>
      </c>
      <c r="S14" s="41">
        <v>27.966101694915253</v>
      </c>
      <c r="T14" s="41" t="s">
        <v>324</v>
      </c>
      <c r="U14" s="41" t="s">
        <v>324</v>
      </c>
      <c r="V14" s="41" t="s">
        <v>324</v>
      </c>
      <c r="W14" s="41" t="s">
        <v>324</v>
      </c>
      <c r="X14" s="41" t="s">
        <v>324</v>
      </c>
      <c r="Y14" s="41" t="s">
        <v>324</v>
      </c>
      <c r="Z14" s="41" t="s">
        <v>324</v>
      </c>
      <c r="AA14" s="41">
        <v>0.21483253588516746</v>
      </c>
      <c r="AB14" s="41">
        <v>16.525634644101544</v>
      </c>
      <c r="AC14" s="41" t="s">
        <v>324</v>
      </c>
      <c r="AD14" s="41" t="s">
        <v>324</v>
      </c>
      <c r="AE14" s="41" t="s">
        <v>324</v>
      </c>
      <c r="AF14" s="41" t="s">
        <v>324</v>
      </c>
      <c r="AG14" s="41" t="s">
        <v>324</v>
      </c>
      <c r="AH14" s="41">
        <v>0.12127641451724058</v>
      </c>
      <c r="AI14" s="41">
        <v>1.0661896243291593</v>
      </c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1"/>
      <c r="CS14" s="41"/>
      <c r="CT14" s="41"/>
      <c r="CU14" s="41"/>
      <c r="CV14" s="41"/>
      <c r="CW14" s="41"/>
      <c r="CX14" s="41"/>
      <c r="CY14" s="41"/>
      <c r="CZ14" s="41"/>
      <c r="DA14" s="41"/>
      <c r="DB14" s="41"/>
      <c r="DC14" s="41"/>
      <c r="DD14" s="41"/>
      <c r="DE14" s="41"/>
      <c r="DF14" s="41"/>
      <c r="DG14" s="41"/>
      <c r="DH14" s="41"/>
      <c r="DI14" s="41"/>
      <c r="DJ14" s="41"/>
      <c r="DK14" s="41"/>
      <c r="DL14" s="41"/>
      <c r="DM14" s="41"/>
      <c r="DN14" s="41"/>
      <c r="DO14" s="41"/>
      <c r="DP14" s="41"/>
      <c r="DQ14" s="41"/>
      <c r="DR14" s="41"/>
      <c r="DS14" s="41"/>
      <c r="DT14" s="41"/>
      <c r="DU14" s="41"/>
      <c r="DV14" s="41"/>
      <c r="DW14" s="41"/>
      <c r="DX14" s="41"/>
      <c r="DY14" s="41"/>
      <c r="DZ14" s="41"/>
      <c r="EA14" s="41"/>
      <c r="EB14" s="41"/>
    </row>
    <row r="15" spans="1:132" x14ac:dyDescent="0.2">
      <c r="A15" s="43" t="s">
        <v>201</v>
      </c>
      <c r="C15" s="41" t="s">
        <v>324</v>
      </c>
      <c r="D15" s="41" t="s">
        <v>324</v>
      </c>
      <c r="E15" s="41" t="s">
        <v>324</v>
      </c>
      <c r="F15" s="41" t="s">
        <v>324</v>
      </c>
      <c r="G15" s="41" t="s">
        <v>324</v>
      </c>
      <c r="H15" s="41" t="s">
        <v>324</v>
      </c>
      <c r="I15" s="41"/>
      <c r="J15" s="41" t="s">
        <v>324</v>
      </c>
      <c r="K15" s="41">
        <v>0.38893280632411065</v>
      </c>
      <c r="L15" s="41" t="s">
        <v>324</v>
      </c>
      <c r="M15" s="41" t="s">
        <v>324</v>
      </c>
      <c r="N15" s="41">
        <v>0.33568075117370894</v>
      </c>
      <c r="O15" s="41">
        <v>1.5657354149548068</v>
      </c>
      <c r="P15" s="41">
        <v>0.58763440860215055</v>
      </c>
      <c r="Q15" s="41" t="s">
        <v>324</v>
      </c>
      <c r="R15" s="41" t="s">
        <v>324</v>
      </c>
      <c r="S15" s="41">
        <v>17.80821917808219</v>
      </c>
      <c r="T15" s="41" t="s">
        <v>324</v>
      </c>
      <c r="U15" s="41" t="s">
        <v>324</v>
      </c>
      <c r="V15" s="41" t="s">
        <v>324</v>
      </c>
      <c r="W15" s="41" t="s">
        <v>324</v>
      </c>
      <c r="X15" s="41" t="s">
        <v>324</v>
      </c>
      <c r="Y15" s="41" t="s">
        <v>324</v>
      </c>
      <c r="Z15" s="41" t="s">
        <v>324</v>
      </c>
      <c r="AA15" s="41">
        <v>0.36601370259577343</v>
      </c>
      <c r="AB15" s="41">
        <v>55.136501129532483</v>
      </c>
      <c r="AC15" s="41" t="s">
        <v>324</v>
      </c>
      <c r="AD15" s="41" t="s">
        <v>324</v>
      </c>
      <c r="AE15" s="41" t="s">
        <v>324</v>
      </c>
      <c r="AF15" s="41" t="s">
        <v>324</v>
      </c>
      <c r="AG15" s="41" t="s">
        <v>324</v>
      </c>
      <c r="AH15" s="41">
        <v>0.31800853433294818</v>
      </c>
      <c r="AI15" s="41">
        <v>1.9607770353872804</v>
      </c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  <c r="CU15" s="41"/>
      <c r="CV15" s="41"/>
      <c r="CW15" s="41"/>
      <c r="CX15" s="41"/>
      <c r="CY15" s="41"/>
      <c r="CZ15" s="41"/>
      <c r="DA15" s="41"/>
      <c r="DB15" s="41"/>
      <c r="DC15" s="41"/>
      <c r="DD15" s="41"/>
      <c r="DE15" s="41"/>
      <c r="DF15" s="41"/>
      <c r="DG15" s="41"/>
      <c r="DH15" s="41"/>
      <c r="DI15" s="41"/>
      <c r="DJ15" s="41"/>
      <c r="DK15" s="41"/>
      <c r="DL15" s="41"/>
      <c r="DM15" s="41"/>
      <c r="DN15" s="41"/>
      <c r="DO15" s="41"/>
      <c r="DP15" s="41"/>
      <c r="DQ15" s="41"/>
      <c r="DR15" s="41"/>
      <c r="DS15" s="41"/>
      <c r="DT15" s="41"/>
      <c r="DU15" s="41"/>
      <c r="DV15" s="41"/>
      <c r="DW15" s="41"/>
      <c r="DX15" s="41"/>
      <c r="DY15" s="41"/>
      <c r="DZ15" s="41"/>
      <c r="EA15" s="41"/>
      <c r="EB15" s="41"/>
    </row>
    <row r="16" spans="1:132" x14ac:dyDescent="0.2">
      <c r="A16" s="43" t="s">
        <v>202</v>
      </c>
      <c r="C16" s="41" t="s">
        <v>324</v>
      </c>
      <c r="D16" s="41" t="s">
        <v>324</v>
      </c>
      <c r="E16" s="41" t="s">
        <v>324</v>
      </c>
      <c r="F16" s="41" t="s">
        <v>324</v>
      </c>
      <c r="G16" s="41" t="s">
        <v>324</v>
      </c>
      <c r="H16" s="41" t="s">
        <v>324</v>
      </c>
      <c r="I16" s="41" t="s">
        <v>324</v>
      </c>
      <c r="J16" s="41" t="s">
        <v>324</v>
      </c>
      <c r="K16" s="41">
        <v>0.22580867171369581</v>
      </c>
      <c r="L16" s="41" t="s">
        <v>324</v>
      </c>
      <c r="M16" s="41" t="s">
        <v>324</v>
      </c>
      <c r="N16" s="41">
        <v>0.5</v>
      </c>
      <c r="O16" s="41">
        <v>2</v>
      </c>
      <c r="P16" s="41">
        <v>0.40241145440844012</v>
      </c>
      <c r="Q16" s="41" t="s">
        <v>324</v>
      </c>
      <c r="R16" s="41" t="s">
        <v>324</v>
      </c>
      <c r="S16" s="41">
        <v>20</v>
      </c>
      <c r="T16" s="41" t="s">
        <v>324</v>
      </c>
      <c r="U16" s="41" t="s">
        <v>324</v>
      </c>
      <c r="V16" s="41">
        <v>0.6071428571428571</v>
      </c>
      <c r="W16" s="41"/>
      <c r="X16" s="41" t="s">
        <v>324</v>
      </c>
      <c r="Y16" s="41" t="s">
        <v>324</v>
      </c>
      <c r="Z16" s="41" t="s">
        <v>324</v>
      </c>
      <c r="AA16" s="41">
        <v>0.49350197261545603</v>
      </c>
      <c r="AB16" s="41">
        <v>46.192135390741669</v>
      </c>
      <c r="AC16" s="41" t="s">
        <v>324</v>
      </c>
      <c r="AD16" s="41" t="s">
        <v>324</v>
      </c>
      <c r="AE16" s="41" t="s">
        <v>324</v>
      </c>
      <c r="AF16" s="41" t="s">
        <v>324</v>
      </c>
      <c r="AG16" s="41" t="s">
        <v>324</v>
      </c>
      <c r="AH16" s="41">
        <v>0.336559399951609</v>
      </c>
      <c r="AI16" s="41">
        <v>2.0004118616144977</v>
      </c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1"/>
      <c r="CS16" s="41"/>
      <c r="CT16" s="41"/>
      <c r="CU16" s="41"/>
      <c r="CV16" s="41"/>
      <c r="CW16" s="41"/>
      <c r="CX16" s="41"/>
      <c r="CY16" s="41"/>
      <c r="CZ16" s="41"/>
      <c r="DA16" s="41"/>
      <c r="DB16" s="41"/>
      <c r="DC16" s="41"/>
      <c r="DD16" s="41"/>
      <c r="DE16" s="41"/>
      <c r="DF16" s="41"/>
      <c r="DG16" s="41"/>
      <c r="DH16" s="41"/>
      <c r="DI16" s="41"/>
      <c r="DJ16" s="41"/>
      <c r="DK16" s="41"/>
      <c r="DL16" s="41"/>
      <c r="DM16" s="41"/>
      <c r="DN16" s="41"/>
      <c r="DO16" s="41"/>
      <c r="DP16" s="41"/>
      <c r="DQ16" s="41"/>
      <c r="DR16" s="41"/>
      <c r="DS16" s="41"/>
      <c r="DT16" s="41"/>
      <c r="DU16" s="41"/>
      <c r="DV16" s="41"/>
      <c r="DW16" s="41"/>
      <c r="DX16" s="41"/>
      <c r="DY16" s="41"/>
      <c r="DZ16" s="41"/>
      <c r="EA16" s="41"/>
      <c r="EB16" s="41"/>
    </row>
    <row r="17" spans="1:132" x14ac:dyDescent="0.2">
      <c r="A17" s="43" t="s">
        <v>203</v>
      </c>
      <c r="C17" s="41" t="s">
        <v>324</v>
      </c>
      <c r="D17" s="41" t="s">
        <v>324</v>
      </c>
      <c r="E17" s="41" t="s">
        <v>324</v>
      </c>
      <c r="F17" s="41" t="s">
        <v>324</v>
      </c>
      <c r="G17" s="41" t="s">
        <v>324</v>
      </c>
      <c r="H17" s="41" t="s">
        <v>324</v>
      </c>
      <c r="I17" s="41" t="s">
        <v>324</v>
      </c>
      <c r="J17" s="41" t="s">
        <v>324</v>
      </c>
      <c r="K17" s="41">
        <v>0.37735024048972454</v>
      </c>
      <c r="L17" s="41" t="s">
        <v>324</v>
      </c>
      <c r="M17" s="41" t="s">
        <v>324</v>
      </c>
      <c r="N17" s="41">
        <v>0.215962441314554</v>
      </c>
      <c r="O17" s="41">
        <v>2</v>
      </c>
      <c r="P17" s="41">
        <v>0.39817232375979111</v>
      </c>
      <c r="Q17" s="41" t="s">
        <v>324</v>
      </c>
      <c r="R17" s="41" t="s">
        <v>324</v>
      </c>
      <c r="S17" s="41">
        <v>20</v>
      </c>
      <c r="T17" s="41" t="s">
        <v>324</v>
      </c>
      <c r="U17" s="41" t="s">
        <v>324</v>
      </c>
      <c r="V17" s="41" t="s">
        <v>324</v>
      </c>
      <c r="W17" s="41" t="s">
        <v>324</v>
      </c>
      <c r="X17" s="41" t="s">
        <v>324</v>
      </c>
      <c r="Y17" s="41" t="s">
        <v>324</v>
      </c>
      <c r="Z17" s="41" t="s">
        <v>324</v>
      </c>
      <c r="AA17" s="41">
        <v>0.45197357275961375</v>
      </c>
      <c r="AB17" s="41">
        <v>46.192135390741662</v>
      </c>
      <c r="AC17" s="41" t="s">
        <v>324</v>
      </c>
      <c r="AD17" s="41" t="s">
        <v>324</v>
      </c>
      <c r="AE17" s="41" t="s">
        <v>324</v>
      </c>
      <c r="AF17" s="41" t="s">
        <v>324</v>
      </c>
      <c r="AG17" s="41" t="s">
        <v>324</v>
      </c>
      <c r="AH17" s="41">
        <v>0.25665236051502144</v>
      </c>
      <c r="AI17" s="41">
        <v>2</v>
      </c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1"/>
      <c r="CV17" s="41"/>
      <c r="CW17" s="41"/>
      <c r="CX17" s="41"/>
      <c r="CY17" s="41"/>
      <c r="CZ17" s="41"/>
      <c r="DA17" s="41"/>
      <c r="DB17" s="41"/>
      <c r="DC17" s="41"/>
      <c r="DD17" s="41"/>
      <c r="DE17" s="41"/>
      <c r="DF17" s="41"/>
      <c r="DG17" s="41"/>
      <c r="DH17" s="41"/>
      <c r="DI17" s="41"/>
      <c r="DJ17" s="41"/>
      <c r="DK17" s="41"/>
      <c r="DL17" s="41"/>
      <c r="DM17" s="41"/>
      <c r="DN17" s="41"/>
      <c r="DO17" s="41"/>
      <c r="DP17" s="41"/>
      <c r="DQ17" s="41"/>
      <c r="DR17" s="41"/>
      <c r="DS17" s="41"/>
      <c r="DT17" s="41"/>
      <c r="DU17" s="41"/>
      <c r="DV17" s="41"/>
      <c r="DW17" s="41"/>
      <c r="DX17" s="41"/>
      <c r="DY17" s="41"/>
      <c r="DZ17" s="41"/>
      <c r="EA17" s="41"/>
      <c r="EB17" s="41"/>
    </row>
    <row r="18" spans="1:132" x14ac:dyDescent="0.2">
      <c r="A18" s="43" t="s">
        <v>204</v>
      </c>
      <c r="C18" s="41" t="s">
        <v>324</v>
      </c>
      <c r="D18" s="41" t="s">
        <v>324</v>
      </c>
      <c r="E18" s="41" t="s">
        <v>324</v>
      </c>
      <c r="F18" s="41" t="s">
        <v>324</v>
      </c>
      <c r="G18" s="41" t="s">
        <v>324</v>
      </c>
      <c r="H18" s="41" t="s">
        <v>324</v>
      </c>
      <c r="I18" s="41" t="s">
        <v>324</v>
      </c>
      <c r="J18" s="41"/>
      <c r="K18" s="41">
        <v>8.4333392284176745E-2</v>
      </c>
      <c r="L18" s="41" t="s">
        <v>324</v>
      </c>
      <c r="M18" s="41" t="s">
        <v>324</v>
      </c>
      <c r="N18" s="41">
        <v>0.30014430014430016</v>
      </c>
      <c r="O18" s="41">
        <v>2</v>
      </c>
      <c r="P18" s="41">
        <v>0.56590604026845637</v>
      </c>
      <c r="Q18" s="41" t="s">
        <v>324</v>
      </c>
      <c r="R18" s="41" t="s">
        <v>324</v>
      </c>
      <c r="S18" s="41">
        <v>12.447129909365559</v>
      </c>
      <c r="T18" s="41" t="s">
        <v>324</v>
      </c>
      <c r="U18" s="41" t="s">
        <v>324</v>
      </c>
      <c r="V18" s="41" t="s">
        <v>324</v>
      </c>
      <c r="W18" s="41" t="s">
        <v>324</v>
      </c>
      <c r="X18" s="41">
        <v>0.72018194070080865</v>
      </c>
      <c r="Y18" s="41" t="s">
        <v>324</v>
      </c>
      <c r="Z18" s="41" t="s">
        <v>324</v>
      </c>
      <c r="AA18" s="41">
        <v>0.49767191977077363</v>
      </c>
      <c r="AB18" s="41" t="s">
        <v>324</v>
      </c>
      <c r="AC18" s="41" t="s">
        <v>324</v>
      </c>
      <c r="AD18" s="41" t="s">
        <v>324</v>
      </c>
      <c r="AE18" s="41" t="s">
        <v>324</v>
      </c>
      <c r="AF18" s="41" t="s">
        <v>324</v>
      </c>
      <c r="AG18" s="41">
        <v>0.97345132743362828</v>
      </c>
      <c r="AH18" s="41">
        <v>0.25164319248826289</v>
      </c>
      <c r="AI18" s="41">
        <v>2.0288624787775893</v>
      </c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41"/>
      <c r="CP18" s="41"/>
      <c r="CQ18" s="41"/>
      <c r="CR18" s="41"/>
      <c r="CS18" s="41"/>
      <c r="CT18" s="41"/>
      <c r="CU18" s="41"/>
      <c r="CV18" s="41"/>
      <c r="CW18" s="41"/>
      <c r="CX18" s="41"/>
      <c r="CY18" s="41"/>
      <c r="CZ18" s="41"/>
      <c r="DA18" s="41"/>
      <c r="DB18" s="41"/>
      <c r="DC18" s="41"/>
      <c r="DD18" s="41"/>
      <c r="DE18" s="41"/>
      <c r="DF18" s="41"/>
      <c r="DG18" s="41"/>
      <c r="DH18" s="41"/>
      <c r="DI18" s="41"/>
      <c r="DJ18" s="41"/>
      <c r="DK18" s="41"/>
      <c r="DL18" s="41"/>
      <c r="DM18" s="41"/>
      <c r="DN18" s="41"/>
      <c r="DO18" s="41"/>
      <c r="DP18" s="41"/>
      <c r="DQ18" s="41"/>
      <c r="DR18" s="41"/>
      <c r="DS18" s="41"/>
      <c r="DT18" s="41"/>
      <c r="DU18" s="41"/>
      <c r="DV18" s="41"/>
      <c r="DW18" s="41"/>
      <c r="DX18" s="41"/>
      <c r="DY18" s="41"/>
      <c r="DZ18" s="41"/>
      <c r="EA18" s="41"/>
      <c r="EB18" s="41"/>
    </row>
    <row r="19" spans="1:132" x14ac:dyDescent="0.2">
      <c r="A19" s="43" t="s">
        <v>205</v>
      </c>
      <c r="C19" s="41" t="s">
        <v>324</v>
      </c>
      <c r="D19" s="41" t="s">
        <v>324</v>
      </c>
      <c r="E19" s="41" t="s">
        <v>324</v>
      </c>
      <c r="F19" s="41" t="s">
        <v>324</v>
      </c>
      <c r="G19" s="41" t="s">
        <v>324</v>
      </c>
      <c r="H19" s="41" t="s">
        <v>324</v>
      </c>
      <c r="I19" s="41">
        <v>1.2943327239488116</v>
      </c>
      <c r="J19" s="41"/>
      <c r="K19" s="41">
        <v>0.2546105466860184</v>
      </c>
      <c r="L19" s="41" t="s">
        <v>324</v>
      </c>
      <c r="M19" s="41" t="s">
        <v>324</v>
      </c>
      <c r="N19" s="41" t="s">
        <v>324</v>
      </c>
      <c r="O19" s="41">
        <v>2</v>
      </c>
      <c r="P19" s="41" t="s">
        <v>324</v>
      </c>
      <c r="Q19" s="41">
        <v>6</v>
      </c>
      <c r="R19" s="41">
        <v>0.62883597883597886</v>
      </c>
      <c r="S19" s="41">
        <v>20</v>
      </c>
      <c r="T19" s="41" t="s">
        <v>324</v>
      </c>
      <c r="U19" s="41" t="s">
        <v>324</v>
      </c>
      <c r="V19" s="41"/>
      <c r="W19" s="41">
        <v>1.0025207057976233</v>
      </c>
      <c r="X19" s="41">
        <v>0.75</v>
      </c>
      <c r="Y19" s="41" t="s">
        <v>324</v>
      </c>
      <c r="Z19" s="41">
        <v>7.774468085106383</v>
      </c>
      <c r="AA19" s="41">
        <v>0.41309090909090906</v>
      </c>
      <c r="AB19" s="41">
        <v>47.784967645594826</v>
      </c>
      <c r="AC19" s="41" t="s">
        <v>324</v>
      </c>
      <c r="AD19" s="41" t="s">
        <v>324</v>
      </c>
      <c r="AE19" s="41" t="s">
        <v>324</v>
      </c>
      <c r="AF19" s="41" t="s">
        <v>324</v>
      </c>
      <c r="AG19" s="41">
        <v>1</v>
      </c>
      <c r="AH19" s="41">
        <v>0.45850120870265915</v>
      </c>
      <c r="AI19" s="41">
        <v>2.01696352841391</v>
      </c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  <c r="CU19" s="41"/>
      <c r="CV19" s="41"/>
      <c r="CW19" s="41"/>
      <c r="CX19" s="41"/>
      <c r="CY19" s="41"/>
      <c r="CZ19" s="41"/>
      <c r="DA19" s="41"/>
      <c r="DB19" s="41"/>
      <c r="DC19" s="41"/>
      <c r="DD19" s="41"/>
      <c r="DE19" s="41"/>
      <c r="DF19" s="41"/>
      <c r="DG19" s="41"/>
      <c r="DH19" s="41"/>
      <c r="DI19" s="41"/>
      <c r="DJ19" s="41"/>
      <c r="DK19" s="41"/>
      <c r="DL19" s="41"/>
      <c r="DM19" s="41"/>
      <c r="DN19" s="41"/>
      <c r="DO19" s="41"/>
      <c r="DP19" s="41"/>
      <c r="DQ19" s="41"/>
      <c r="DR19" s="41"/>
      <c r="DS19" s="41"/>
      <c r="DT19" s="41"/>
      <c r="DU19" s="41"/>
      <c r="DV19" s="41"/>
      <c r="DW19" s="41"/>
      <c r="DX19" s="41"/>
      <c r="DY19" s="41"/>
      <c r="DZ19" s="41"/>
      <c r="EA19" s="41"/>
      <c r="EB19" s="41"/>
    </row>
    <row r="20" spans="1:132" x14ac:dyDescent="0.2">
      <c r="A20" s="43" t="s">
        <v>206</v>
      </c>
      <c r="C20" s="41">
        <v>2.4273504273504272</v>
      </c>
      <c r="D20" s="41">
        <v>19.311400153022188</v>
      </c>
      <c r="E20" s="41" t="s">
        <v>324</v>
      </c>
      <c r="F20" s="41" t="s">
        <v>324</v>
      </c>
      <c r="G20" s="41" t="s">
        <v>324</v>
      </c>
      <c r="H20" s="41" t="s">
        <v>324</v>
      </c>
      <c r="I20" s="41">
        <v>1.1394422310756973</v>
      </c>
      <c r="J20" s="41"/>
      <c r="K20" s="41">
        <v>0.24711926903993711</v>
      </c>
      <c r="L20" s="41" t="s">
        <v>324</v>
      </c>
      <c r="M20" s="41" t="s">
        <v>324</v>
      </c>
      <c r="N20" s="41" t="s">
        <v>324</v>
      </c>
      <c r="O20" s="41">
        <v>2</v>
      </c>
      <c r="P20" s="41" t="s">
        <v>324</v>
      </c>
      <c r="Q20" s="41">
        <v>10</v>
      </c>
      <c r="R20" s="41">
        <v>0.8331543143573219</v>
      </c>
      <c r="S20" s="41" t="s">
        <v>324</v>
      </c>
      <c r="T20" s="41" t="s">
        <v>324</v>
      </c>
      <c r="U20" s="41" t="s">
        <v>324</v>
      </c>
      <c r="V20" s="41" t="s">
        <v>324</v>
      </c>
      <c r="W20" s="41" t="s">
        <v>324</v>
      </c>
      <c r="X20" s="41" t="s">
        <v>324</v>
      </c>
      <c r="Y20" s="41" t="s">
        <v>324</v>
      </c>
      <c r="Z20" s="41">
        <v>7.5</v>
      </c>
      <c r="AA20" s="41">
        <v>0.62518610421836229</v>
      </c>
      <c r="AB20" s="41">
        <v>69.573462981017542</v>
      </c>
      <c r="AC20" s="41" t="s">
        <v>324</v>
      </c>
      <c r="AD20" s="41" t="s">
        <v>324</v>
      </c>
      <c r="AE20" s="41" t="s">
        <v>324</v>
      </c>
      <c r="AF20" s="41" t="s">
        <v>324</v>
      </c>
      <c r="AG20" s="41">
        <v>1</v>
      </c>
      <c r="AH20" s="41" t="s">
        <v>324</v>
      </c>
      <c r="AI20" s="41">
        <v>2</v>
      </c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P20" s="41"/>
      <c r="CQ20" s="41"/>
      <c r="CR20" s="41"/>
      <c r="CS20" s="41"/>
      <c r="CT20" s="41"/>
      <c r="CU20" s="41"/>
      <c r="CV20" s="41"/>
      <c r="CW20" s="41"/>
      <c r="CX20" s="41"/>
      <c r="CY20" s="41"/>
      <c r="CZ20" s="41"/>
      <c r="DA20" s="41"/>
      <c r="DB20" s="41"/>
      <c r="DC20" s="41"/>
      <c r="DD20" s="41"/>
      <c r="DE20" s="41"/>
      <c r="DF20" s="41"/>
      <c r="DG20" s="41"/>
      <c r="DH20" s="41"/>
      <c r="DI20" s="41"/>
      <c r="DJ20" s="41"/>
      <c r="DK20" s="41"/>
      <c r="DL20" s="41"/>
      <c r="DM20" s="41"/>
      <c r="DN20" s="41"/>
      <c r="DO20" s="41"/>
      <c r="DP20" s="41"/>
      <c r="DQ20" s="41"/>
      <c r="DR20" s="41"/>
      <c r="DS20" s="41"/>
      <c r="DT20" s="41"/>
      <c r="DU20" s="41"/>
      <c r="DV20" s="41"/>
      <c r="DW20" s="41"/>
      <c r="DX20" s="41"/>
      <c r="DY20" s="41"/>
      <c r="DZ20" s="41"/>
      <c r="EA20" s="41"/>
      <c r="EB20" s="41"/>
    </row>
    <row r="21" spans="1:132" x14ac:dyDescent="0.2">
      <c r="A21" s="43" t="s">
        <v>323</v>
      </c>
      <c r="C21" s="41">
        <v>2.6041358936484489</v>
      </c>
      <c r="D21" s="41">
        <v>19.921011058451818</v>
      </c>
      <c r="E21" s="41" t="s">
        <v>324</v>
      </c>
      <c r="F21" s="41" t="s">
        <v>324</v>
      </c>
      <c r="G21" s="41" t="s">
        <v>324</v>
      </c>
      <c r="H21" s="41" t="s">
        <v>324</v>
      </c>
      <c r="I21" s="41">
        <v>1.1478334749362786</v>
      </c>
      <c r="J21" s="41"/>
      <c r="K21" s="41">
        <v>0.17586026163505866</v>
      </c>
      <c r="L21" s="41" t="s">
        <v>324</v>
      </c>
      <c r="M21" s="41" t="s">
        <v>324</v>
      </c>
      <c r="N21" s="41" t="s">
        <v>324</v>
      </c>
      <c r="O21" s="41" t="s">
        <v>324</v>
      </c>
      <c r="P21" s="41" t="s">
        <v>324</v>
      </c>
      <c r="Q21" s="41">
        <v>6.091836734693878</v>
      </c>
      <c r="R21" s="41">
        <v>0.59551808298202791</v>
      </c>
      <c r="S21" s="41" t="s">
        <v>324</v>
      </c>
      <c r="T21" s="41" t="s">
        <v>324</v>
      </c>
      <c r="U21" s="41" t="s">
        <v>324</v>
      </c>
      <c r="V21" s="41" t="s">
        <v>324</v>
      </c>
      <c r="W21" s="41" t="s">
        <v>324</v>
      </c>
      <c r="X21" s="41" t="s">
        <v>324</v>
      </c>
      <c r="Y21" s="41" t="s">
        <v>324</v>
      </c>
      <c r="Z21" s="41" t="s">
        <v>324</v>
      </c>
      <c r="AA21" s="41">
        <v>0.41581038498424444</v>
      </c>
      <c r="AB21" s="41">
        <v>63.757083664139806</v>
      </c>
      <c r="AC21" s="41" t="s">
        <v>324</v>
      </c>
      <c r="AD21" s="41" t="s">
        <v>324</v>
      </c>
      <c r="AE21" s="41" t="s">
        <v>324</v>
      </c>
      <c r="AF21" s="41" t="s">
        <v>324</v>
      </c>
      <c r="AG21" s="41">
        <v>1.3060257278266756</v>
      </c>
      <c r="AH21" s="41" t="s">
        <v>324</v>
      </c>
      <c r="AI21" s="41">
        <v>1.326880119136262</v>
      </c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H21" s="41"/>
      <c r="CI21" s="41"/>
      <c r="CJ21" s="41"/>
      <c r="CK21" s="41"/>
      <c r="CL21" s="41"/>
      <c r="CM21" s="41"/>
      <c r="CN21" s="41"/>
      <c r="CO21" s="41"/>
      <c r="CP21" s="41"/>
      <c r="CQ21" s="41"/>
      <c r="CR21" s="41"/>
      <c r="CS21" s="41"/>
      <c r="CT21" s="41"/>
      <c r="CU21" s="41"/>
      <c r="CV21" s="41"/>
      <c r="CW21" s="41"/>
      <c r="CX21" s="41"/>
      <c r="CY21" s="41"/>
      <c r="CZ21" s="41"/>
      <c r="DA21" s="41"/>
      <c r="DB21" s="41"/>
      <c r="DC21" s="41"/>
      <c r="DD21" s="41"/>
      <c r="DE21" s="41"/>
      <c r="DF21" s="41"/>
      <c r="DG21" s="41"/>
      <c r="DH21" s="41"/>
      <c r="DI21" s="41"/>
      <c r="DJ21" s="41"/>
      <c r="DK21" s="41"/>
      <c r="DL21" s="41"/>
      <c r="DM21" s="41"/>
      <c r="DN21" s="41"/>
      <c r="DO21" s="41"/>
      <c r="DP21" s="41"/>
      <c r="DQ21" s="41"/>
      <c r="DR21" s="41"/>
      <c r="DS21" s="41"/>
      <c r="DT21" s="41"/>
      <c r="DU21" s="41"/>
      <c r="DV21" s="41"/>
      <c r="DW21" s="41"/>
      <c r="DX21" s="41"/>
      <c r="DY21" s="41"/>
      <c r="DZ21" s="41"/>
      <c r="EA21" s="41"/>
      <c r="EB21" s="41"/>
    </row>
  </sheetData>
  <pageMargins left="0.75" right="0.75" top="1" bottom="1" header="0.5" footer="0.5"/>
  <pageSetup paperSize="9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B188"/>
  <sheetViews>
    <sheetView zoomScale="70" zoomScaleNormal="70" workbookViewId="0">
      <pane xSplit="1" ySplit="3" topLeftCell="AC63" activePane="bottomRight" state="frozen"/>
      <selection pane="topRight" activeCell="B1" sqref="B1"/>
      <selection pane="bottomLeft" activeCell="A4" sqref="A4"/>
      <selection pane="bottomRight" activeCell="AQ81" sqref="AQ81"/>
    </sheetView>
  </sheetViews>
  <sheetFormatPr defaultColWidth="11" defaultRowHeight="14.4" x14ac:dyDescent="0.3"/>
  <cols>
    <col min="1" max="1" width="23.5" style="51" customWidth="1"/>
    <col min="2" max="4" width="11" style="51"/>
    <col min="5" max="5" width="11" style="12"/>
    <col min="6" max="8" width="11" style="2"/>
    <col min="9" max="9" width="11" style="51"/>
    <col min="10" max="12" width="11" style="2"/>
    <col min="13" max="16384" width="11" style="51"/>
  </cols>
  <sheetData>
    <row r="1" spans="1:57" x14ac:dyDescent="0.3">
      <c r="A1" s="153"/>
      <c r="B1" s="117"/>
      <c r="C1" s="152" t="s">
        <v>218</v>
      </c>
      <c r="D1" s="152"/>
      <c r="E1" s="114"/>
      <c r="F1" s="152" t="s">
        <v>239</v>
      </c>
      <c r="G1" s="152"/>
      <c r="H1" s="53"/>
      <c r="I1" s="113"/>
      <c r="J1" s="152" t="s">
        <v>240</v>
      </c>
      <c r="K1" s="152"/>
      <c r="L1" s="54"/>
      <c r="M1" s="117"/>
      <c r="N1" s="152" t="s">
        <v>241</v>
      </c>
      <c r="O1" s="152"/>
      <c r="P1" s="55"/>
      <c r="Q1" s="152" t="s">
        <v>242</v>
      </c>
      <c r="R1" s="152"/>
      <c r="S1" s="55"/>
      <c r="T1" s="117"/>
      <c r="U1" s="152" t="s">
        <v>243</v>
      </c>
      <c r="V1" s="152"/>
      <c r="W1" s="152" t="s">
        <v>244</v>
      </c>
      <c r="X1" s="152"/>
      <c r="Y1" s="152" t="s">
        <v>245</v>
      </c>
      <c r="Z1" s="152"/>
      <c r="AA1" s="117"/>
      <c r="AB1" s="152" t="s">
        <v>246</v>
      </c>
      <c r="AC1" s="152"/>
      <c r="AD1" s="152" t="s">
        <v>247</v>
      </c>
      <c r="AE1" s="152"/>
      <c r="AF1" s="117"/>
      <c r="AG1" s="152" t="s">
        <v>248</v>
      </c>
      <c r="AH1" s="152"/>
      <c r="AI1" s="117"/>
      <c r="AJ1" s="152" t="s">
        <v>249</v>
      </c>
      <c r="AK1" s="152"/>
      <c r="AL1" s="113"/>
      <c r="AM1" s="152" t="s">
        <v>250</v>
      </c>
      <c r="AN1" s="152"/>
      <c r="AO1" s="117"/>
      <c r="AP1" s="152" t="s">
        <v>251</v>
      </c>
      <c r="AQ1" s="152"/>
      <c r="AR1" s="152" t="s">
        <v>252</v>
      </c>
      <c r="AS1" s="152"/>
      <c r="AT1" s="117"/>
      <c r="AU1" s="152" t="s">
        <v>253</v>
      </c>
      <c r="AV1" s="152"/>
      <c r="AW1" s="152" t="s">
        <v>255</v>
      </c>
      <c r="AX1" s="152"/>
      <c r="AY1" s="117"/>
      <c r="AZ1" s="152" t="s">
        <v>256</v>
      </c>
      <c r="BA1" s="152"/>
      <c r="BB1" s="152" t="s">
        <v>257</v>
      </c>
      <c r="BC1" s="152"/>
      <c r="BD1" s="152" t="s">
        <v>254</v>
      </c>
      <c r="BE1" s="152"/>
    </row>
    <row r="2" spans="1:57" hidden="1" x14ac:dyDescent="0.3">
      <c r="A2" s="153"/>
      <c r="B2" s="117"/>
      <c r="C2" s="159">
        <v>1890</v>
      </c>
      <c r="D2" s="159"/>
      <c r="E2" s="114"/>
      <c r="F2" s="160">
        <v>1891</v>
      </c>
      <c r="G2" s="160"/>
      <c r="H2" s="53"/>
      <c r="I2" s="117" t="s">
        <v>27</v>
      </c>
      <c r="J2" s="160">
        <v>1892</v>
      </c>
      <c r="K2" s="160"/>
      <c r="L2" s="54"/>
      <c r="M2" s="117"/>
      <c r="N2" s="158">
        <v>1893</v>
      </c>
      <c r="O2" s="158"/>
      <c r="P2" s="55"/>
      <c r="Q2" s="158">
        <v>1894</v>
      </c>
      <c r="R2" s="158"/>
      <c r="S2" s="55"/>
      <c r="T2" s="117"/>
      <c r="U2" s="158">
        <v>1895</v>
      </c>
      <c r="V2" s="158"/>
      <c r="W2" s="158">
        <v>1896</v>
      </c>
      <c r="X2" s="158"/>
      <c r="Y2" s="158">
        <v>1897</v>
      </c>
      <c r="Z2" s="158"/>
      <c r="AA2" s="117"/>
      <c r="AB2" s="158">
        <v>1898</v>
      </c>
      <c r="AC2" s="158"/>
      <c r="AD2" s="158">
        <v>1899</v>
      </c>
      <c r="AE2" s="158"/>
      <c r="AF2" s="117"/>
      <c r="AG2" s="158">
        <v>1900</v>
      </c>
      <c r="AH2" s="158"/>
      <c r="AI2" s="117"/>
      <c r="AJ2" s="159">
        <v>1901</v>
      </c>
      <c r="AK2" s="159"/>
      <c r="AL2" s="117" t="s">
        <v>27</v>
      </c>
      <c r="AM2" s="159">
        <v>1902</v>
      </c>
      <c r="AN2" s="159"/>
      <c r="AO2" s="117"/>
      <c r="AP2" s="158">
        <v>1906</v>
      </c>
      <c r="AQ2" s="158"/>
      <c r="AR2" s="158">
        <v>1907</v>
      </c>
      <c r="AS2" s="158"/>
      <c r="AT2" s="117"/>
      <c r="AU2" s="158">
        <v>1908</v>
      </c>
      <c r="AV2" s="158"/>
      <c r="AW2" s="158">
        <v>1909</v>
      </c>
      <c r="AX2" s="158"/>
      <c r="AY2" s="117"/>
      <c r="AZ2" s="158">
        <v>1910</v>
      </c>
      <c r="BA2" s="158"/>
      <c r="BB2" s="158">
        <v>1911</v>
      </c>
      <c r="BC2" s="158"/>
      <c r="BD2" s="158">
        <v>1912</v>
      </c>
      <c r="BE2" s="158"/>
    </row>
    <row r="3" spans="1:57" s="131" customFormat="1" ht="28.8" customHeight="1" x14ac:dyDescent="0.3">
      <c r="A3" s="129" t="s">
        <v>0</v>
      </c>
      <c r="B3" s="126" t="s">
        <v>27</v>
      </c>
      <c r="C3" s="121" t="s">
        <v>1</v>
      </c>
      <c r="D3" s="122" t="s">
        <v>238</v>
      </c>
      <c r="E3" s="130" t="s">
        <v>27</v>
      </c>
      <c r="F3" s="124" t="s">
        <v>1</v>
      </c>
      <c r="G3" s="122" t="s">
        <v>238</v>
      </c>
      <c r="H3" s="125" t="s">
        <v>83</v>
      </c>
      <c r="I3" s="126" t="s">
        <v>27</v>
      </c>
      <c r="J3" s="124" t="s">
        <v>1</v>
      </c>
      <c r="K3" s="122" t="s">
        <v>238</v>
      </c>
      <c r="L3" s="125" t="s">
        <v>83</v>
      </c>
      <c r="M3" s="126" t="s">
        <v>27</v>
      </c>
      <c r="N3" s="121" t="s">
        <v>1</v>
      </c>
      <c r="O3" s="122" t="s">
        <v>238</v>
      </c>
      <c r="P3" s="122" t="s">
        <v>83</v>
      </c>
      <c r="Q3" s="121" t="s">
        <v>1</v>
      </c>
      <c r="R3" s="122" t="s">
        <v>238</v>
      </c>
      <c r="S3" s="121" t="s">
        <v>82</v>
      </c>
      <c r="T3" s="126" t="s">
        <v>27</v>
      </c>
      <c r="U3" s="121" t="s">
        <v>1</v>
      </c>
      <c r="V3" s="122" t="s">
        <v>238</v>
      </c>
      <c r="W3" s="121" t="s">
        <v>1</v>
      </c>
      <c r="X3" s="122" t="s">
        <v>238</v>
      </c>
      <c r="Y3" s="121" t="s">
        <v>1</v>
      </c>
      <c r="Z3" s="122" t="s">
        <v>238</v>
      </c>
      <c r="AA3" s="126" t="s">
        <v>27</v>
      </c>
      <c r="AB3" s="121" t="s">
        <v>1</v>
      </c>
      <c r="AC3" s="122" t="s">
        <v>238</v>
      </c>
      <c r="AD3" s="126" t="s">
        <v>1</v>
      </c>
      <c r="AE3" s="122" t="s">
        <v>238</v>
      </c>
      <c r="AF3" s="126" t="s">
        <v>27</v>
      </c>
      <c r="AG3" s="126" t="s">
        <v>1</v>
      </c>
      <c r="AH3" s="122" t="s">
        <v>238</v>
      </c>
      <c r="AI3" s="126" t="s">
        <v>27</v>
      </c>
      <c r="AJ3" s="126" t="s">
        <v>1</v>
      </c>
      <c r="AK3" s="122" t="s">
        <v>238</v>
      </c>
      <c r="AL3" s="126" t="s">
        <v>27</v>
      </c>
      <c r="AM3" s="126" t="s">
        <v>1</v>
      </c>
      <c r="AN3" s="122" t="s">
        <v>238</v>
      </c>
      <c r="AO3" s="126" t="s">
        <v>27</v>
      </c>
      <c r="AP3" s="126" t="s">
        <v>1</v>
      </c>
      <c r="AQ3" s="122" t="s">
        <v>238</v>
      </c>
      <c r="AR3" s="126" t="s">
        <v>1</v>
      </c>
      <c r="AS3" s="122" t="s">
        <v>238</v>
      </c>
      <c r="AT3" s="126" t="s">
        <v>27</v>
      </c>
      <c r="AU3" s="126" t="s">
        <v>1</v>
      </c>
      <c r="AV3" s="122" t="s">
        <v>238</v>
      </c>
      <c r="AW3" s="126" t="s">
        <v>1</v>
      </c>
      <c r="AX3" s="122" t="s">
        <v>238</v>
      </c>
      <c r="AY3" s="126" t="s">
        <v>27</v>
      </c>
      <c r="AZ3" s="126" t="s">
        <v>1</v>
      </c>
      <c r="BA3" s="122" t="s">
        <v>238</v>
      </c>
      <c r="BB3" s="126" t="s">
        <v>1</v>
      </c>
      <c r="BC3" s="122" t="s">
        <v>238</v>
      </c>
      <c r="BD3" s="126" t="s">
        <v>1</v>
      </c>
      <c r="BE3" s="122" t="s">
        <v>238</v>
      </c>
    </row>
    <row r="4" spans="1:57" x14ac:dyDescent="0.3">
      <c r="A4" s="17" t="s">
        <v>45</v>
      </c>
      <c r="B4" s="17" t="s">
        <v>41</v>
      </c>
      <c r="C4" s="57">
        <v>80</v>
      </c>
      <c r="D4" s="57">
        <v>121</v>
      </c>
      <c r="E4" s="58" t="s">
        <v>8</v>
      </c>
      <c r="F4" s="59">
        <v>87</v>
      </c>
      <c r="G4" s="59">
        <v>130</v>
      </c>
      <c r="H4" s="60">
        <v>0</v>
      </c>
      <c r="I4" s="17" t="s">
        <v>41</v>
      </c>
      <c r="J4" s="57">
        <v>136</v>
      </c>
      <c r="K4" s="59">
        <v>194</v>
      </c>
      <c r="L4" s="60">
        <v>0</v>
      </c>
      <c r="AZ4" s="61"/>
      <c r="BA4" s="61"/>
      <c r="BB4" s="61"/>
      <c r="BC4" s="61"/>
      <c r="BD4" s="61"/>
      <c r="BE4" s="61"/>
    </row>
    <row r="5" spans="1:57" x14ac:dyDescent="0.3">
      <c r="A5" s="17" t="s">
        <v>258</v>
      </c>
      <c r="B5" s="17"/>
      <c r="C5" s="57"/>
      <c r="D5" s="57"/>
      <c r="E5" s="58"/>
      <c r="F5" s="59"/>
      <c r="G5" s="59"/>
      <c r="H5" s="60"/>
      <c r="I5" s="17"/>
      <c r="J5" s="57"/>
      <c r="K5" s="59"/>
      <c r="L5" s="60"/>
      <c r="M5" s="51" t="s">
        <v>25</v>
      </c>
      <c r="Q5" s="51">
        <v>20</v>
      </c>
      <c r="R5" s="51">
        <v>300</v>
      </c>
      <c r="S5" s="51">
        <v>0</v>
      </c>
      <c r="AZ5" s="61"/>
      <c r="BA5" s="61"/>
      <c r="BB5" s="61"/>
      <c r="BC5" s="61"/>
      <c r="BD5" s="61"/>
      <c r="BE5" s="61"/>
    </row>
    <row r="6" spans="1:57" x14ac:dyDescent="0.3">
      <c r="A6" s="9" t="s">
        <v>59</v>
      </c>
      <c r="B6" s="17" t="s">
        <v>8</v>
      </c>
      <c r="C6" s="57">
        <v>71</v>
      </c>
      <c r="D6" s="57">
        <v>140</v>
      </c>
      <c r="H6" s="59"/>
      <c r="I6" s="17"/>
      <c r="J6" s="57"/>
      <c r="K6" s="59"/>
      <c r="L6" s="59"/>
      <c r="AZ6" s="61"/>
      <c r="BA6" s="61"/>
      <c r="BB6" s="61"/>
      <c r="BC6" s="61"/>
      <c r="BD6" s="61"/>
      <c r="BE6" s="61"/>
    </row>
    <row r="7" spans="1:57" x14ac:dyDescent="0.3">
      <c r="A7" s="17" t="s">
        <v>259</v>
      </c>
      <c r="C7" s="2"/>
      <c r="D7" s="2"/>
      <c r="E7" s="62" t="s">
        <v>41</v>
      </c>
      <c r="F7" s="59">
        <v>148</v>
      </c>
      <c r="G7" s="59">
        <v>222</v>
      </c>
      <c r="H7" s="2">
        <v>0</v>
      </c>
      <c r="I7" s="17" t="s">
        <v>41</v>
      </c>
      <c r="J7" s="57"/>
      <c r="K7" s="59"/>
      <c r="L7" s="59"/>
      <c r="AZ7" s="61"/>
      <c r="BA7" s="61"/>
      <c r="BB7" s="61"/>
      <c r="BC7" s="61"/>
      <c r="BD7" s="61"/>
      <c r="BE7" s="61"/>
    </row>
    <row r="8" spans="1:57" x14ac:dyDescent="0.3">
      <c r="A8" s="17" t="s">
        <v>64</v>
      </c>
      <c r="C8" s="2"/>
      <c r="D8" s="9"/>
      <c r="AO8" s="17"/>
      <c r="AP8" s="63"/>
      <c r="AQ8" s="17"/>
      <c r="AR8" s="63"/>
      <c r="AS8" s="63"/>
      <c r="AT8" s="17"/>
      <c r="AU8" s="17"/>
      <c r="AV8" s="17"/>
      <c r="AW8" s="17"/>
      <c r="AX8" s="17"/>
      <c r="AY8" s="17" t="s">
        <v>2</v>
      </c>
      <c r="AZ8" s="61"/>
      <c r="BA8" s="61"/>
      <c r="BB8" s="61"/>
      <c r="BC8" s="61"/>
      <c r="BD8" s="61">
        <v>79</v>
      </c>
      <c r="BE8" s="61">
        <v>5340</v>
      </c>
    </row>
    <row r="9" spans="1:57" x14ac:dyDescent="0.3">
      <c r="A9" s="17" t="s">
        <v>46</v>
      </c>
      <c r="B9" s="17" t="s">
        <v>8</v>
      </c>
      <c r="C9" s="57">
        <v>177</v>
      </c>
      <c r="D9" s="57">
        <v>270</v>
      </c>
      <c r="E9" s="12" t="s">
        <v>8</v>
      </c>
      <c r="F9" s="59">
        <v>213</v>
      </c>
      <c r="G9" s="59">
        <v>195</v>
      </c>
      <c r="H9" s="60">
        <v>0</v>
      </c>
      <c r="I9" s="17" t="s">
        <v>8</v>
      </c>
      <c r="J9" s="57">
        <v>126</v>
      </c>
      <c r="K9" s="59">
        <v>90</v>
      </c>
      <c r="L9" s="60">
        <v>0</v>
      </c>
      <c r="AU9" s="2"/>
      <c r="AV9" s="2"/>
      <c r="AW9" s="2"/>
      <c r="AX9" s="2"/>
      <c r="AZ9" s="61"/>
      <c r="BA9" s="61"/>
      <c r="BB9" s="61"/>
      <c r="BC9" s="61"/>
      <c r="BD9" s="61"/>
      <c r="BE9" s="61"/>
    </row>
    <row r="10" spans="1:57" x14ac:dyDescent="0.3">
      <c r="A10" s="17" t="s">
        <v>63</v>
      </c>
      <c r="C10" s="2"/>
      <c r="D10" s="2"/>
      <c r="N10" s="2"/>
      <c r="O10" s="2"/>
      <c r="P10" s="9"/>
      <c r="Q10" s="2"/>
      <c r="R10" s="2"/>
      <c r="S10" s="2"/>
      <c r="T10" s="17"/>
      <c r="U10" s="64"/>
      <c r="V10" s="64"/>
      <c r="W10" s="17"/>
      <c r="X10" s="17"/>
      <c r="Y10" s="17"/>
      <c r="Z10" s="63"/>
      <c r="AA10" s="17"/>
      <c r="AB10" s="63"/>
      <c r="AC10" s="17"/>
      <c r="AD10" s="17"/>
      <c r="AE10" s="17"/>
      <c r="AF10" s="17"/>
      <c r="AG10" s="17"/>
      <c r="AH10" s="63"/>
      <c r="AI10" s="17"/>
      <c r="AJ10" s="65"/>
      <c r="AK10" s="65"/>
      <c r="AL10" s="17"/>
      <c r="AM10" s="65"/>
      <c r="AN10" s="65"/>
      <c r="AO10" s="17" t="s">
        <v>2</v>
      </c>
      <c r="AP10" s="9">
        <v>84</v>
      </c>
      <c r="AQ10" s="9">
        <v>271</v>
      </c>
      <c r="AR10" s="17">
        <v>144</v>
      </c>
      <c r="AS10" s="17">
        <v>949</v>
      </c>
      <c r="AT10" s="17" t="s">
        <v>32</v>
      </c>
      <c r="AU10" s="9">
        <v>506</v>
      </c>
      <c r="AV10" s="9">
        <v>1144</v>
      </c>
      <c r="AW10" s="9"/>
      <c r="AX10" s="9"/>
      <c r="AY10" s="17" t="s">
        <v>2</v>
      </c>
      <c r="AZ10" s="61">
        <v>71</v>
      </c>
      <c r="BA10" s="61">
        <v>2362</v>
      </c>
      <c r="BB10" s="61"/>
      <c r="BC10" s="61"/>
      <c r="BD10" s="61">
        <v>5242</v>
      </c>
      <c r="BE10" s="61">
        <v>4085</v>
      </c>
    </row>
    <row r="11" spans="1:57" x14ac:dyDescent="0.3">
      <c r="A11" s="17" t="s">
        <v>77</v>
      </c>
      <c r="C11" s="2"/>
      <c r="D11" s="2"/>
      <c r="N11" s="2"/>
      <c r="O11" s="2"/>
      <c r="P11" s="2"/>
      <c r="Q11" s="2"/>
      <c r="R11" s="2"/>
      <c r="S11" s="2"/>
      <c r="AO11" s="17" t="s">
        <v>32</v>
      </c>
      <c r="AP11" s="9">
        <v>330</v>
      </c>
      <c r="AQ11" s="9">
        <v>407</v>
      </c>
      <c r="AR11" s="17">
        <v>384</v>
      </c>
      <c r="AS11" s="17">
        <v>881</v>
      </c>
      <c r="AT11" s="17" t="s">
        <v>32</v>
      </c>
      <c r="AU11" s="9">
        <v>217</v>
      </c>
      <c r="AV11" s="9">
        <v>255</v>
      </c>
      <c r="AW11" s="9">
        <v>146</v>
      </c>
      <c r="AX11" s="9">
        <v>188</v>
      </c>
      <c r="AY11" s="17" t="s">
        <v>2</v>
      </c>
      <c r="AZ11" s="61">
        <v>30</v>
      </c>
      <c r="BA11" s="61">
        <v>498</v>
      </c>
      <c r="BB11" s="61">
        <v>68</v>
      </c>
      <c r="BC11" s="61">
        <v>1295</v>
      </c>
      <c r="BD11" s="61">
        <v>853</v>
      </c>
      <c r="BE11" s="61">
        <v>6555</v>
      </c>
    </row>
    <row r="12" spans="1:57" x14ac:dyDescent="0.3">
      <c r="A12" s="17" t="s">
        <v>47</v>
      </c>
      <c r="C12" s="9"/>
      <c r="D12" s="9"/>
      <c r="E12" s="12" t="s">
        <v>8</v>
      </c>
      <c r="F12" s="59">
        <v>5</v>
      </c>
      <c r="G12" s="59">
        <v>275</v>
      </c>
      <c r="H12" s="60">
        <v>0</v>
      </c>
      <c r="I12" s="17" t="s">
        <v>8</v>
      </c>
      <c r="J12" s="57">
        <v>11</v>
      </c>
      <c r="K12" s="59">
        <v>600</v>
      </c>
      <c r="L12" s="60">
        <v>0</v>
      </c>
      <c r="N12" s="2"/>
      <c r="O12" s="2"/>
      <c r="P12" s="2"/>
      <c r="Q12" s="2"/>
      <c r="R12" s="2"/>
      <c r="S12" s="2"/>
      <c r="AP12" s="2"/>
      <c r="AQ12" s="2"/>
      <c r="AU12" s="2"/>
      <c r="AV12" s="2"/>
      <c r="AW12" s="2"/>
      <c r="AX12" s="2"/>
      <c r="AZ12" s="61"/>
      <c r="BA12" s="61"/>
      <c r="BB12" s="61"/>
      <c r="BC12" s="61"/>
      <c r="BD12" s="61"/>
      <c r="BE12" s="61"/>
    </row>
    <row r="13" spans="1:57" x14ac:dyDescent="0.3">
      <c r="A13" s="17" t="s">
        <v>66</v>
      </c>
      <c r="C13" s="2"/>
      <c r="D13" s="2"/>
      <c r="N13" s="2"/>
      <c r="O13" s="2"/>
      <c r="P13" s="2"/>
      <c r="Q13" s="2"/>
      <c r="R13" s="2"/>
      <c r="S13" s="2"/>
      <c r="AO13" s="17"/>
      <c r="AP13" s="9"/>
      <c r="AQ13" s="9"/>
      <c r="AR13" s="63"/>
      <c r="AS13" s="17"/>
      <c r="AT13" s="17" t="s">
        <v>32</v>
      </c>
      <c r="AU13" s="9">
        <v>85</v>
      </c>
      <c r="AV13" s="9">
        <v>1104</v>
      </c>
      <c r="AW13" s="9">
        <v>60</v>
      </c>
      <c r="AX13" s="9">
        <v>1406</v>
      </c>
      <c r="AY13" s="17" t="s">
        <v>2</v>
      </c>
      <c r="AZ13" s="61">
        <v>9</v>
      </c>
      <c r="BA13" s="61">
        <v>2520</v>
      </c>
      <c r="BB13" s="61">
        <v>7</v>
      </c>
      <c r="BC13" s="61">
        <v>1836</v>
      </c>
      <c r="BD13" s="61">
        <v>22</v>
      </c>
      <c r="BE13" s="61">
        <v>3918</v>
      </c>
    </row>
    <row r="14" spans="1:57" x14ac:dyDescent="0.3">
      <c r="A14" s="17" t="s">
        <v>62</v>
      </c>
      <c r="C14" s="2"/>
      <c r="D14" s="2"/>
      <c r="E14" s="62" t="s">
        <v>2</v>
      </c>
      <c r="F14" s="59">
        <v>452</v>
      </c>
      <c r="G14" s="59">
        <v>900</v>
      </c>
      <c r="H14" s="60">
        <v>0</v>
      </c>
      <c r="I14" s="17" t="s">
        <v>2</v>
      </c>
      <c r="J14" s="57">
        <v>200</v>
      </c>
      <c r="K14" s="59">
        <v>350</v>
      </c>
      <c r="L14" s="59">
        <v>0</v>
      </c>
      <c r="M14" s="17" t="s">
        <v>2</v>
      </c>
      <c r="N14" s="9">
        <v>125</v>
      </c>
      <c r="O14" s="9">
        <v>199</v>
      </c>
      <c r="P14" s="9">
        <v>0</v>
      </c>
      <c r="Q14" s="66">
        <v>340</v>
      </c>
      <c r="R14" s="66">
        <v>510</v>
      </c>
      <c r="S14" s="9">
        <v>0</v>
      </c>
      <c r="T14" s="63" t="s">
        <v>2</v>
      </c>
      <c r="U14" s="64">
        <v>350</v>
      </c>
      <c r="V14" s="64">
        <v>425</v>
      </c>
      <c r="W14" s="67">
        <v>273.5</v>
      </c>
      <c r="X14" s="17">
        <v>409</v>
      </c>
      <c r="Y14" s="63">
        <v>688</v>
      </c>
      <c r="Z14" s="63">
        <v>1240</v>
      </c>
      <c r="AA14" s="63" t="s">
        <v>2</v>
      </c>
      <c r="AB14" s="63">
        <v>526</v>
      </c>
      <c r="AC14" s="17">
        <v>789</v>
      </c>
      <c r="AD14" s="17">
        <v>450</v>
      </c>
      <c r="AE14" s="17">
        <v>825</v>
      </c>
      <c r="AF14" s="17" t="s">
        <v>2</v>
      </c>
      <c r="AG14" s="17">
        <v>250</v>
      </c>
      <c r="AH14" s="17">
        <v>625</v>
      </c>
      <c r="AI14" s="17" t="s">
        <v>2</v>
      </c>
      <c r="AJ14" s="64">
        <v>344</v>
      </c>
      <c r="AK14" s="64">
        <v>360</v>
      </c>
      <c r="AL14" s="17" t="s">
        <v>2</v>
      </c>
      <c r="AM14" s="64">
        <v>375</v>
      </c>
      <c r="AN14" s="64">
        <v>750</v>
      </c>
      <c r="AO14" s="17" t="s">
        <v>2</v>
      </c>
      <c r="AP14" s="61"/>
      <c r="AQ14" s="61"/>
      <c r="AR14" s="17">
        <v>500</v>
      </c>
      <c r="AS14" s="17">
        <v>480</v>
      </c>
      <c r="AT14" s="17" t="s">
        <v>2</v>
      </c>
      <c r="AU14" s="9">
        <v>752</v>
      </c>
      <c r="AV14" s="9">
        <v>1770</v>
      </c>
      <c r="AW14" s="9">
        <v>1250</v>
      </c>
      <c r="AX14" s="9">
        <v>2919</v>
      </c>
      <c r="AY14" s="17" t="s">
        <v>2</v>
      </c>
      <c r="AZ14" s="61"/>
      <c r="BA14" s="61"/>
      <c r="BB14" s="61">
        <v>209</v>
      </c>
      <c r="BC14" s="61">
        <v>8192</v>
      </c>
      <c r="BD14" s="61"/>
      <c r="BE14" s="61"/>
    </row>
    <row r="15" spans="1:57" s="2" customFormat="1" x14ac:dyDescent="0.3">
      <c r="A15" s="9" t="s">
        <v>3</v>
      </c>
      <c r="B15" s="68" t="s">
        <v>36</v>
      </c>
      <c r="C15" s="68">
        <v>1639</v>
      </c>
      <c r="D15" s="68">
        <v>10182</v>
      </c>
      <c r="E15" s="69" t="s">
        <v>36</v>
      </c>
      <c r="F15" s="70">
        <v>1924</v>
      </c>
      <c r="G15" s="70">
        <v>13468</v>
      </c>
      <c r="H15" s="70">
        <v>0</v>
      </c>
      <c r="I15" s="68" t="s">
        <v>36</v>
      </c>
      <c r="J15" s="71">
        <v>2227</v>
      </c>
      <c r="K15" s="70">
        <v>13920</v>
      </c>
      <c r="L15" s="70">
        <v>0</v>
      </c>
      <c r="M15" s="68" t="s">
        <v>36</v>
      </c>
      <c r="N15" s="68">
        <v>1970</v>
      </c>
      <c r="O15" s="68">
        <v>11820</v>
      </c>
      <c r="P15" s="68">
        <v>0</v>
      </c>
      <c r="Q15" s="68">
        <v>1241</v>
      </c>
      <c r="R15" s="68">
        <v>6977</v>
      </c>
      <c r="S15" s="68">
        <v>0</v>
      </c>
      <c r="T15" s="68" t="s">
        <v>4</v>
      </c>
      <c r="U15" s="72">
        <v>3482</v>
      </c>
      <c r="V15" s="72">
        <v>15196</v>
      </c>
      <c r="W15" s="73">
        <v>3039</v>
      </c>
      <c r="X15" s="73">
        <v>30390</v>
      </c>
      <c r="Y15" s="73">
        <v>2559</v>
      </c>
      <c r="Z15" s="73">
        <v>11942</v>
      </c>
      <c r="AA15" s="68" t="s">
        <v>4</v>
      </c>
      <c r="AB15" s="73">
        <v>1293</v>
      </c>
      <c r="AC15" s="73">
        <v>6034</v>
      </c>
      <c r="AD15" s="73">
        <v>1323</v>
      </c>
      <c r="AE15" s="73">
        <v>6349</v>
      </c>
      <c r="AF15" s="68" t="s">
        <v>4</v>
      </c>
      <c r="AG15" s="73">
        <v>1959</v>
      </c>
      <c r="AH15" s="73">
        <v>9680</v>
      </c>
      <c r="AI15" s="68" t="s">
        <v>4</v>
      </c>
      <c r="AJ15" s="71">
        <v>3192</v>
      </c>
      <c r="AK15" s="71">
        <v>15960</v>
      </c>
      <c r="AL15" s="68" t="s">
        <v>4</v>
      </c>
      <c r="AM15" s="71">
        <v>410</v>
      </c>
      <c r="AN15" s="71">
        <v>1332</v>
      </c>
      <c r="AZ15" s="61"/>
      <c r="BA15" s="61"/>
      <c r="BB15" s="61"/>
      <c r="BC15" s="61"/>
      <c r="BD15" s="61"/>
      <c r="BE15" s="61"/>
    </row>
    <row r="16" spans="1:57" s="2" customFormat="1" x14ac:dyDescent="0.3">
      <c r="A16" s="9" t="s">
        <v>3</v>
      </c>
      <c r="B16" s="68"/>
      <c r="C16" s="68"/>
      <c r="D16" s="68"/>
      <c r="E16" s="69"/>
      <c r="F16" s="70"/>
      <c r="G16" s="70"/>
      <c r="H16" s="70"/>
      <c r="I16" s="68"/>
      <c r="J16" s="71"/>
      <c r="K16" s="70"/>
      <c r="L16" s="70"/>
      <c r="M16" s="68" t="s">
        <v>91</v>
      </c>
      <c r="N16" s="68"/>
      <c r="O16" s="68"/>
      <c r="P16" s="68"/>
      <c r="Q16" s="68">
        <v>76</v>
      </c>
      <c r="R16" s="68">
        <v>912</v>
      </c>
      <c r="S16" s="68">
        <v>0</v>
      </c>
      <c r="T16" s="68"/>
      <c r="U16" s="72"/>
      <c r="V16" s="72"/>
      <c r="W16" s="73"/>
      <c r="X16" s="73"/>
      <c r="Y16" s="73"/>
      <c r="Z16" s="73"/>
      <c r="AA16" s="68"/>
      <c r="AB16" s="73"/>
      <c r="AC16" s="73"/>
      <c r="AD16" s="73"/>
      <c r="AE16" s="73"/>
      <c r="AF16" s="68"/>
      <c r="AG16" s="73"/>
      <c r="AH16" s="73"/>
      <c r="AI16" s="68"/>
      <c r="AJ16" s="71"/>
      <c r="AK16" s="71"/>
      <c r="AL16" s="68"/>
      <c r="AM16" s="71"/>
      <c r="AN16" s="71"/>
      <c r="AZ16" s="61"/>
      <c r="BA16" s="61"/>
      <c r="BB16" s="61"/>
      <c r="BC16" s="61"/>
      <c r="BD16" s="61"/>
      <c r="BE16" s="61"/>
    </row>
    <row r="17" spans="1:57" x14ac:dyDescent="0.3">
      <c r="A17" s="9" t="s">
        <v>6</v>
      </c>
      <c r="C17" s="9"/>
      <c r="D17" s="9"/>
      <c r="E17" s="9" t="s">
        <v>48</v>
      </c>
      <c r="F17" s="59">
        <v>2600</v>
      </c>
      <c r="G17" s="59">
        <v>2500</v>
      </c>
      <c r="H17" s="60">
        <v>0</v>
      </c>
      <c r="I17" s="9" t="s">
        <v>48</v>
      </c>
      <c r="J17" s="57">
        <v>2894</v>
      </c>
      <c r="K17" s="59">
        <v>2782</v>
      </c>
      <c r="L17" s="60">
        <v>0</v>
      </c>
      <c r="M17" s="9" t="s">
        <v>4</v>
      </c>
      <c r="N17" s="9">
        <v>1992</v>
      </c>
      <c r="O17" s="9">
        <v>3395</v>
      </c>
      <c r="P17" s="9">
        <v>0</v>
      </c>
      <c r="Q17" s="57">
        <v>1205</v>
      </c>
      <c r="R17" s="57">
        <v>2102</v>
      </c>
      <c r="S17" s="9">
        <v>0</v>
      </c>
      <c r="T17" s="17" t="s">
        <v>4</v>
      </c>
      <c r="U17" s="74">
        <v>1103</v>
      </c>
      <c r="V17" s="74">
        <v>5492</v>
      </c>
      <c r="W17" s="17">
        <v>158</v>
      </c>
      <c r="X17" s="17">
        <v>462</v>
      </c>
      <c r="Y17" s="63">
        <v>408</v>
      </c>
      <c r="Z17" s="63">
        <v>816</v>
      </c>
      <c r="AA17" s="17" t="s">
        <v>4</v>
      </c>
      <c r="AB17" s="63">
        <v>671</v>
      </c>
      <c r="AC17" s="63">
        <v>1342</v>
      </c>
      <c r="AD17" s="17">
        <v>508</v>
      </c>
      <c r="AE17" s="63">
        <v>1016</v>
      </c>
      <c r="AF17" s="51" t="s">
        <v>4</v>
      </c>
      <c r="AG17" s="73">
        <v>952</v>
      </c>
      <c r="AH17" s="51">
        <v>2756</v>
      </c>
      <c r="AI17" s="17" t="s">
        <v>4</v>
      </c>
      <c r="AJ17" s="65">
        <v>477</v>
      </c>
      <c r="AK17" s="65">
        <v>1431</v>
      </c>
      <c r="AL17" s="17" t="s">
        <v>4</v>
      </c>
      <c r="AM17" s="65">
        <v>275</v>
      </c>
      <c r="AN17" s="65">
        <v>1650</v>
      </c>
      <c r="AP17" s="2"/>
      <c r="AQ17" s="2"/>
      <c r="AU17" s="2"/>
      <c r="AV17" s="2"/>
      <c r="AW17" s="2"/>
      <c r="AX17" s="2"/>
      <c r="AZ17" s="61"/>
      <c r="BA17" s="61"/>
      <c r="BB17" s="61"/>
      <c r="BC17" s="61"/>
      <c r="BD17" s="61"/>
      <c r="BE17" s="61"/>
    </row>
    <row r="18" spans="1:57" x14ac:dyDescent="0.3">
      <c r="A18" s="9" t="s">
        <v>190</v>
      </c>
      <c r="B18" s="17"/>
      <c r="C18" s="66"/>
      <c r="D18" s="66"/>
      <c r="E18" s="62"/>
      <c r="F18" s="59"/>
      <c r="G18" s="60"/>
      <c r="H18" s="60"/>
      <c r="I18" s="17"/>
      <c r="J18" s="57"/>
      <c r="K18" s="59"/>
      <c r="L18" s="60"/>
      <c r="N18" s="2"/>
      <c r="O18" s="2"/>
      <c r="P18" s="2"/>
      <c r="Q18" s="2"/>
      <c r="R18" s="2"/>
      <c r="S18" s="2"/>
      <c r="T18" s="17" t="s">
        <v>26</v>
      </c>
      <c r="U18" s="74">
        <v>5773</v>
      </c>
      <c r="V18" s="74">
        <v>68221</v>
      </c>
      <c r="W18" s="63">
        <v>3931</v>
      </c>
      <c r="X18" s="63">
        <v>77289</v>
      </c>
      <c r="Y18" s="63">
        <v>7323</v>
      </c>
      <c r="Z18" s="63">
        <v>60594</v>
      </c>
      <c r="AA18" s="17"/>
      <c r="AB18" s="17"/>
      <c r="AC18" s="63"/>
      <c r="AD18" s="17"/>
      <c r="AE18" s="63"/>
      <c r="AF18" s="17" t="s">
        <v>25</v>
      </c>
      <c r="AG18" s="73">
        <v>6517</v>
      </c>
      <c r="AH18" s="63">
        <v>218593</v>
      </c>
      <c r="AI18" s="17" t="s">
        <v>25</v>
      </c>
      <c r="AJ18" s="65">
        <v>1342</v>
      </c>
      <c r="AK18" s="65">
        <v>69706</v>
      </c>
      <c r="AL18" s="17" t="s">
        <v>25</v>
      </c>
      <c r="AM18" s="65">
        <v>739</v>
      </c>
      <c r="AN18" s="65">
        <v>37957</v>
      </c>
      <c r="AO18" s="17"/>
      <c r="AP18" s="9"/>
      <c r="AQ18" s="9"/>
      <c r="AR18" s="63"/>
      <c r="AS18" s="17"/>
      <c r="AT18" s="17"/>
      <c r="AU18" s="9"/>
      <c r="AV18" s="9"/>
      <c r="AW18" s="9"/>
      <c r="AX18" s="9"/>
      <c r="AY18" s="17"/>
      <c r="AZ18" s="61"/>
      <c r="BA18" s="61"/>
      <c r="BB18" s="61"/>
      <c r="BC18" s="61"/>
      <c r="BD18" s="61"/>
      <c r="BE18" s="61"/>
    </row>
    <row r="19" spans="1:57" x14ac:dyDescent="0.3">
      <c r="A19" s="9" t="s">
        <v>190</v>
      </c>
      <c r="B19" s="17"/>
      <c r="C19" s="66"/>
      <c r="D19" s="66"/>
      <c r="E19" s="62"/>
      <c r="F19" s="59"/>
      <c r="G19" s="60"/>
      <c r="H19" s="60"/>
      <c r="I19" s="17"/>
      <c r="J19" s="57"/>
      <c r="K19" s="59"/>
      <c r="L19" s="60"/>
      <c r="N19" s="2"/>
      <c r="O19" s="2"/>
      <c r="P19" s="2"/>
      <c r="Q19" s="2"/>
      <c r="R19" s="2"/>
      <c r="S19" s="2"/>
      <c r="T19" s="17"/>
      <c r="U19" s="74"/>
      <c r="V19" s="74"/>
      <c r="W19" s="63"/>
      <c r="X19" s="63"/>
      <c r="Y19" s="63"/>
      <c r="Z19" s="63"/>
      <c r="AA19" s="17"/>
      <c r="AB19" s="17"/>
      <c r="AC19" s="63"/>
      <c r="AD19" s="17"/>
      <c r="AE19" s="63"/>
      <c r="AF19" s="17"/>
      <c r="AG19" s="73"/>
      <c r="AH19" s="63"/>
      <c r="AI19" s="9" t="s">
        <v>26</v>
      </c>
      <c r="AJ19" s="65">
        <v>3785</v>
      </c>
      <c r="AK19" s="65">
        <v>64695</v>
      </c>
      <c r="AL19" s="9" t="s">
        <v>26</v>
      </c>
      <c r="AM19" s="65">
        <v>1760</v>
      </c>
      <c r="AN19" s="65">
        <v>21789</v>
      </c>
      <c r="AO19" s="17"/>
      <c r="AP19" s="9"/>
      <c r="AQ19" s="9"/>
      <c r="AR19" s="63"/>
      <c r="AS19" s="17"/>
      <c r="AT19" s="17"/>
      <c r="AU19" s="9"/>
      <c r="AV19" s="9"/>
      <c r="AW19" s="9"/>
      <c r="AX19" s="9"/>
      <c r="AY19" s="17"/>
      <c r="AZ19" s="61"/>
      <c r="BA19" s="61"/>
      <c r="BB19" s="61"/>
      <c r="BC19" s="61"/>
      <c r="BD19" s="61"/>
      <c r="BE19" s="61"/>
    </row>
    <row r="20" spans="1:57" x14ac:dyDescent="0.3">
      <c r="A20" s="9" t="s">
        <v>190</v>
      </c>
      <c r="B20" s="17"/>
      <c r="C20" s="66"/>
      <c r="D20" s="66"/>
      <c r="E20" s="62"/>
      <c r="F20" s="59"/>
      <c r="G20" s="60"/>
      <c r="H20" s="60"/>
      <c r="I20" s="17"/>
      <c r="J20" s="57"/>
      <c r="K20" s="59"/>
      <c r="L20" s="60"/>
      <c r="N20" s="2"/>
      <c r="O20" s="2"/>
      <c r="P20" s="2"/>
      <c r="Q20" s="2"/>
      <c r="R20" s="2"/>
      <c r="S20" s="2"/>
      <c r="T20" s="17"/>
      <c r="U20" s="74"/>
      <c r="V20" s="74"/>
      <c r="W20" s="63"/>
      <c r="X20" s="63"/>
      <c r="Y20" s="63"/>
      <c r="Z20" s="63"/>
      <c r="AA20" s="17"/>
      <c r="AB20" s="17"/>
      <c r="AC20" s="63"/>
      <c r="AD20" s="17"/>
      <c r="AE20" s="63"/>
      <c r="AF20" s="17"/>
      <c r="AG20" s="73"/>
      <c r="AH20" s="63"/>
      <c r="AI20" s="9"/>
      <c r="AJ20" s="65"/>
      <c r="AK20" s="65"/>
      <c r="AL20" s="9" t="s">
        <v>8</v>
      </c>
      <c r="AM20" s="65">
        <v>10</v>
      </c>
      <c r="AN20" s="65">
        <v>500</v>
      </c>
      <c r="AO20" s="17"/>
      <c r="AP20" s="9"/>
      <c r="AQ20" s="9"/>
      <c r="AR20" s="63"/>
      <c r="AS20" s="17"/>
      <c r="AT20" s="17"/>
      <c r="AU20" s="9"/>
      <c r="AV20" s="9"/>
      <c r="AW20" s="9"/>
      <c r="AX20" s="9"/>
      <c r="AY20" s="17"/>
      <c r="AZ20" s="61"/>
      <c r="BA20" s="61"/>
      <c r="BB20" s="61"/>
      <c r="BC20" s="61"/>
      <c r="BD20" s="61"/>
      <c r="BE20" s="61"/>
    </row>
    <row r="21" spans="1:57" x14ac:dyDescent="0.3">
      <c r="A21" s="17" t="s">
        <v>260</v>
      </c>
      <c r="B21" s="17"/>
      <c r="C21" s="57"/>
      <c r="D21" s="66"/>
      <c r="E21" s="58"/>
      <c r="F21" s="59"/>
      <c r="G21" s="59"/>
      <c r="H21" s="59"/>
      <c r="I21" s="17"/>
      <c r="J21" s="57"/>
      <c r="K21" s="59"/>
      <c r="L21" s="59"/>
      <c r="N21" s="2"/>
      <c r="O21" s="2"/>
      <c r="P21" s="2"/>
      <c r="Q21" s="2"/>
      <c r="R21" s="2"/>
      <c r="S21" s="2"/>
      <c r="T21" s="75"/>
      <c r="AA21" s="75"/>
      <c r="AF21" s="17"/>
      <c r="AG21" s="73"/>
      <c r="AI21" s="17"/>
      <c r="AK21" s="65"/>
      <c r="AL21" s="17"/>
      <c r="AN21" s="65"/>
      <c r="AO21" s="17" t="s">
        <v>32</v>
      </c>
      <c r="AP21" s="61">
        <v>1368</v>
      </c>
      <c r="AQ21" s="9">
        <v>27</v>
      </c>
      <c r="AR21" s="63">
        <v>2076</v>
      </c>
      <c r="AS21" s="63">
        <v>9552</v>
      </c>
      <c r="AT21" s="17" t="s">
        <v>32</v>
      </c>
      <c r="AU21" s="61">
        <v>1627</v>
      </c>
      <c r="AV21" s="61">
        <v>7256</v>
      </c>
      <c r="AW21" s="61">
        <v>4163</v>
      </c>
      <c r="AX21" s="61">
        <v>20140</v>
      </c>
      <c r="AY21" s="17" t="s">
        <v>2</v>
      </c>
      <c r="AZ21" s="61">
        <v>268</v>
      </c>
      <c r="BA21" s="61">
        <v>26430</v>
      </c>
      <c r="BB21" s="61"/>
      <c r="BC21" s="61"/>
      <c r="BD21" s="61">
        <v>205</v>
      </c>
      <c r="BE21" s="61">
        <v>24989</v>
      </c>
    </row>
    <row r="22" spans="1:57" x14ac:dyDescent="0.3">
      <c r="A22" s="17" t="s">
        <v>261</v>
      </c>
      <c r="C22" s="9"/>
      <c r="D22" s="9"/>
      <c r="E22" s="12" t="s">
        <v>8</v>
      </c>
      <c r="F22" s="59">
        <v>137</v>
      </c>
      <c r="G22" s="59">
        <v>193</v>
      </c>
      <c r="H22" s="60">
        <v>0</v>
      </c>
      <c r="I22" s="17" t="s">
        <v>8</v>
      </c>
      <c r="J22" s="57">
        <v>103</v>
      </c>
      <c r="K22" s="59">
        <v>263</v>
      </c>
      <c r="L22" s="60">
        <v>0</v>
      </c>
      <c r="N22" s="2"/>
      <c r="O22" s="2"/>
      <c r="P22" s="2"/>
      <c r="Q22" s="2"/>
      <c r="R22" s="2"/>
      <c r="S22" s="2"/>
      <c r="AG22" s="73"/>
      <c r="AP22" s="2"/>
      <c r="AQ22" s="2"/>
      <c r="AU22" s="2"/>
      <c r="AV22" s="2"/>
      <c r="AW22" s="2"/>
      <c r="AX22" s="2"/>
      <c r="AZ22" s="61"/>
      <c r="BA22" s="61"/>
      <c r="BB22" s="61"/>
      <c r="BC22" s="61"/>
      <c r="BD22" s="61"/>
      <c r="BE22" s="61"/>
    </row>
    <row r="23" spans="1:57" x14ac:dyDescent="0.3">
      <c r="A23" s="17" t="s">
        <v>292</v>
      </c>
      <c r="C23" s="2"/>
      <c r="D23" s="2"/>
      <c r="I23" s="17"/>
      <c r="J23" s="57"/>
      <c r="K23" s="59"/>
      <c r="L23" s="59"/>
      <c r="M23" s="17"/>
      <c r="N23" s="9"/>
      <c r="O23" s="9"/>
      <c r="P23" s="9"/>
      <c r="Q23" s="57"/>
      <c r="R23" s="57"/>
      <c r="S23" s="9"/>
      <c r="AA23" s="51" t="s">
        <v>26</v>
      </c>
      <c r="AD23" s="63">
        <v>6994</v>
      </c>
      <c r="AE23" s="63">
        <v>5025</v>
      </c>
      <c r="AF23" s="17" t="s">
        <v>26</v>
      </c>
      <c r="AG23" s="63">
        <v>5115</v>
      </c>
      <c r="AH23" s="63">
        <v>3822</v>
      </c>
      <c r="AI23" s="17"/>
      <c r="AJ23" s="64"/>
      <c r="AK23" s="64"/>
      <c r="AL23" s="17" t="s">
        <v>26</v>
      </c>
      <c r="AM23" s="64">
        <v>3600</v>
      </c>
      <c r="AN23" s="64">
        <v>2700</v>
      </c>
      <c r="AP23" s="2"/>
      <c r="AQ23" s="2"/>
      <c r="AU23" s="2"/>
      <c r="AV23" s="2"/>
      <c r="AW23" s="2"/>
      <c r="AX23" s="2"/>
      <c r="AZ23" s="61"/>
      <c r="BA23" s="61"/>
      <c r="BB23" s="61"/>
      <c r="BC23" s="61"/>
      <c r="BD23" s="61"/>
      <c r="BE23" s="61"/>
    </row>
    <row r="24" spans="1:57" x14ac:dyDescent="0.3">
      <c r="A24" s="9" t="s">
        <v>14</v>
      </c>
      <c r="B24" s="17"/>
      <c r="C24" s="57"/>
      <c r="D24" s="57"/>
      <c r="E24" s="62"/>
      <c r="F24" s="59"/>
      <c r="G24" s="59"/>
      <c r="H24" s="59"/>
      <c r="I24" s="17"/>
      <c r="J24" s="57"/>
      <c r="K24" s="59"/>
      <c r="L24" s="59"/>
      <c r="M24" s="17"/>
      <c r="N24" s="9"/>
      <c r="O24" s="9"/>
      <c r="P24" s="9"/>
      <c r="Q24" s="57"/>
      <c r="R24" s="57"/>
      <c r="S24" s="9"/>
      <c r="T24" s="63"/>
      <c r="U24" s="74"/>
      <c r="V24" s="64"/>
      <c r="W24" s="63"/>
      <c r="X24" s="63"/>
      <c r="Y24" s="63"/>
      <c r="Z24" s="63"/>
      <c r="AA24" s="63"/>
      <c r="AB24" s="63"/>
      <c r="AC24" s="63"/>
      <c r="AD24" s="63"/>
      <c r="AE24" s="63"/>
      <c r="AF24" s="17"/>
      <c r="AG24" s="63"/>
      <c r="AH24" s="63"/>
      <c r="AI24" s="17"/>
      <c r="AJ24" s="64"/>
      <c r="AK24" s="64"/>
      <c r="AL24" s="17"/>
      <c r="AM24" s="64"/>
      <c r="AN24" s="64"/>
      <c r="AO24" s="17" t="s">
        <v>32</v>
      </c>
      <c r="AP24" s="61">
        <v>1317</v>
      </c>
      <c r="AQ24" s="9">
        <v>256</v>
      </c>
      <c r="AR24" s="63">
        <v>3053</v>
      </c>
      <c r="AS24" s="17">
        <v>790</v>
      </c>
      <c r="AT24" s="17" t="s">
        <v>32</v>
      </c>
      <c r="AU24" s="9">
        <v>3608</v>
      </c>
      <c r="AV24" s="9">
        <v>611</v>
      </c>
      <c r="AW24" s="9">
        <v>419</v>
      </c>
      <c r="AX24" s="9">
        <v>288</v>
      </c>
      <c r="AY24" s="9" t="s">
        <v>2</v>
      </c>
      <c r="AZ24" s="61">
        <v>44</v>
      </c>
      <c r="BA24" s="61">
        <v>141</v>
      </c>
      <c r="BB24" s="61"/>
      <c r="BC24" s="61"/>
      <c r="BD24" s="61"/>
      <c r="BE24" s="61"/>
    </row>
    <row r="25" spans="1:57" x14ac:dyDescent="0.3">
      <c r="A25" s="17" t="s">
        <v>7</v>
      </c>
      <c r="B25" s="17"/>
      <c r="C25" s="57"/>
      <c r="D25" s="57"/>
      <c r="E25" s="62"/>
      <c r="F25" s="59"/>
      <c r="G25" s="59"/>
      <c r="H25" s="60"/>
      <c r="I25" s="17"/>
      <c r="J25" s="57"/>
      <c r="K25" s="59"/>
      <c r="L25" s="60"/>
      <c r="M25" s="17" t="s">
        <v>26</v>
      </c>
      <c r="N25" s="9">
        <v>400</v>
      </c>
      <c r="O25" s="9">
        <v>924</v>
      </c>
      <c r="P25" s="9">
        <v>0</v>
      </c>
      <c r="Q25" s="57">
        <v>203</v>
      </c>
      <c r="R25" s="57">
        <v>210</v>
      </c>
      <c r="S25" s="9">
        <v>0</v>
      </c>
      <c r="T25" s="17" t="s">
        <v>4</v>
      </c>
      <c r="U25" s="64">
        <v>619</v>
      </c>
      <c r="V25" s="64">
        <v>419</v>
      </c>
      <c r="W25" s="17"/>
      <c r="X25" s="17"/>
      <c r="Y25" s="17"/>
      <c r="Z25" s="63"/>
      <c r="AA25" s="17"/>
      <c r="AB25" s="63"/>
      <c r="AC25" s="17"/>
      <c r="AD25" s="17"/>
      <c r="AE25" s="17"/>
      <c r="AF25" s="17"/>
      <c r="AG25" s="17"/>
      <c r="AH25" s="63"/>
      <c r="AI25" s="17"/>
      <c r="AJ25" s="65"/>
      <c r="AK25" s="65"/>
      <c r="AL25" s="17"/>
      <c r="AM25" s="65"/>
      <c r="AN25" s="65"/>
      <c r="AO25" s="17" t="s">
        <v>32</v>
      </c>
      <c r="AP25" s="61">
        <v>7475</v>
      </c>
      <c r="AQ25" s="61">
        <v>3831</v>
      </c>
      <c r="AR25" s="63">
        <v>4096</v>
      </c>
      <c r="AS25" s="63">
        <v>3815</v>
      </c>
      <c r="AT25" s="17" t="s">
        <v>32</v>
      </c>
      <c r="AU25" s="9">
        <v>7094</v>
      </c>
      <c r="AV25" s="9">
        <v>3670</v>
      </c>
      <c r="AW25" s="9">
        <v>4574</v>
      </c>
      <c r="AX25" s="9">
        <v>4149</v>
      </c>
      <c r="AY25" s="17" t="s">
        <v>2</v>
      </c>
      <c r="AZ25" s="61">
        <v>518</v>
      </c>
      <c r="BA25" s="61">
        <v>7071</v>
      </c>
      <c r="BB25" s="61">
        <v>415</v>
      </c>
      <c r="BC25" s="61">
        <v>4303</v>
      </c>
      <c r="BD25" s="61">
        <v>625</v>
      </c>
      <c r="BE25" s="61">
        <v>5599</v>
      </c>
    </row>
    <row r="26" spans="1:57" x14ac:dyDescent="0.3">
      <c r="A26" s="76" t="s">
        <v>262</v>
      </c>
      <c r="C26" s="2"/>
      <c r="D26" s="2"/>
      <c r="I26" s="17" t="s">
        <v>21</v>
      </c>
      <c r="J26" s="57">
        <v>83</v>
      </c>
      <c r="K26" s="59">
        <v>249</v>
      </c>
      <c r="L26" s="59">
        <v>0</v>
      </c>
      <c r="M26" s="17" t="s">
        <v>44</v>
      </c>
      <c r="N26" s="9">
        <v>53</v>
      </c>
      <c r="O26" s="9">
        <v>174</v>
      </c>
      <c r="P26" s="9">
        <v>0</v>
      </c>
      <c r="Q26" s="57">
        <v>47</v>
      </c>
      <c r="R26" s="57">
        <v>141</v>
      </c>
      <c r="S26" s="9">
        <v>0</v>
      </c>
      <c r="AP26" s="2"/>
      <c r="AQ26" s="2"/>
      <c r="AU26" s="2"/>
      <c r="AV26" s="2"/>
      <c r="AW26" s="2"/>
      <c r="AX26" s="2"/>
      <c r="AZ26" s="61"/>
      <c r="BA26" s="61"/>
      <c r="BB26" s="61"/>
      <c r="BC26" s="61"/>
      <c r="BD26" s="61"/>
      <c r="BE26" s="61"/>
    </row>
    <row r="27" spans="1:57" x14ac:dyDescent="0.3">
      <c r="A27" s="17" t="s">
        <v>68</v>
      </c>
      <c r="C27" s="2"/>
      <c r="D27" s="2"/>
      <c r="N27" s="2"/>
      <c r="O27" s="2"/>
      <c r="P27" s="2"/>
      <c r="Q27" s="2"/>
      <c r="R27" s="2"/>
      <c r="S27" s="2"/>
      <c r="AO27" s="17"/>
      <c r="AP27" s="9"/>
      <c r="AQ27" s="61"/>
      <c r="AR27" s="17"/>
      <c r="AS27" s="63"/>
      <c r="AT27" s="17"/>
      <c r="AU27" s="9"/>
      <c r="AV27" s="9"/>
      <c r="AW27" s="9"/>
      <c r="AX27" s="9"/>
      <c r="AY27" s="17" t="s">
        <v>2</v>
      </c>
      <c r="AZ27" s="61">
        <v>11</v>
      </c>
      <c r="BA27" s="61">
        <v>581</v>
      </c>
      <c r="BB27" s="61">
        <v>549</v>
      </c>
      <c r="BC27" s="61">
        <v>2308</v>
      </c>
      <c r="BD27" s="61">
        <v>41</v>
      </c>
      <c r="BE27" s="61">
        <v>2741</v>
      </c>
    </row>
    <row r="28" spans="1:57" x14ac:dyDescent="0.3">
      <c r="A28" s="17" t="s">
        <v>73</v>
      </c>
      <c r="C28" s="2"/>
      <c r="D28" s="2"/>
      <c r="N28" s="2"/>
      <c r="O28" s="2"/>
      <c r="P28" s="2"/>
      <c r="Q28" s="2"/>
      <c r="R28" s="2"/>
      <c r="S28" s="2"/>
      <c r="AO28" s="17"/>
      <c r="AP28" s="9"/>
      <c r="AQ28" s="61"/>
      <c r="AR28" s="17"/>
      <c r="AS28" s="63"/>
      <c r="AT28" s="17" t="s">
        <v>32</v>
      </c>
      <c r="AU28" s="9">
        <v>467</v>
      </c>
      <c r="AV28" s="9">
        <v>1396</v>
      </c>
      <c r="AW28" s="9">
        <v>803</v>
      </c>
      <c r="AX28" s="9">
        <v>3491</v>
      </c>
      <c r="AY28" s="17" t="s">
        <v>2</v>
      </c>
      <c r="AZ28" s="61">
        <v>21</v>
      </c>
      <c r="BA28" s="61">
        <v>2753</v>
      </c>
      <c r="BB28" s="61">
        <v>69</v>
      </c>
      <c r="BC28" s="61">
        <v>4246</v>
      </c>
      <c r="BD28" s="61">
        <v>57</v>
      </c>
      <c r="BE28" s="61">
        <v>4705</v>
      </c>
    </row>
    <row r="29" spans="1:57" x14ac:dyDescent="0.3">
      <c r="A29" s="17" t="s">
        <v>263</v>
      </c>
      <c r="B29" s="77"/>
      <c r="C29" s="2"/>
      <c r="D29" s="2"/>
      <c r="E29" s="12" t="s">
        <v>8</v>
      </c>
      <c r="F29" s="59">
        <v>150</v>
      </c>
      <c r="G29" s="59">
        <v>300</v>
      </c>
      <c r="H29" s="60">
        <v>0</v>
      </c>
      <c r="I29" s="17" t="s">
        <v>8</v>
      </c>
      <c r="J29" s="57">
        <v>260</v>
      </c>
      <c r="K29" s="59">
        <v>488</v>
      </c>
      <c r="L29" s="60">
        <v>0</v>
      </c>
      <c r="N29" s="2"/>
      <c r="O29" s="2"/>
      <c r="P29" s="2"/>
      <c r="Q29" s="2"/>
      <c r="R29" s="2"/>
      <c r="S29" s="2"/>
      <c r="AP29" s="2"/>
      <c r="AQ29" s="2"/>
      <c r="AU29" s="2"/>
      <c r="AV29" s="2"/>
      <c r="AW29" s="2"/>
      <c r="AX29" s="2"/>
      <c r="AZ29" s="61"/>
      <c r="BA29" s="61"/>
      <c r="BB29" s="61"/>
      <c r="BC29" s="61"/>
      <c r="BD29" s="61"/>
      <c r="BE29" s="61"/>
    </row>
    <row r="30" spans="1:57" x14ac:dyDescent="0.3">
      <c r="A30" s="17" t="s">
        <v>264</v>
      </c>
      <c r="C30" s="2"/>
      <c r="D30" s="2"/>
      <c r="N30" s="9"/>
      <c r="O30" s="9"/>
      <c r="P30" s="9"/>
      <c r="Q30" s="2"/>
      <c r="R30" s="9"/>
      <c r="S30" s="9"/>
      <c r="AO30" s="17"/>
      <c r="AP30" s="9"/>
      <c r="AQ30" s="61"/>
      <c r="AR30" s="17"/>
      <c r="AS30" s="63"/>
      <c r="AT30" s="17" t="s">
        <v>32</v>
      </c>
      <c r="AU30" s="9">
        <v>359</v>
      </c>
      <c r="AV30" s="9">
        <v>584</v>
      </c>
      <c r="AW30" s="9">
        <v>348</v>
      </c>
      <c r="AX30" s="9">
        <v>578</v>
      </c>
      <c r="AY30" s="17" t="s">
        <v>2</v>
      </c>
      <c r="AZ30" s="61">
        <v>48</v>
      </c>
      <c r="BA30" s="61">
        <v>1335</v>
      </c>
      <c r="BB30" s="61">
        <v>75</v>
      </c>
      <c r="BC30" s="61">
        <v>2645</v>
      </c>
      <c r="BD30" s="61">
        <v>17</v>
      </c>
      <c r="BE30" s="61">
        <v>1029</v>
      </c>
    </row>
    <row r="31" spans="1:57" x14ac:dyDescent="0.3">
      <c r="A31" s="17" t="s">
        <v>191</v>
      </c>
      <c r="C31" s="2"/>
      <c r="D31" s="2"/>
      <c r="I31" s="17"/>
      <c r="J31" s="57"/>
      <c r="K31" s="59"/>
      <c r="L31" s="59"/>
      <c r="M31" s="17" t="s">
        <v>8</v>
      </c>
      <c r="N31" s="2"/>
      <c r="O31" s="2"/>
      <c r="P31" s="2"/>
      <c r="Q31" s="66">
        <v>2</v>
      </c>
      <c r="R31" s="66">
        <v>316</v>
      </c>
      <c r="S31" s="9">
        <v>0</v>
      </c>
      <c r="T31" s="17"/>
      <c r="Y31" s="17"/>
      <c r="Z31" s="16"/>
      <c r="AA31" s="17"/>
      <c r="AB31" s="17"/>
      <c r="AC31" s="17"/>
      <c r="AD31" s="17"/>
      <c r="AE31" s="17"/>
      <c r="AF31" s="17"/>
      <c r="AG31" s="17"/>
      <c r="AH31" s="17"/>
      <c r="AI31" s="17"/>
      <c r="AL31" s="17"/>
      <c r="AO31" s="17"/>
      <c r="AP31" s="9"/>
      <c r="AQ31" s="9"/>
      <c r="AR31" s="17"/>
      <c r="AS31" s="63"/>
      <c r="AT31" s="17"/>
      <c r="AU31" s="9"/>
      <c r="AV31" s="9"/>
      <c r="AW31" s="9"/>
      <c r="AX31" s="9"/>
      <c r="AY31" s="17"/>
      <c r="AZ31" s="61"/>
      <c r="BA31" s="61"/>
      <c r="BB31" s="61"/>
      <c r="BC31" s="61"/>
      <c r="BD31" s="61"/>
      <c r="BE31" s="61"/>
    </row>
    <row r="32" spans="1:57" x14ac:dyDescent="0.3">
      <c r="A32" s="51" t="s">
        <v>265</v>
      </c>
      <c r="B32" s="17" t="s">
        <v>25</v>
      </c>
      <c r="C32" s="57">
        <v>112</v>
      </c>
      <c r="D32" s="66">
        <v>4000</v>
      </c>
      <c r="E32" s="9" t="s">
        <v>25</v>
      </c>
      <c r="F32" s="59">
        <v>413</v>
      </c>
      <c r="G32" s="59">
        <v>2891</v>
      </c>
      <c r="H32" s="60">
        <v>0</v>
      </c>
      <c r="I32" s="17" t="s">
        <v>25</v>
      </c>
      <c r="J32" s="57">
        <v>110</v>
      </c>
      <c r="K32" s="59">
        <v>660</v>
      </c>
      <c r="L32" s="60">
        <v>0</v>
      </c>
      <c r="M32" s="17" t="s">
        <v>25</v>
      </c>
      <c r="N32" s="9">
        <v>195</v>
      </c>
      <c r="O32" s="9">
        <v>1110</v>
      </c>
      <c r="P32" s="9">
        <v>10</v>
      </c>
      <c r="Q32" s="57">
        <v>284</v>
      </c>
      <c r="R32" s="66">
        <v>1177</v>
      </c>
      <c r="S32" s="9">
        <v>0</v>
      </c>
      <c r="T32" s="17" t="s">
        <v>4</v>
      </c>
      <c r="U32" s="64">
        <v>398</v>
      </c>
      <c r="V32" s="74">
        <v>1522</v>
      </c>
      <c r="W32" s="63">
        <v>1919</v>
      </c>
      <c r="X32" s="63">
        <v>3010</v>
      </c>
      <c r="Y32" s="17"/>
      <c r="Z32" s="17"/>
      <c r="AA32" s="17"/>
      <c r="AB32" s="17"/>
      <c r="AC32" s="17"/>
      <c r="AD32" s="17"/>
      <c r="AE32" s="63"/>
      <c r="AF32" s="17"/>
      <c r="AG32" s="17"/>
      <c r="AH32" s="63"/>
      <c r="AI32" s="17"/>
      <c r="AJ32" s="64"/>
      <c r="AK32" s="64"/>
      <c r="AL32" s="17"/>
      <c r="AM32" s="65"/>
      <c r="AN32" s="64"/>
      <c r="AP32" s="2"/>
      <c r="AQ32" s="2"/>
      <c r="AU32" s="2"/>
      <c r="AV32" s="2"/>
      <c r="AW32" s="2"/>
      <c r="AX32" s="2"/>
      <c r="AZ32" s="61"/>
      <c r="BA32" s="61"/>
      <c r="BB32" s="61"/>
      <c r="BC32" s="61"/>
      <c r="BD32" s="61"/>
      <c r="BE32" s="61"/>
    </row>
    <row r="33" spans="1:57" x14ac:dyDescent="0.3">
      <c r="A33" s="76" t="s">
        <v>43</v>
      </c>
      <c r="B33" s="17" t="s">
        <v>26</v>
      </c>
      <c r="C33" s="57">
        <v>439</v>
      </c>
      <c r="D33" s="57">
        <v>333</v>
      </c>
      <c r="E33" s="58" t="s">
        <v>54</v>
      </c>
      <c r="F33" s="59">
        <v>298</v>
      </c>
      <c r="G33" s="59">
        <v>298</v>
      </c>
      <c r="H33" s="59">
        <v>0</v>
      </c>
      <c r="I33" s="17"/>
      <c r="J33" s="57"/>
      <c r="K33" s="59"/>
      <c r="L33" s="59"/>
      <c r="M33" s="17" t="s">
        <v>26</v>
      </c>
      <c r="N33" s="9">
        <v>315</v>
      </c>
      <c r="O33" s="9">
        <v>336</v>
      </c>
      <c r="P33" s="9">
        <v>0</v>
      </c>
      <c r="Q33" s="57">
        <v>303</v>
      </c>
      <c r="R33" s="57">
        <v>196</v>
      </c>
      <c r="S33" s="9">
        <v>10</v>
      </c>
      <c r="AP33" s="2"/>
      <c r="AQ33" s="2"/>
      <c r="AU33" s="2"/>
      <c r="AV33" s="2"/>
      <c r="AW33" s="2"/>
      <c r="AX33" s="2"/>
      <c r="AZ33" s="61"/>
      <c r="BA33" s="61"/>
      <c r="BB33" s="61"/>
      <c r="BC33" s="61"/>
      <c r="BD33" s="61"/>
      <c r="BE33" s="61"/>
    </row>
    <row r="34" spans="1:57" x14ac:dyDescent="0.3">
      <c r="A34" s="17" t="s">
        <v>5</v>
      </c>
      <c r="B34" s="17"/>
      <c r="C34" s="66"/>
      <c r="D34" s="78"/>
      <c r="E34" s="62"/>
      <c r="F34" s="59"/>
      <c r="G34" s="59"/>
      <c r="H34" s="60"/>
      <c r="I34" s="17"/>
      <c r="J34" s="57"/>
      <c r="K34" s="59"/>
      <c r="L34" s="60"/>
      <c r="M34" s="17" t="s">
        <v>4</v>
      </c>
      <c r="N34" s="9">
        <v>1902.5</v>
      </c>
      <c r="O34" s="9">
        <v>1004</v>
      </c>
      <c r="P34" s="9">
        <v>15</v>
      </c>
      <c r="Q34" s="66">
        <v>362</v>
      </c>
      <c r="R34" s="9">
        <v>187</v>
      </c>
      <c r="S34" s="9">
        <v>10</v>
      </c>
      <c r="T34" s="17" t="s">
        <v>4</v>
      </c>
      <c r="U34" s="74">
        <v>1156</v>
      </c>
      <c r="V34" s="64">
        <v>506</v>
      </c>
      <c r="W34" s="63">
        <v>1133</v>
      </c>
      <c r="X34" s="17">
        <v>437</v>
      </c>
      <c r="Y34" s="63">
        <v>1202</v>
      </c>
      <c r="Z34" s="17">
        <v>650</v>
      </c>
      <c r="AA34" s="17" t="s">
        <v>4</v>
      </c>
      <c r="AB34" s="63">
        <v>1664</v>
      </c>
      <c r="AC34" s="63">
        <v>1653</v>
      </c>
      <c r="AD34" s="17">
        <v>729</v>
      </c>
      <c r="AE34" s="17">
        <v>727</v>
      </c>
      <c r="AF34" s="17" t="s">
        <v>4</v>
      </c>
      <c r="AG34" s="63">
        <v>4132</v>
      </c>
      <c r="AH34" s="63">
        <v>4132</v>
      </c>
      <c r="AI34" s="17" t="s">
        <v>4</v>
      </c>
      <c r="AJ34" s="65">
        <v>1987</v>
      </c>
      <c r="AK34" s="65">
        <v>2059</v>
      </c>
      <c r="AL34" s="17" t="s">
        <v>4</v>
      </c>
      <c r="AM34" s="79">
        <v>328.5</v>
      </c>
      <c r="AN34" s="65">
        <v>355</v>
      </c>
      <c r="AP34" s="2"/>
      <c r="AQ34" s="2"/>
      <c r="AU34" s="2"/>
      <c r="AV34" s="2"/>
      <c r="AW34" s="2"/>
      <c r="AX34" s="2"/>
      <c r="AZ34" s="2"/>
      <c r="BA34" s="2"/>
      <c r="BB34" s="2"/>
      <c r="BC34" s="2"/>
      <c r="BD34" s="2"/>
      <c r="BE34" s="2"/>
    </row>
    <row r="35" spans="1:57" x14ac:dyDescent="0.3">
      <c r="A35" s="9" t="s">
        <v>266</v>
      </c>
      <c r="B35" s="17"/>
      <c r="C35" s="66"/>
      <c r="D35" s="78"/>
      <c r="E35" s="62"/>
      <c r="F35" s="59"/>
      <c r="G35" s="59"/>
      <c r="H35" s="60"/>
      <c r="I35" s="17"/>
      <c r="J35" s="57"/>
      <c r="K35" s="59"/>
      <c r="L35" s="60"/>
      <c r="M35" s="17"/>
      <c r="N35" s="9"/>
      <c r="O35" s="9"/>
      <c r="P35" s="9"/>
      <c r="Q35" s="66"/>
      <c r="R35" s="9"/>
      <c r="S35" s="9"/>
      <c r="T35" s="17"/>
      <c r="U35" s="74"/>
      <c r="V35" s="64"/>
      <c r="W35" s="63"/>
      <c r="X35" s="17"/>
      <c r="Y35" s="63"/>
      <c r="Z35" s="17"/>
      <c r="AA35" s="17"/>
      <c r="AB35" s="63"/>
      <c r="AC35" s="63"/>
      <c r="AD35" s="17"/>
      <c r="AE35" s="17"/>
      <c r="AF35" s="17"/>
      <c r="AG35" s="63"/>
      <c r="AH35" s="63"/>
      <c r="AI35" s="17"/>
      <c r="AJ35" s="65"/>
      <c r="AK35" s="65"/>
      <c r="AL35" s="17"/>
      <c r="AM35" s="79"/>
      <c r="AN35" s="65"/>
      <c r="AO35" s="17" t="s">
        <v>32</v>
      </c>
      <c r="AP35" s="61">
        <v>7407</v>
      </c>
      <c r="AQ35" s="61">
        <v>3389</v>
      </c>
      <c r="AR35" s="63">
        <v>2824</v>
      </c>
      <c r="AS35" s="63">
        <v>2087</v>
      </c>
      <c r="AT35" s="17" t="s">
        <v>32</v>
      </c>
      <c r="AU35" s="9">
        <v>4571</v>
      </c>
      <c r="AV35" s="9">
        <v>2641</v>
      </c>
      <c r="AW35" s="9">
        <v>1642</v>
      </c>
      <c r="AX35" s="9">
        <v>1168</v>
      </c>
      <c r="AY35" s="17" t="s">
        <v>2</v>
      </c>
      <c r="AZ35" s="61">
        <v>237</v>
      </c>
      <c r="BA35" s="61">
        <v>2270</v>
      </c>
      <c r="BB35" s="61">
        <v>341</v>
      </c>
      <c r="BC35" s="61">
        <v>7166</v>
      </c>
      <c r="BD35" s="61">
        <v>1348</v>
      </c>
      <c r="BE35" s="61">
        <v>24055</v>
      </c>
    </row>
    <row r="36" spans="1:57" x14ac:dyDescent="0.3">
      <c r="A36" s="17" t="s">
        <v>267</v>
      </c>
      <c r="B36" s="77"/>
      <c r="C36" s="2"/>
      <c r="D36" s="2"/>
      <c r="F36" s="60"/>
      <c r="G36" s="59"/>
      <c r="H36" s="59"/>
      <c r="I36" s="17"/>
      <c r="J36" s="57"/>
      <c r="K36" s="59"/>
      <c r="L36" s="59"/>
      <c r="N36" s="2"/>
      <c r="O36" s="2"/>
      <c r="P36" s="2"/>
      <c r="Q36" s="2"/>
      <c r="R36" s="2"/>
      <c r="S36" s="2"/>
      <c r="AP36" s="2"/>
      <c r="AQ36" s="2"/>
      <c r="AU36" s="2"/>
      <c r="AV36" s="2"/>
      <c r="AW36" s="2"/>
      <c r="AX36" s="2"/>
      <c r="AZ36" s="61"/>
      <c r="BA36" s="61"/>
      <c r="BB36" s="61"/>
      <c r="BC36" s="61"/>
      <c r="BD36" s="61"/>
      <c r="BE36" s="61"/>
    </row>
    <row r="37" spans="1:57" x14ac:dyDescent="0.3">
      <c r="A37" s="17" t="s">
        <v>93</v>
      </c>
      <c r="C37" s="2"/>
      <c r="D37" s="2"/>
      <c r="N37" s="2"/>
      <c r="O37" s="2"/>
      <c r="P37" s="2"/>
      <c r="Q37" s="2"/>
      <c r="R37" s="2"/>
      <c r="S37" s="2"/>
      <c r="AO37" s="17" t="s">
        <v>32</v>
      </c>
      <c r="AP37" s="61">
        <v>4530</v>
      </c>
      <c r="AQ37" s="61">
        <v>5974</v>
      </c>
      <c r="AR37" s="63">
        <v>2727</v>
      </c>
      <c r="AS37" s="63">
        <v>6678</v>
      </c>
      <c r="AT37" s="17" t="s">
        <v>32</v>
      </c>
      <c r="AU37" s="61">
        <v>1082</v>
      </c>
      <c r="AV37" s="61">
        <v>1409</v>
      </c>
      <c r="AW37" s="61">
        <v>313</v>
      </c>
      <c r="AX37" s="61">
        <v>1210</v>
      </c>
      <c r="AY37" s="17" t="s">
        <v>2</v>
      </c>
      <c r="AZ37" s="61">
        <v>230</v>
      </c>
      <c r="BA37" s="61">
        <v>5936</v>
      </c>
      <c r="BB37" s="61">
        <v>152</v>
      </c>
      <c r="BC37" s="61">
        <v>5773</v>
      </c>
      <c r="BD37" s="61">
        <v>87</v>
      </c>
      <c r="BE37" s="61">
        <v>2249</v>
      </c>
    </row>
    <row r="38" spans="1:57" x14ac:dyDescent="0.3">
      <c r="A38" s="17" t="s">
        <v>67</v>
      </c>
      <c r="B38" s="51" t="s">
        <v>8</v>
      </c>
      <c r="C38" s="57">
        <v>150</v>
      </c>
      <c r="D38" s="57">
        <v>59</v>
      </c>
      <c r="I38" s="17"/>
      <c r="N38" s="2"/>
      <c r="O38" s="2"/>
      <c r="P38" s="2"/>
      <c r="Q38" s="2"/>
      <c r="R38" s="2"/>
      <c r="S38" s="2"/>
      <c r="AA38" s="51" t="s">
        <v>41</v>
      </c>
      <c r="AD38" s="17">
        <v>400</v>
      </c>
      <c r="AE38" s="9">
        <v>136</v>
      </c>
      <c r="AF38" s="17" t="s">
        <v>8</v>
      </c>
      <c r="AG38" s="63">
        <v>3200</v>
      </c>
      <c r="AH38" s="63">
        <v>1600</v>
      </c>
      <c r="AI38" s="17" t="s">
        <v>8</v>
      </c>
      <c r="AJ38" s="64">
        <v>4637</v>
      </c>
      <c r="AK38" s="64">
        <v>1159</v>
      </c>
      <c r="AL38" s="17" t="s">
        <v>8</v>
      </c>
      <c r="AM38" s="64">
        <v>4480</v>
      </c>
      <c r="AN38" s="64">
        <v>1212</v>
      </c>
      <c r="AO38" s="17" t="s">
        <v>32</v>
      </c>
      <c r="AP38" s="61">
        <v>5263</v>
      </c>
      <c r="AQ38" s="61">
        <v>2620</v>
      </c>
      <c r="AR38" s="63">
        <v>8592</v>
      </c>
      <c r="AS38" s="63">
        <v>2190</v>
      </c>
      <c r="AT38" s="17" t="s">
        <v>32</v>
      </c>
      <c r="AU38" s="9">
        <v>9162</v>
      </c>
      <c r="AV38" s="9">
        <v>3547</v>
      </c>
      <c r="AW38" s="9">
        <v>1944</v>
      </c>
      <c r="AX38" s="9">
        <v>1260</v>
      </c>
      <c r="AY38" s="17" t="s">
        <v>2</v>
      </c>
      <c r="AZ38" s="61">
        <v>519</v>
      </c>
      <c r="BA38" s="61">
        <v>4475</v>
      </c>
      <c r="BB38" s="61">
        <v>548</v>
      </c>
      <c r="BC38" s="61">
        <v>5179</v>
      </c>
      <c r="BD38" s="61">
        <v>380</v>
      </c>
      <c r="BE38" s="61">
        <v>4524</v>
      </c>
    </row>
    <row r="39" spans="1:57" x14ac:dyDescent="0.3">
      <c r="A39" s="17" t="s">
        <v>75</v>
      </c>
      <c r="C39" s="2"/>
      <c r="D39" s="2"/>
      <c r="N39" s="2"/>
      <c r="O39" s="2"/>
      <c r="P39" s="2"/>
      <c r="Q39" s="2"/>
      <c r="R39" s="2"/>
      <c r="S39" s="2"/>
      <c r="AO39" s="17"/>
      <c r="AP39" s="9"/>
      <c r="AQ39" s="9"/>
      <c r="AR39" s="17"/>
      <c r="AS39" s="63"/>
      <c r="AT39" s="17" t="s">
        <v>32</v>
      </c>
      <c r="AU39" s="61">
        <v>77</v>
      </c>
      <c r="AV39" s="61">
        <v>807</v>
      </c>
      <c r="AW39" s="61">
        <v>206</v>
      </c>
      <c r="AX39" s="61">
        <v>1521</v>
      </c>
      <c r="AY39" s="17" t="s">
        <v>2</v>
      </c>
      <c r="AZ39" s="61">
        <v>9</v>
      </c>
      <c r="BA39" s="61">
        <v>1308</v>
      </c>
      <c r="BB39" s="61">
        <v>13</v>
      </c>
      <c r="BC39" s="61">
        <v>2409</v>
      </c>
      <c r="BD39" s="61">
        <v>22</v>
      </c>
      <c r="BE39" s="61">
        <v>3178</v>
      </c>
    </row>
    <row r="40" spans="1:57" x14ac:dyDescent="0.3">
      <c r="A40" s="9" t="s">
        <v>84</v>
      </c>
      <c r="C40" s="2"/>
      <c r="D40" s="2"/>
      <c r="N40" s="2"/>
      <c r="O40" s="2"/>
      <c r="P40" s="2"/>
      <c r="Q40" s="2"/>
      <c r="R40" s="2"/>
      <c r="S40" s="2"/>
      <c r="AP40" s="2"/>
      <c r="AQ40" s="2"/>
      <c r="AU40" s="2"/>
      <c r="AV40" s="2"/>
      <c r="AW40" s="2"/>
      <c r="AX40" s="2"/>
      <c r="AZ40" s="61"/>
      <c r="BA40" s="61"/>
      <c r="BB40" s="61"/>
      <c r="BC40" s="61"/>
      <c r="BD40" s="61"/>
      <c r="BE40" s="61"/>
    </row>
    <row r="41" spans="1:57" x14ac:dyDescent="0.3">
      <c r="A41" s="17" t="s">
        <v>60</v>
      </c>
      <c r="B41" s="17" t="s">
        <v>8</v>
      </c>
      <c r="C41" s="57">
        <v>37</v>
      </c>
      <c r="D41" s="57">
        <v>51</v>
      </c>
      <c r="E41" s="62" t="s">
        <v>8</v>
      </c>
      <c r="F41" s="59">
        <v>54</v>
      </c>
      <c r="G41" s="59">
        <v>162</v>
      </c>
      <c r="H41" s="60">
        <v>0</v>
      </c>
      <c r="I41" s="17" t="s">
        <v>8</v>
      </c>
      <c r="J41" s="57">
        <v>79</v>
      </c>
      <c r="K41" s="59">
        <v>296</v>
      </c>
      <c r="L41" s="60">
        <v>0</v>
      </c>
      <c r="N41" s="2"/>
      <c r="O41" s="2"/>
      <c r="P41" s="2"/>
      <c r="Q41" s="2"/>
      <c r="R41" s="2"/>
      <c r="S41" s="2"/>
      <c r="AA41" s="51" t="s">
        <v>8</v>
      </c>
      <c r="AB41" s="9">
        <v>116</v>
      </c>
      <c r="AC41" s="9">
        <v>464</v>
      </c>
      <c r="AD41" s="17">
        <v>409</v>
      </c>
      <c r="AE41" s="63">
        <v>1636</v>
      </c>
      <c r="AF41" s="17" t="s">
        <v>8</v>
      </c>
      <c r="AG41" s="17">
        <v>189</v>
      </c>
      <c r="AH41" s="17">
        <v>756</v>
      </c>
      <c r="AI41" s="17" t="s">
        <v>8</v>
      </c>
      <c r="AJ41" s="65">
        <v>82</v>
      </c>
      <c r="AK41" s="65">
        <v>328</v>
      </c>
      <c r="AL41" s="17" t="s">
        <v>8</v>
      </c>
      <c r="AM41" s="65">
        <v>159</v>
      </c>
      <c r="AN41" s="65">
        <v>596</v>
      </c>
      <c r="AO41" s="17" t="s">
        <v>32</v>
      </c>
      <c r="AP41" s="9">
        <v>708</v>
      </c>
      <c r="AQ41" s="61">
        <v>1558</v>
      </c>
      <c r="AR41" s="63">
        <v>1039</v>
      </c>
      <c r="AS41" s="63">
        <v>2266</v>
      </c>
      <c r="AT41" s="17" t="s">
        <v>32</v>
      </c>
      <c r="AU41" s="9">
        <v>466</v>
      </c>
      <c r="AV41" s="9">
        <v>961</v>
      </c>
      <c r="AW41" s="9">
        <v>2466</v>
      </c>
      <c r="AX41" s="9">
        <v>5603</v>
      </c>
      <c r="AY41" s="17" t="s">
        <v>2</v>
      </c>
      <c r="AZ41" s="61">
        <v>399</v>
      </c>
      <c r="BA41" s="61">
        <v>8994</v>
      </c>
      <c r="BB41" s="61">
        <v>134</v>
      </c>
      <c r="BC41" s="61">
        <v>4973</v>
      </c>
      <c r="BD41" s="61">
        <v>144</v>
      </c>
      <c r="BE41" s="61">
        <v>5220</v>
      </c>
    </row>
    <row r="42" spans="1:57" x14ac:dyDescent="0.3">
      <c r="A42" s="17" t="s">
        <v>89</v>
      </c>
      <c r="C42" s="2"/>
      <c r="D42" s="2"/>
      <c r="N42" s="2"/>
      <c r="O42" s="2"/>
      <c r="P42" s="2"/>
      <c r="Q42" s="2"/>
      <c r="R42" s="2"/>
      <c r="S42" s="2"/>
      <c r="AO42" s="17"/>
      <c r="AP42" s="9"/>
      <c r="AQ42" s="61"/>
      <c r="AR42" s="17"/>
      <c r="AS42" s="63"/>
      <c r="AT42" s="17" t="s">
        <v>32</v>
      </c>
      <c r="AU42" s="9">
        <v>236</v>
      </c>
      <c r="AV42" s="9">
        <v>2107</v>
      </c>
      <c r="AW42" s="9">
        <v>812</v>
      </c>
      <c r="AX42" s="9">
        <v>4446</v>
      </c>
      <c r="AY42" s="17" t="s">
        <v>2</v>
      </c>
      <c r="AZ42" s="61">
        <v>30</v>
      </c>
      <c r="BA42" s="61">
        <v>6102</v>
      </c>
      <c r="BB42" s="61">
        <v>35</v>
      </c>
      <c r="BC42" s="61">
        <v>7003</v>
      </c>
      <c r="BD42" s="61">
        <v>37</v>
      </c>
      <c r="BE42" s="61">
        <v>5582</v>
      </c>
    </row>
    <row r="43" spans="1:57" x14ac:dyDescent="0.3">
      <c r="A43" s="9" t="s">
        <v>88</v>
      </c>
      <c r="B43" s="17"/>
      <c r="C43" s="57"/>
      <c r="D43" s="57"/>
      <c r="E43" s="62"/>
      <c r="F43" s="59"/>
      <c r="G43" s="59"/>
      <c r="H43" s="60"/>
      <c r="I43" s="17"/>
      <c r="J43" s="57"/>
      <c r="K43" s="59"/>
      <c r="L43" s="60"/>
      <c r="N43" s="2"/>
      <c r="O43" s="2"/>
      <c r="P43" s="2"/>
      <c r="Q43" s="2"/>
      <c r="R43" s="2"/>
      <c r="S43" s="2"/>
      <c r="AD43" s="17"/>
      <c r="AE43" s="63"/>
      <c r="AF43" s="17"/>
      <c r="AG43" s="17"/>
      <c r="AH43" s="17"/>
      <c r="AI43" s="17"/>
      <c r="AJ43" s="65"/>
      <c r="AK43" s="65"/>
      <c r="AL43" s="17"/>
      <c r="AM43" s="65"/>
      <c r="AN43" s="65"/>
      <c r="AO43" s="17"/>
      <c r="AP43" s="9"/>
      <c r="AQ43" s="61"/>
      <c r="AR43" s="63"/>
      <c r="AS43" s="63"/>
      <c r="AT43" s="17"/>
      <c r="AU43" s="9"/>
      <c r="AV43" s="9"/>
      <c r="AW43" s="9"/>
      <c r="AX43" s="9"/>
      <c r="AY43" s="17"/>
      <c r="AZ43" s="61"/>
      <c r="BA43" s="61"/>
      <c r="BB43" s="61"/>
      <c r="BC43" s="61"/>
      <c r="BD43" s="61"/>
      <c r="BE43" s="61"/>
    </row>
    <row r="44" spans="1:57" x14ac:dyDescent="0.3">
      <c r="A44" s="17" t="s">
        <v>268</v>
      </c>
      <c r="B44" s="17"/>
      <c r="C44" s="66"/>
      <c r="D44" s="78"/>
      <c r="E44" s="62"/>
      <c r="F44" s="59"/>
      <c r="G44" s="59"/>
      <c r="H44" s="60"/>
      <c r="I44" s="17"/>
      <c r="J44" s="57"/>
      <c r="K44" s="59"/>
      <c r="L44" s="59"/>
      <c r="M44" s="17"/>
      <c r="N44" s="2"/>
      <c r="O44" s="2"/>
      <c r="P44" s="2"/>
      <c r="Q44" s="2"/>
      <c r="R44" s="2"/>
      <c r="S44" s="2"/>
      <c r="AF44" s="17"/>
      <c r="AG44" s="17"/>
      <c r="AH44" s="63"/>
      <c r="AO44" s="17" t="s">
        <v>32</v>
      </c>
      <c r="AP44" s="9">
        <v>814</v>
      </c>
      <c r="AQ44" s="61">
        <v>4886</v>
      </c>
      <c r="AR44" s="63">
        <v>1227</v>
      </c>
      <c r="AS44" s="63">
        <v>7306</v>
      </c>
      <c r="AT44" s="17" t="s">
        <v>32</v>
      </c>
      <c r="AU44" s="9">
        <v>1255</v>
      </c>
      <c r="AV44" s="9">
        <v>6969</v>
      </c>
      <c r="AW44" s="9">
        <v>1794</v>
      </c>
      <c r="AX44" s="9">
        <v>9074</v>
      </c>
      <c r="AY44" s="17" t="s">
        <v>2</v>
      </c>
      <c r="AZ44" s="61">
        <v>197</v>
      </c>
      <c r="BA44" s="61">
        <v>18506</v>
      </c>
      <c r="BB44" s="61">
        <v>251</v>
      </c>
      <c r="BC44" s="61">
        <v>18440</v>
      </c>
      <c r="BD44" s="61">
        <v>47</v>
      </c>
      <c r="BE44" s="61">
        <v>3483</v>
      </c>
    </row>
    <row r="45" spans="1:57" x14ac:dyDescent="0.3">
      <c r="A45" s="17" t="s">
        <v>192</v>
      </c>
      <c r="C45" s="2"/>
      <c r="D45" s="2"/>
      <c r="M45" s="17" t="s">
        <v>4</v>
      </c>
      <c r="N45" s="9">
        <v>373</v>
      </c>
      <c r="O45" s="9">
        <v>2450</v>
      </c>
      <c r="P45" s="9">
        <v>0</v>
      </c>
      <c r="Q45" s="57">
        <v>422</v>
      </c>
      <c r="R45" s="9">
        <v>1291</v>
      </c>
      <c r="S45" s="9">
        <v>0</v>
      </c>
      <c r="T45" s="17" t="s">
        <v>4</v>
      </c>
      <c r="U45" s="64">
        <v>219</v>
      </c>
      <c r="V45" s="64">
        <v>395</v>
      </c>
      <c r="W45" s="63">
        <v>1004</v>
      </c>
      <c r="X45" s="63">
        <v>1395</v>
      </c>
      <c r="Y45" s="67">
        <v>462.5</v>
      </c>
      <c r="Z45" s="63">
        <v>694</v>
      </c>
      <c r="AA45" s="17" t="s">
        <v>4</v>
      </c>
      <c r="AB45" s="63">
        <v>188</v>
      </c>
      <c r="AC45" s="17">
        <v>233</v>
      </c>
      <c r="AD45" s="17">
        <v>408</v>
      </c>
      <c r="AE45" s="17">
        <v>382</v>
      </c>
      <c r="AF45" s="17" t="s">
        <v>4</v>
      </c>
      <c r="AG45" s="17">
        <v>821</v>
      </c>
      <c r="AH45" s="17">
        <v>1227</v>
      </c>
      <c r="AI45" s="17" t="s">
        <v>4</v>
      </c>
      <c r="AJ45" s="65">
        <v>306</v>
      </c>
      <c r="AK45" s="65">
        <v>410</v>
      </c>
      <c r="AL45" s="17" t="s">
        <v>4</v>
      </c>
      <c r="AM45" s="65">
        <v>598</v>
      </c>
      <c r="AN45" s="65">
        <v>629</v>
      </c>
      <c r="AO45" s="17" t="s">
        <v>32</v>
      </c>
      <c r="AP45" s="9">
        <v>418</v>
      </c>
      <c r="AQ45" s="9">
        <v>37</v>
      </c>
      <c r="AR45" s="63">
        <v>1417</v>
      </c>
      <c r="AS45" s="63">
        <v>2758</v>
      </c>
      <c r="AT45" s="9" t="s">
        <v>32</v>
      </c>
      <c r="AU45" s="9">
        <v>1820</v>
      </c>
      <c r="AV45" s="9">
        <v>2239</v>
      </c>
      <c r="AW45" s="9">
        <v>819</v>
      </c>
      <c r="AX45" s="9">
        <v>2000</v>
      </c>
      <c r="AY45" s="17" t="s">
        <v>2</v>
      </c>
      <c r="AZ45" s="61">
        <v>4250</v>
      </c>
      <c r="BA45" s="61">
        <v>10571</v>
      </c>
      <c r="BB45" s="61">
        <v>2893</v>
      </c>
      <c r="BC45" s="61">
        <v>767</v>
      </c>
      <c r="BD45" s="61">
        <v>2</v>
      </c>
      <c r="BE45" s="61">
        <v>415</v>
      </c>
    </row>
    <row r="46" spans="1:57" x14ac:dyDescent="0.3">
      <c r="A46" s="17" t="s">
        <v>269</v>
      </c>
      <c r="C46" s="2"/>
      <c r="D46" s="2"/>
      <c r="E46" s="62"/>
      <c r="I46" s="17"/>
      <c r="J46" s="57"/>
      <c r="K46" s="59"/>
      <c r="L46" s="60"/>
      <c r="M46" s="17"/>
      <c r="N46" s="9"/>
      <c r="O46" s="9"/>
      <c r="P46" s="9"/>
      <c r="Q46" s="66"/>
      <c r="R46" s="9"/>
      <c r="S46" s="9"/>
      <c r="T46" s="17"/>
      <c r="U46" s="64"/>
      <c r="V46" s="64"/>
      <c r="W46" s="17"/>
      <c r="X46" s="17"/>
      <c r="Y46" s="17"/>
      <c r="Z46" s="63"/>
      <c r="AA46" s="17"/>
      <c r="AB46" s="63"/>
      <c r="AC46" s="17"/>
      <c r="AD46" s="17"/>
      <c r="AE46" s="63"/>
      <c r="AF46" s="17"/>
      <c r="AG46" s="17"/>
      <c r="AH46" s="63"/>
      <c r="AI46" s="17"/>
      <c r="AJ46" s="65"/>
      <c r="AK46" s="65"/>
      <c r="AL46" s="17"/>
      <c r="AM46" s="65"/>
      <c r="AN46" s="65"/>
      <c r="AP46" s="9"/>
      <c r="AQ46" s="61"/>
      <c r="AR46" s="17"/>
      <c r="AS46" s="63"/>
      <c r="AT46" s="17" t="s">
        <v>32</v>
      </c>
      <c r="AU46" s="61">
        <v>5971</v>
      </c>
      <c r="AV46" s="61">
        <v>6629</v>
      </c>
      <c r="AW46" s="61">
        <v>217345</v>
      </c>
      <c r="AX46" s="61">
        <v>599700</v>
      </c>
      <c r="AY46" s="17" t="s">
        <v>2</v>
      </c>
      <c r="AZ46" s="61">
        <v>5073</v>
      </c>
      <c r="BA46" s="61">
        <v>71488</v>
      </c>
      <c r="BB46" s="61">
        <v>6630</v>
      </c>
      <c r="BC46" s="61">
        <v>145151</v>
      </c>
      <c r="BD46" s="61">
        <v>2529</v>
      </c>
      <c r="BE46" s="61">
        <v>49198</v>
      </c>
    </row>
    <row r="47" spans="1:57" x14ac:dyDescent="0.3">
      <c r="A47" s="9" t="s">
        <v>270</v>
      </c>
      <c r="C47" s="2"/>
      <c r="D47" s="2"/>
      <c r="E47" s="62"/>
      <c r="I47" s="17"/>
      <c r="J47" s="57"/>
      <c r="K47" s="59"/>
      <c r="L47" s="60"/>
      <c r="M47" s="17"/>
      <c r="N47" s="9"/>
      <c r="O47" s="9"/>
      <c r="P47" s="9"/>
      <c r="Q47" s="66"/>
      <c r="R47" s="9"/>
      <c r="S47" s="9"/>
      <c r="T47" s="17"/>
      <c r="U47" s="64"/>
      <c r="V47" s="64"/>
      <c r="W47" s="17"/>
      <c r="X47" s="17"/>
      <c r="Y47" s="17"/>
      <c r="Z47" s="63"/>
      <c r="AA47" s="17"/>
      <c r="AB47" s="63"/>
      <c r="AC47" s="17"/>
      <c r="AD47" s="17"/>
      <c r="AE47" s="63"/>
      <c r="AF47" s="17"/>
      <c r="AG47" s="17"/>
      <c r="AH47" s="63"/>
      <c r="AI47" s="17"/>
      <c r="AJ47" s="65"/>
      <c r="AK47" s="65"/>
      <c r="AL47" s="17"/>
      <c r="AM47" s="65"/>
      <c r="AN47" s="65"/>
      <c r="AP47" s="9"/>
      <c r="AQ47" s="61"/>
      <c r="AR47" s="17"/>
      <c r="AS47" s="63"/>
      <c r="AT47" s="9" t="s">
        <v>32</v>
      </c>
      <c r="AU47" s="61">
        <v>163</v>
      </c>
      <c r="AV47" s="61">
        <v>1128</v>
      </c>
      <c r="AW47" s="61">
        <v>135</v>
      </c>
      <c r="AX47" s="61">
        <v>491</v>
      </c>
      <c r="AY47" s="17"/>
      <c r="AZ47" s="61"/>
      <c r="BA47" s="61"/>
      <c r="BB47" s="61"/>
      <c r="BC47" s="61"/>
      <c r="BD47" s="61"/>
      <c r="BE47" s="61"/>
    </row>
    <row r="48" spans="1:57" x14ac:dyDescent="0.3">
      <c r="A48" s="17" t="s">
        <v>81</v>
      </c>
      <c r="C48" s="2"/>
      <c r="D48" s="2"/>
      <c r="N48" s="2"/>
      <c r="O48" s="2"/>
      <c r="P48" s="2"/>
      <c r="Q48" s="2"/>
      <c r="R48" s="2"/>
      <c r="S48" s="2"/>
      <c r="AO48" s="17"/>
      <c r="AP48" s="61"/>
      <c r="AQ48" s="61"/>
      <c r="AR48" s="63"/>
      <c r="AS48" s="63"/>
      <c r="AT48" s="17"/>
      <c r="AU48" s="9"/>
      <c r="AV48" s="9"/>
      <c r="AW48" s="9"/>
      <c r="AX48" s="9"/>
      <c r="AY48" s="17"/>
      <c r="AZ48" s="61"/>
      <c r="BA48" s="61"/>
      <c r="BB48" s="61"/>
      <c r="BC48" s="61"/>
      <c r="BD48" s="61"/>
      <c r="BE48" s="61"/>
    </row>
    <row r="49" spans="1:57" x14ac:dyDescent="0.3">
      <c r="A49" s="17" t="s">
        <v>80</v>
      </c>
      <c r="C49" s="2"/>
      <c r="D49" s="2"/>
      <c r="E49" s="80"/>
      <c r="K49" s="81"/>
      <c r="L49" s="81"/>
      <c r="N49" s="2"/>
      <c r="O49" s="2"/>
      <c r="P49" s="2"/>
      <c r="Q49" s="2"/>
      <c r="R49" s="2"/>
      <c r="S49" s="2"/>
      <c r="Y49" s="17"/>
      <c r="Z49" s="17"/>
      <c r="AD49" s="17"/>
      <c r="AE49" s="63"/>
      <c r="AF49" s="17"/>
      <c r="AG49" s="17"/>
      <c r="AH49" s="17"/>
      <c r="AI49" s="17"/>
      <c r="AL49" s="17"/>
      <c r="AP49" s="9"/>
      <c r="AQ49" s="9"/>
      <c r="AU49" s="2"/>
      <c r="AV49" s="2"/>
      <c r="AW49" s="2"/>
      <c r="AX49" s="2"/>
      <c r="AZ49" s="61"/>
      <c r="BA49" s="61"/>
      <c r="BB49" s="61"/>
      <c r="BC49" s="61"/>
      <c r="BD49" s="61"/>
      <c r="BE49" s="61"/>
    </row>
    <row r="50" spans="1:57" x14ac:dyDescent="0.3">
      <c r="A50" s="9" t="s">
        <v>94</v>
      </c>
      <c r="C50" s="2"/>
      <c r="D50" s="2"/>
      <c r="E50" s="80"/>
      <c r="K50" s="81"/>
      <c r="L50" s="81"/>
      <c r="N50" s="2"/>
      <c r="O50" s="2"/>
      <c r="P50" s="2"/>
      <c r="Q50" s="2"/>
      <c r="R50" s="2"/>
      <c r="S50" s="2"/>
      <c r="Y50" s="17"/>
      <c r="Z50" s="17"/>
      <c r="AD50" s="17"/>
      <c r="AE50" s="63"/>
      <c r="AF50" s="17"/>
      <c r="AG50" s="17"/>
      <c r="AH50" s="17"/>
      <c r="AI50" s="17"/>
      <c r="AL50" s="17"/>
      <c r="AP50" s="9"/>
      <c r="AQ50" s="9"/>
      <c r="AT50" s="51" t="s">
        <v>32</v>
      </c>
      <c r="AU50" s="2">
        <v>8954</v>
      </c>
      <c r="AV50" s="2">
        <v>3502</v>
      </c>
      <c r="AW50" s="2"/>
      <c r="AX50" s="2"/>
      <c r="AZ50" s="61"/>
      <c r="BA50" s="61"/>
      <c r="BB50" s="61"/>
      <c r="BC50" s="61"/>
      <c r="BD50" s="61"/>
      <c r="BE50" s="61"/>
    </row>
    <row r="51" spans="1:57" x14ac:dyDescent="0.3">
      <c r="A51" s="17" t="s">
        <v>79</v>
      </c>
      <c r="C51" s="2"/>
      <c r="D51" s="2"/>
      <c r="N51" s="2"/>
      <c r="O51" s="2"/>
      <c r="P51" s="2"/>
      <c r="Q51" s="2"/>
      <c r="R51" s="2"/>
      <c r="S51" s="2"/>
      <c r="AO51" s="17"/>
      <c r="AP51" s="9"/>
      <c r="AQ51" s="61"/>
      <c r="AR51" s="17"/>
      <c r="AS51" s="63"/>
      <c r="AT51" s="17" t="s">
        <v>32</v>
      </c>
      <c r="AU51" s="61">
        <v>164</v>
      </c>
      <c r="AV51" s="61">
        <v>2663</v>
      </c>
      <c r="AW51" s="61">
        <v>1031</v>
      </c>
      <c r="AX51" s="61">
        <v>27472</v>
      </c>
      <c r="AY51" s="17" t="s">
        <v>2</v>
      </c>
      <c r="AZ51" s="61">
        <v>48</v>
      </c>
      <c r="BA51" s="61">
        <v>10215</v>
      </c>
      <c r="BB51" s="61">
        <v>481</v>
      </c>
      <c r="BC51" s="61">
        <v>5103</v>
      </c>
      <c r="BD51" s="61">
        <v>31</v>
      </c>
      <c r="BE51" s="61">
        <v>2163</v>
      </c>
    </row>
    <row r="52" spans="1:57" x14ac:dyDescent="0.3">
      <c r="A52" s="17" t="s">
        <v>271</v>
      </c>
      <c r="C52" s="2"/>
      <c r="D52" s="2"/>
      <c r="N52" s="2"/>
      <c r="O52" s="2"/>
      <c r="P52" s="2"/>
      <c r="Q52" s="2"/>
      <c r="R52" s="2"/>
      <c r="S52" s="2"/>
      <c r="AO52" s="17"/>
      <c r="AP52" s="9"/>
      <c r="AQ52" s="9"/>
      <c r="AR52" s="17"/>
      <c r="AS52" s="17"/>
      <c r="AT52" s="17" t="s">
        <v>32</v>
      </c>
      <c r="AU52" s="61">
        <v>173</v>
      </c>
      <c r="AV52" s="61">
        <v>554</v>
      </c>
      <c r="AW52" s="61">
        <v>139</v>
      </c>
      <c r="AX52" s="61">
        <v>441</v>
      </c>
      <c r="AY52" s="17" t="s">
        <v>2</v>
      </c>
      <c r="AZ52" s="61">
        <v>36</v>
      </c>
      <c r="BA52" s="61">
        <v>2229</v>
      </c>
      <c r="BB52" s="61">
        <v>47</v>
      </c>
      <c r="BC52" s="61">
        <v>2040</v>
      </c>
      <c r="BD52" s="61">
        <v>27</v>
      </c>
      <c r="BE52" s="61">
        <v>1828</v>
      </c>
    </row>
    <row r="53" spans="1:57" x14ac:dyDescent="0.3">
      <c r="A53" s="51" t="s">
        <v>85</v>
      </c>
      <c r="B53" s="17" t="s">
        <v>36</v>
      </c>
      <c r="C53" s="57">
        <v>217</v>
      </c>
      <c r="D53" s="57">
        <v>743</v>
      </c>
      <c r="E53" s="2" t="s">
        <v>36</v>
      </c>
      <c r="F53" s="59">
        <v>257</v>
      </c>
      <c r="G53" s="59">
        <v>2570</v>
      </c>
      <c r="H53" s="60">
        <v>0</v>
      </c>
      <c r="I53" s="51" t="s">
        <v>36</v>
      </c>
      <c r="J53" s="57">
        <v>234</v>
      </c>
      <c r="K53" s="59">
        <v>2340</v>
      </c>
      <c r="L53" s="60">
        <v>0</v>
      </c>
      <c r="M53" s="17" t="s">
        <v>36</v>
      </c>
      <c r="N53" s="9">
        <v>184</v>
      </c>
      <c r="O53" s="9">
        <v>1636</v>
      </c>
      <c r="P53" s="9">
        <v>0</v>
      </c>
      <c r="Q53" s="57">
        <v>296</v>
      </c>
      <c r="R53" s="57">
        <v>1624</v>
      </c>
      <c r="S53" s="9">
        <v>0</v>
      </c>
      <c r="AP53" s="2"/>
      <c r="AQ53" s="2"/>
      <c r="AU53" s="61"/>
      <c r="AV53" s="61"/>
      <c r="AW53" s="61"/>
      <c r="AX53" s="61"/>
      <c r="AZ53" s="61"/>
      <c r="BA53" s="61"/>
      <c r="BB53" s="61"/>
      <c r="BC53" s="61"/>
      <c r="BD53" s="61"/>
      <c r="BE53" s="61"/>
    </row>
    <row r="54" spans="1:57" x14ac:dyDescent="0.3">
      <c r="A54" s="51" t="s">
        <v>344</v>
      </c>
      <c r="B54" s="17" t="s">
        <v>21</v>
      </c>
      <c r="C54" s="66">
        <v>2169</v>
      </c>
      <c r="D54" s="66">
        <v>43380</v>
      </c>
      <c r="E54" s="9" t="s">
        <v>21</v>
      </c>
      <c r="F54" s="59">
        <v>602</v>
      </c>
      <c r="G54" s="59">
        <v>9300</v>
      </c>
      <c r="H54" s="60">
        <v>0</v>
      </c>
      <c r="I54" s="17" t="s">
        <v>21</v>
      </c>
      <c r="J54" s="57">
        <v>2593</v>
      </c>
      <c r="K54" s="59">
        <v>38895</v>
      </c>
      <c r="L54" s="60">
        <v>0</v>
      </c>
      <c r="M54" s="17" t="s">
        <v>25</v>
      </c>
      <c r="N54" s="9">
        <v>1409</v>
      </c>
      <c r="O54" s="9">
        <v>21065</v>
      </c>
      <c r="P54" s="9">
        <v>0</v>
      </c>
      <c r="Q54" s="57">
        <v>2745</v>
      </c>
      <c r="R54" s="82">
        <v>41512</v>
      </c>
      <c r="S54" s="9">
        <v>0</v>
      </c>
      <c r="AP54" s="2"/>
      <c r="AQ54" s="2"/>
      <c r="AU54" s="61"/>
      <c r="AV54" s="61"/>
      <c r="AW54" s="61"/>
      <c r="AX54" s="61"/>
      <c r="AZ54" s="61"/>
      <c r="BA54" s="61"/>
      <c r="BB54" s="61"/>
      <c r="BC54" s="61"/>
      <c r="BD54" s="61"/>
      <c r="BE54" s="61"/>
    </row>
    <row r="55" spans="1:57" x14ac:dyDescent="0.3">
      <c r="A55" s="51" t="s">
        <v>344</v>
      </c>
      <c r="B55" s="17" t="s">
        <v>8</v>
      </c>
      <c r="C55" s="2">
        <v>330</v>
      </c>
      <c r="D55" s="83">
        <v>8100</v>
      </c>
      <c r="E55" s="9" t="s">
        <v>8</v>
      </c>
      <c r="F55" s="59">
        <v>127</v>
      </c>
      <c r="G55" s="59">
        <v>3810</v>
      </c>
      <c r="H55" s="60">
        <v>0</v>
      </c>
      <c r="I55" s="17" t="s">
        <v>8</v>
      </c>
      <c r="J55" s="57">
        <v>286</v>
      </c>
      <c r="K55" s="59">
        <v>7686</v>
      </c>
      <c r="L55" s="60">
        <v>0</v>
      </c>
      <c r="M55" s="75" t="s">
        <v>21</v>
      </c>
      <c r="N55" s="68">
        <v>1350</v>
      </c>
      <c r="O55" s="68">
        <v>20250</v>
      </c>
      <c r="P55" s="84">
        <v>0</v>
      </c>
      <c r="Q55" s="72">
        <v>1615</v>
      </c>
      <c r="R55" s="85">
        <v>16150</v>
      </c>
      <c r="S55" s="68">
        <v>0</v>
      </c>
      <c r="AP55" s="2"/>
      <c r="AQ55" s="2"/>
      <c r="AU55" s="61"/>
      <c r="AV55" s="61"/>
      <c r="AW55" s="61"/>
      <c r="AX55" s="61"/>
      <c r="AZ55" s="61"/>
      <c r="BA55" s="61"/>
      <c r="BB55" s="61"/>
      <c r="BC55" s="61"/>
      <c r="BD55" s="61"/>
      <c r="BE55" s="61"/>
    </row>
    <row r="56" spans="1:57" x14ac:dyDescent="0.3">
      <c r="A56" s="51" t="s">
        <v>344</v>
      </c>
      <c r="B56" s="51" t="s">
        <v>86</v>
      </c>
      <c r="C56" s="66">
        <v>2585</v>
      </c>
      <c r="D56" s="66">
        <v>59500</v>
      </c>
      <c r="E56" s="2" t="s">
        <v>25</v>
      </c>
      <c r="F56" s="59">
        <v>2961</v>
      </c>
      <c r="G56" s="60">
        <v>51950</v>
      </c>
      <c r="H56" s="60">
        <v>0</v>
      </c>
      <c r="I56" s="51" t="s">
        <v>25</v>
      </c>
      <c r="J56" s="2">
        <v>2843</v>
      </c>
      <c r="K56" s="2">
        <v>42665</v>
      </c>
      <c r="L56" s="60">
        <v>0</v>
      </c>
      <c r="M56" s="17" t="s">
        <v>8</v>
      </c>
      <c r="N56" s="9">
        <v>331</v>
      </c>
      <c r="O56" s="9">
        <v>8255</v>
      </c>
      <c r="P56" s="9">
        <v>0</v>
      </c>
      <c r="Q56" s="57">
        <v>370</v>
      </c>
      <c r="R56" s="82">
        <v>7580</v>
      </c>
      <c r="S56" s="9">
        <v>0</v>
      </c>
      <c r="AP56" s="2"/>
      <c r="AQ56" s="2"/>
      <c r="AS56" s="63"/>
      <c r="AU56" s="61"/>
      <c r="AV56" s="61"/>
      <c r="AW56" s="61"/>
      <c r="AX56" s="61"/>
      <c r="AZ56" s="61"/>
      <c r="BA56" s="61"/>
      <c r="BB56" s="61"/>
      <c r="BC56" s="61"/>
      <c r="BD56" s="61"/>
      <c r="BE56" s="61"/>
    </row>
    <row r="57" spans="1:57" x14ac:dyDescent="0.3">
      <c r="A57" s="17" t="s">
        <v>76</v>
      </c>
      <c r="C57" s="2"/>
      <c r="D57" s="2"/>
      <c r="N57" s="2"/>
      <c r="O57" s="2"/>
      <c r="P57" s="2"/>
      <c r="Q57" s="2"/>
      <c r="R57" s="2"/>
      <c r="S57" s="2"/>
      <c r="AO57" s="17"/>
      <c r="AP57" s="9"/>
      <c r="AQ57" s="61"/>
      <c r="AR57" s="17"/>
      <c r="AS57" s="63"/>
      <c r="AT57" s="17" t="s">
        <v>32</v>
      </c>
      <c r="AU57" s="61">
        <v>964</v>
      </c>
      <c r="AV57" s="61">
        <v>1459</v>
      </c>
      <c r="AW57" s="61">
        <v>2386</v>
      </c>
      <c r="AX57" s="61">
        <v>900</v>
      </c>
      <c r="AY57" s="17" t="s">
        <v>2</v>
      </c>
      <c r="AZ57" s="61">
        <v>3547</v>
      </c>
      <c r="BA57" s="61">
        <v>5231</v>
      </c>
      <c r="BB57" s="61">
        <v>6985</v>
      </c>
      <c r="BC57" s="61">
        <v>9061</v>
      </c>
      <c r="BD57" s="61">
        <v>7825</v>
      </c>
      <c r="BE57" s="61">
        <v>8065</v>
      </c>
    </row>
    <row r="58" spans="1:57" x14ac:dyDescent="0.3">
      <c r="A58" s="17" t="s">
        <v>65</v>
      </c>
      <c r="B58" s="17" t="s">
        <v>36</v>
      </c>
      <c r="C58" s="57">
        <v>975</v>
      </c>
      <c r="D58" s="57">
        <v>437</v>
      </c>
      <c r="E58" s="9" t="s">
        <v>36</v>
      </c>
      <c r="F58" s="59">
        <v>1063</v>
      </c>
      <c r="G58" s="59">
        <v>548</v>
      </c>
      <c r="H58" s="60">
        <v>0</v>
      </c>
      <c r="I58" s="17" t="s">
        <v>36</v>
      </c>
      <c r="J58" s="57">
        <v>615</v>
      </c>
      <c r="K58" s="60">
        <v>461</v>
      </c>
      <c r="L58" s="60">
        <v>5</v>
      </c>
      <c r="M58" s="17" t="s">
        <v>36</v>
      </c>
      <c r="N58" s="9">
        <v>2410</v>
      </c>
      <c r="O58" s="9">
        <v>1205</v>
      </c>
      <c r="P58" s="9">
        <v>0</v>
      </c>
      <c r="Q58" s="57">
        <v>449</v>
      </c>
      <c r="R58" s="57">
        <v>179</v>
      </c>
      <c r="S58" s="9">
        <v>10</v>
      </c>
      <c r="T58" s="63" t="s">
        <v>4</v>
      </c>
      <c r="U58" s="74">
        <v>1930</v>
      </c>
      <c r="V58" s="64">
        <v>487</v>
      </c>
      <c r="W58" s="63">
        <v>9617</v>
      </c>
      <c r="X58" s="63">
        <v>6034</v>
      </c>
      <c r="Y58" s="63">
        <v>4392</v>
      </c>
      <c r="Z58" s="63">
        <v>2210</v>
      </c>
      <c r="AA58" s="63" t="s">
        <v>4</v>
      </c>
      <c r="AB58" s="63">
        <v>13435</v>
      </c>
      <c r="AC58" s="63">
        <v>4938</v>
      </c>
      <c r="AD58" s="63">
        <v>6127</v>
      </c>
      <c r="AE58" s="63">
        <v>2371</v>
      </c>
      <c r="AF58" s="17" t="s">
        <v>4</v>
      </c>
      <c r="AG58" s="63">
        <v>4635</v>
      </c>
      <c r="AH58" s="63">
        <v>1212</v>
      </c>
      <c r="AI58" s="17" t="s">
        <v>4</v>
      </c>
      <c r="AJ58" s="64">
        <v>8710</v>
      </c>
      <c r="AK58" s="64">
        <v>3025</v>
      </c>
      <c r="AL58" s="17" t="s">
        <v>4</v>
      </c>
      <c r="AM58" s="64">
        <v>5634</v>
      </c>
      <c r="AN58" s="64">
        <v>2154</v>
      </c>
      <c r="AO58" s="17" t="s">
        <v>32</v>
      </c>
      <c r="AP58" s="61">
        <v>1019</v>
      </c>
      <c r="AQ58" s="9">
        <v>568</v>
      </c>
      <c r="AR58" s="63">
        <v>3146</v>
      </c>
      <c r="AS58" s="63">
        <v>2131</v>
      </c>
      <c r="AT58" s="17" t="s">
        <v>32</v>
      </c>
      <c r="AU58" s="61">
        <v>4309</v>
      </c>
      <c r="AV58" s="61">
        <v>2167</v>
      </c>
      <c r="AW58" s="61">
        <v>7438</v>
      </c>
      <c r="AX58" s="61">
        <v>4415</v>
      </c>
      <c r="AY58" s="17" t="s">
        <v>2</v>
      </c>
      <c r="AZ58" s="61">
        <v>463</v>
      </c>
      <c r="BA58" s="61">
        <v>5074</v>
      </c>
      <c r="BB58" s="61">
        <v>890</v>
      </c>
      <c r="BC58" s="61">
        <v>6340</v>
      </c>
      <c r="BD58" s="61">
        <v>1104</v>
      </c>
      <c r="BE58" s="61">
        <v>13155</v>
      </c>
    </row>
    <row r="59" spans="1:57" x14ac:dyDescent="0.3">
      <c r="A59" s="17" t="s">
        <v>72</v>
      </c>
      <c r="C59" s="2"/>
      <c r="D59" s="2"/>
      <c r="N59" s="2"/>
      <c r="O59" s="2"/>
      <c r="P59" s="2"/>
      <c r="Q59" s="2"/>
      <c r="R59" s="2"/>
      <c r="S59" s="2"/>
      <c r="AO59" s="17" t="s">
        <v>32</v>
      </c>
      <c r="AP59" s="9">
        <v>99</v>
      </c>
      <c r="AQ59" s="9">
        <v>182</v>
      </c>
      <c r="AR59" s="17">
        <v>218</v>
      </c>
      <c r="AS59" s="63">
        <v>351</v>
      </c>
      <c r="AT59" s="17" t="s">
        <v>32</v>
      </c>
      <c r="AU59" s="61">
        <v>106</v>
      </c>
      <c r="AV59" s="61">
        <v>167</v>
      </c>
      <c r="AW59" s="61">
        <v>140</v>
      </c>
      <c r="AX59" s="61">
        <v>184</v>
      </c>
      <c r="AY59" s="17" t="s">
        <v>2</v>
      </c>
      <c r="AZ59" s="61">
        <v>2</v>
      </c>
      <c r="BA59" s="61">
        <v>47</v>
      </c>
      <c r="BB59" s="61">
        <v>6</v>
      </c>
      <c r="BC59" s="61">
        <v>419</v>
      </c>
      <c r="BD59" s="61">
        <v>3</v>
      </c>
      <c r="BE59" s="61">
        <v>11</v>
      </c>
    </row>
    <row r="60" spans="1:57" x14ac:dyDescent="0.3">
      <c r="A60" s="17" t="s">
        <v>273</v>
      </c>
      <c r="B60" s="17"/>
      <c r="C60" s="57"/>
      <c r="D60" s="57"/>
      <c r="F60" s="59"/>
      <c r="G60" s="59"/>
      <c r="H60" s="59"/>
      <c r="I60" s="17" t="s">
        <v>21</v>
      </c>
      <c r="J60" s="57">
        <v>405</v>
      </c>
      <c r="K60" s="59">
        <v>400</v>
      </c>
      <c r="L60" s="60">
        <v>0</v>
      </c>
      <c r="N60" s="2"/>
      <c r="O60" s="2"/>
      <c r="P60" s="2"/>
      <c r="Q60" s="2"/>
      <c r="R60" s="2"/>
      <c r="S60" s="2"/>
      <c r="AP60" s="2"/>
      <c r="AQ60" s="2"/>
      <c r="AS60" s="63"/>
      <c r="AU60" s="61"/>
      <c r="AV60" s="61"/>
      <c r="AW60" s="61"/>
      <c r="AX60" s="61"/>
      <c r="AZ60" s="61"/>
      <c r="BA60" s="61"/>
      <c r="BB60" s="61"/>
      <c r="BC60" s="61"/>
      <c r="BD60" s="61"/>
      <c r="BE60" s="61"/>
    </row>
    <row r="61" spans="1:57" x14ac:dyDescent="0.3">
      <c r="A61" s="9" t="s">
        <v>92</v>
      </c>
      <c r="B61" s="17"/>
      <c r="C61" s="57"/>
      <c r="D61" s="57"/>
      <c r="F61" s="59"/>
      <c r="G61" s="59"/>
      <c r="H61" s="59"/>
      <c r="I61" s="17"/>
      <c r="J61" s="57"/>
      <c r="K61" s="59"/>
      <c r="L61" s="60"/>
      <c r="N61" s="2"/>
      <c r="O61" s="2"/>
      <c r="P61" s="2"/>
      <c r="Q61" s="2"/>
      <c r="R61" s="2"/>
      <c r="S61" s="2"/>
      <c r="T61" s="51" t="s">
        <v>8</v>
      </c>
      <c r="U61" s="51">
        <v>8</v>
      </c>
      <c r="V61" s="51">
        <v>436</v>
      </c>
      <c r="W61" s="51">
        <v>34</v>
      </c>
      <c r="X61" s="51">
        <v>2960</v>
      </c>
      <c r="AL61" s="51" t="s">
        <v>25</v>
      </c>
      <c r="AM61" s="51">
        <v>12</v>
      </c>
      <c r="AN61" s="51">
        <v>2002</v>
      </c>
      <c r="AP61" s="2"/>
      <c r="AQ61" s="2"/>
      <c r="AS61" s="63"/>
      <c r="AU61" s="61"/>
      <c r="AV61" s="61"/>
      <c r="AW61" s="61"/>
      <c r="AX61" s="61"/>
      <c r="AZ61" s="61"/>
      <c r="BA61" s="61"/>
      <c r="BB61" s="61"/>
      <c r="BC61" s="61"/>
      <c r="BD61" s="61"/>
      <c r="BE61" s="61"/>
    </row>
    <row r="62" spans="1:57" x14ac:dyDescent="0.3">
      <c r="A62" s="9" t="s">
        <v>274</v>
      </c>
      <c r="C62" s="2"/>
      <c r="D62" s="2"/>
      <c r="E62" s="12" t="s">
        <v>8</v>
      </c>
      <c r="F62" s="2">
        <v>8</v>
      </c>
      <c r="G62" s="2">
        <v>966</v>
      </c>
      <c r="H62" s="9">
        <v>0</v>
      </c>
      <c r="I62" s="51" t="s">
        <v>8</v>
      </c>
      <c r="J62" s="2">
        <v>12</v>
      </c>
      <c r="K62" s="2">
        <v>1440</v>
      </c>
      <c r="L62" s="2">
        <v>0</v>
      </c>
      <c r="N62" s="2"/>
      <c r="O62" s="2"/>
      <c r="P62" s="2"/>
      <c r="Q62" s="2"/>
      <c r="R62" s="2"/>
      <c r="S62" s="2"/>
      <c r="AO62" s="17"/>
      <c r="AP62" s="9"/>
      <c r="AQ62" s="61"/>
      <c r="AR62" s="17"/>
      <c r="AS62" s="17"/>
      <c r="AT62" s="17"/>
      <c r="AU62" s="61"/>
      <c r="AV62" s="61"/>
      <c r="AW62" s="61"/>
      <c r="AX62" s="61"/>
      <c r="AY62" s="17"/>
      <c r="AZ62" s="61"/>
      <c r="BA62" s="61"/>
      <c r="BB62" s="61"/>
      <c r="BC62" s="61"/>
      <c r="BD62" s="61"/>
      <c r="BE62" s="61"/>
    </row>
    <row r="63" spans="1:57" x14ac:dyDescent="0.3">
      <c r="A63" s="17" t="s">
        <v>345</v>
      </c>
      <c r="B63" s="17" t="s">
        <v>8</v>
      </c>
      <c r="C63" s="57">
        <v>25</v>
      </c>
      <c r="D63" s="57">
        <v>700</v>
      </c>
      <c r="E63" s="62"/>
      <c r="I63" s="17" t="s">
        <v>8</v>
      </c>
      <c r="J63" s="57">
        <v>67</v>
      </c>
      <c r="K63" s="60">
        <v>4154</v>
      </c>
      <c r="L63" s="60">
        <v>0</v>
      </c>
      <c r="M63" s="17" t="s">
        <v>8</v>
      </c>
      <c r="N63" s="9">
        <v>103</v>
      </c>
      <c r="O63" s="9">
        <v>5095</v>
      </c>
      <c r="P63" s="9">
        <v>0</v>
      </c>
      <c r="Q63" s="86">
        <v>60</v>
      </c>
      <c r="R63" s="57">
        <v>1800</v>
      </c>
      <c r="S63" s="9">
        <v>0</v>
      </c>
      <c r="T63" s="17" t="s">
        <v>8</v>
      </c>
      <c r="U63" s="64">
        <v>15</v>
      </c>
      <c r="V63" s="64">
        <v>409</v>
      </c>
      <c r="W63" s="17">
        <v>47</v>
      </c>
      <c r="X63" s="63">
        <v>1383</v>
      </c>
      <c r="Y63" s="17">
        <v>28</v>
      </c>
      <c r="Z63" s="63">
        <v>1400</v>
      </c>
      <c r="AA63" s="17" t="s">
        <v>8</v>
      </c>
      <c r="AB63" s="17">
        <v>16</v>
      </c>
      <c r="AC63" s="63">
        <v>2400</v>
      </c>
      <c r="AD63" s="87">
        <v>58</v>
      </c>
      <c r="AE63" s="63">
        <v>5800</v>
      </c>
      <c r="AF63" s="17" t="s">
        <v>8</v>
      </c>
      <c r="AG63" s="57">
        <v>74</v>
      </c>
      <c r="AH63" s="63">
        <v>7200</v>
      </c>
      <c r="AO63" s="17"/>
      <c r="AP63" s="9"/>
      <c r="AQ63" s="61"/>
      <c r="AR63" s="17"/>
      <c r="AS63" s="63"/>
      <c r="AU63" s="2"/>
      <c r="AV63" s="2"/>
      <c r="AW63" s="2"/>
      <c r="AX63" s="2"/>
      <c r="AZ63" s="2"/>
      <c r="BA63" s="2"/>
      <c r="BB63" s="2"/>
      <c r="BC63" s="2"/>
      <c r="BD63" s="2"/>
      <c r="BE63" s="2"/>
    </row>
    <row r="64" spans="1:57" x14ac:dyDescent="0.3">
      <c r="A64" s="9" t="s">
        <v>143</v>
      </c>
      <c r="B64" s="17"/>
      <c r="C64" s="57"/>
      <c r="D64" s="57"/>
      <c r="E64" s="62"/>
      <c r="I64" s="17"/>
      <c r="J64" s="57"/>
      <c r="K64" s="60"/>
      <c r="L64" s="60"/>
      <c r="M64" s="17"/>
      <c r="N64" s="9"/>
      <c r="O64" s="9"/>
      <c r="P64" s="9"/>
      <c r="Q64" s="86"/>
      <c r="R64" s="57"/>
      <c r="S64" s="9"/>
      <c r="T64" s="17"/>
      <c r="U64" s="64"/>
      <c r="V64" s="64"/>
      <c r="W64" s="17"/>
      <c r="X64" s="63"/>
      <c r="Y64" s="17"/>
      <c r="Z64" s="63"/>
      <c r="AA64" s="17"/>
      <c r="AB64" s="17"/>
      <c r="AC64" s="63"/>
      <c r="AD64" s="9"/>
      <c r="AE64" s="63"/>
      <c r="AF64" s="17"/>
      <c r="AG64" s="57"/>
      <c r="AH64" s="63"/>
      <c r="AI64" s="17" t="s">
        <v>8</v>
      </c>
      <c r="AJ64" s="64">
        <v>38</v>
      </c>
      <c r="AK64" s="64">
        <v>3800</v>
      </c>
      <c r="AL64" s="17" t="s">
        <v>8</v>
      </c>
      <c r="AM64" s="88">
        <v>17.5</v>
      </c>
      <c r="AN64" s="64">
        <v>1580</v>
      </c>
      <c r="AO64" s="17"/>
      <c r="AP64" s="9"/>
      <c r="AQ64" s="61"/>
      <c r="AR64" s="17"/>
      <c r="AS64" s="63"/>
      <c r="AT64" s="17" t="s">
        <v>32</v>
      </c>
      <c r="AU64" s="61">
        <v>42</v>
      </c>
      <c r="AV64" s="61">
        <v>1436</v>
      </c>
      <c r="AW64" s="61">
        <v>39</v>
      </c>
      <c r="AX64" s="61">
        <v>2063</v>
      </c>
      <c r="AY64" s="17" t="s">
        <v>2</v>
      </c>
      <c r="AZ64" s="61">
        <v>2</v>
      </c>
      <c r="BA64" s="61">
        <v>2593</v>
      </c>
      <c r="BB64" s="61">
        <v>3</v>
      </c>
      <c r="BC64" s="61">
        <v>3408</v>
      </c>
      <c r="BD64" s="61">
        <v>3</v>
      </c>
      <c r="BE64" s="61">
        <v>3799</v>
      </c>
    </row>
    <row r="65" spans="1:57" x14ac:dyDescent="0.3">
      <c r="A65" s="9" t="s">
        <v>346</v>
      </c>
      <c r="B65" s="17"/>
      <c r="C65" s="57"/>
      <c r="D65" s="57"/>
      <c r="E65" s="62"/>
      <c r="I65" s="17"/>
      <c r="J65" s="57"/>
      <c r="K65" s="60"/>
      <c r="L65" s="60"/>
      <c r="M65" s="17"/>
      <c r="N65" s="9"/>
      <c r="O65" s="9"/>
      <c r="P65" s="9"/>
      <c r="Q65" s="86"/>
      <c r="R65" s="57"/>
      <c r="S65" s="9"/>
      <c r="T65" s="17"/>
      <c r="U65" s="64"/>
      <c r="V65" s="64"/>
      <c r="W65" s="17"/>
      <c r="X65" s="63"/>
      <c r="Y65" s="17"/>
      <c r="Z65" s="63"/>
      <c r="AA65" s="17"/>
      <c r="AB65" s="17"/>
      <c r="AC65" s="63"/>
      <c r="AD65" s="9"/>
      <c r="AE65" s="63"/>
      <c r="AF65" s="17"/>
      <c r="AG65" s="57"/>
      <c r="AH65" s="63"/>
      <c r="AI65" s="17"/>
      <c r="AJ65" s="64"/>
      <c r="AK65" s="64"/>
      <c r="AL65" s="17"/>
      <c r="AM65" s="88"/>
      <c r="AN65" s="64"/>
      <c r="AO65" s="17"/>
      <c r="AP65" s="9"/>
      <c r="AQ65" s="61"/>
      <c r="AR65" s="17"/>
      <c r="AS65" s="63"/>
      <c r="AT65" s="17" t="s">
        <v>32</v>
      </c>
      <c r="AU65" s="61">
        <v>23</v>
      </c>
      <c r="AV65" s="61">
        <v>1110</v>
      </c>
      <c r="AW65" s="61">
        <v>16</v>
      </c>
      <c r="AX65" s="61">
        <v>550</v>
      </c>
      <c r="AY65" s="17" t="s">
        <v>2</v>
      </c>
      <c r="AZ65" s="89">
        <v>0.25</v>
      </c>
      <c r="BA65" s="61">
        <v>208</v>
      </c>
      <c r="BB65" s="89">
        <v>0.75</v>
      </c>
      <c r="BC65" s="61">
        <v>306</v>
      </c>
      <c r="BD65" s="61">
        <v>1</v>
      </c>
      <c r="BE65" s="61">
        <v>1244</v>
      </c>
    </row>
    <row r="66" spans="1:57" x14ac:dyDescent="0.3">
      <c r="A66" s="17" t="s">
        <v>74</v>
      </c>
      <c r="C66" s="2"/>
      <c r="D66" s="2"/>
      <c r="N66" s="2"/>
      <c r="O66" s="2"/>
      <c r="P66" s="2"/>
      <c r="Q66" s="2"/>
      <c r="R66" s="2"/>
      <c r="S66" s="2"/>
      <c r="AO66" s="17"/>
      <c r="AP66" s="9"/>
      <c r="AQ66" s="9"/>
      <c r="AR66" s="17"/>
      <c r="AS66" s="17"/>
      <c r="AT66" s="17" t="s">
        <v>32</v>
      </c>
      <c r="AU66" s="61">
        <v>11</v>
      </c>
      <c r="AV66" s="61">
        <v>92</v>
      </c>
      <c r="AW66" s="61">
        <v>10</v>
      </c>
      <c r="AX66" s="61">
        <v>21</v>
      </c>
      <c r="AY66" s="17" t="s">
        <v>2</v>
      </c>
      <c r="AZ66" s="89">
        <v>0.05</v>
      </c>
      <c r="BA66" s="61">
        <v>25</v>
      </c>
      <c r="BB66" s="90">
        <v>0.5</v>
      </c>
      <c r="BC66" s="61">
        <v>9</v>
      </c>
      <c r="BD66" s="90">
        <v>0.5</v>
      </c>
      <c r="BE66" s="61">
        <v>21</v>
      </c>
    </row>
    <row r="67" spans="1:57" x14ac:dyDescent="0.3">
      <c r="A67" s="17" t="s">
        <v>78</v>
      </c>
      <c r="C67" s="2"/>
      <c r="D67" s="2"/>
      <c r="N67" s="2"/>
      <c r="O67" s="2"/>
      <c r="P67" s="2"/>
      <c r="Q67" s="2"/>
      <c r="R67" s="2"/>
      <c r="S67" s="2"/>
      <c r="AJ67" s="91"/>
      <c r="AK67" s="91"/>
      <c r="AM67" s="91"/>
      <c r="AN67" s="91"/>
      <c r="AO67" s="17" t="s">
        <v>32</v>
      </c>
      <c r="AP67" s="9">
        <v>483</v>
      </c>
      <c r="AQ67" s="9">
        <v>664</v>
      </c>
      <c r="AR67" s="17">
        <v>448</v>
      </c>
      <c r="AS67" s="17">
        <v>613</v>
      </c>
      <c r="AT67" s="17" t="s">
        <v>32</v>
      </c>
      <c r="AU67" s="61">
        <v>443</v>
      </c>
      <c r="AV67" s="61">
        <v>655</v>
      </c>
      <c r="AW67" s="61">
        <v>562</v>
      </c>
      <c r="AX67" s="61">
        <v>884</v>
      </c>
      <c r="AY67" s="17" t="s">
        <v>2</v>
      </c>
      <c r="AZ67" s="61">
        <v>59</v>
      </c>
      <c r="BA67" s="61">
        <v>1204</v>
      </c>
      <c r="BB67" s="61">
        <v>73</v>
      </c>
      <c r="BC67" s="61">
        <v>1533</v>
      </c>
      <c r="BD67" s="61">
        <v>47</v>
      </c>
      <c r="BE67" s="61">
        <v>1177</v>
      </c>
    </row>
    <row r="68" spans="1:57" x14ac:dyDescent="0.3">
      <c r="A68" s="17" t="s">
        <v>22</v>
      </c>
      <c r="B68" s="17"/>
      <c r="C68" s="57"/>
      <c r="D68" s="57"/>
      <c r="E68" s="62"/>
      <c r="F68" s="59"/>
      <c r="G68" s="59"/>
      <c r="H68" s="60"/>
      <c r="I68" s="17"/>
      <c r="J68" s="57"/>
      <c r="K68" s="59"/>
      <c r="L68" s="60"/>
      <c r="M68" s="17"/>
      <c r="N68" s="9"/>
      <c r="O68" s="9"/>
      <c r="P68" s="9"/>
      <c r="Q68" s="57"/>
      <c r="R68" s="57"/>
      <c r="S68" s="9"/>
      <c r="T68" s="17" t="s">
        <v>4</v>
      </c>
      <c r="U68" s="64">
        <v>714</v>
      </c>
      <c r="V68" s="64">
        <v>938</v>
      </c>
      <c r="W68" s="63">
        <v>1575</v>
      </c>
      <c r="X68" s="63">
        <v>2207</v>
      </c>
      <c r="Y68" s="17">
        <v>664</v>
      </c>
      <c r="Z68" s="17">
        <v>936</v>
      </c>
      <c r="AA68" s="17" t="s">
        <v>4</v>
      </c>
      <c r="AB68" s="63">
        <v>741</v>
      </c>
      <c r="AC68" s="63">
        <v>1359</v>
      </c>
      <c r="AD68" s="17">
        <v>834</v>
      </c>
      <c r="AE68" s="63">
        <v>1559</v>
      </c>
      <c r="AF68" s="17" t="s">
        <v>4</v>
      </c>
      <c r="AG68" s="63">
        <v>1632</v>
      </c>
      <c r="AH68" s="63">
        <v>3269</v>
      </c>
      <c r="AI68" s="17" t="s">
        <v>4</v>
      </c>
      <c r="AJ68" s="91">
        <v>949</v>
      </c>
      <c r="AK68" s="91">
        <v>1948</v>
      </c>
      <c r="AL68" s="17" t="s">
        <v>4</v>
      </c>
      <c r="AM68" s="91">
        <v>879</v>
      </c>
      <c r="AN68" s="91">
        <v>1298</v>
      </c>
      <c r="AO68" s="17" t="s">
        <v>32</v>
      </c>
      <c r="AP68" s="9">
        <v>918</v>
      </c>
      <c r="AQ68" s="61">
        <v>2419</v>
      </c>
      <c r="AR68" s="63">
        <v>1324</v>
      </c>
      <c r="AS68" s="63">
        <v>3690</v>
      </c>
      <c r="AT68" s="17" t="s">
        <v>32</v>
      </c>
      <c r="AU68" s="61">
        <v>908</v>
      </c>
      <c r="AV68" s="61">
        <v>1690</v>
      </c>
      <c r="AW68" s="61">
        <v>791</v>
      </c>
      <c r="AX68" s="61">
        <v>1817</v>
      </c>
      <c r="AY68" s="17" t="s">
        <v>2</v>
      </c>
      <c r="AZ68" s="61">
        <v>58</v>
      </c>
      <c r="BA68" s="61">
        <v>3535</v>
      </c>
      <c r="BB68" s="61">
        <v>90</v>
      </c>
      <c r="BC68" s="61">
        <v>3305</v>
      </c>
      <c r="BD68" s="61">
        <v>123</v>
      </c>
      <c r="BE68" s="61">
        <v>5399</v>
      </c>
    </row>
    <row r="69" spans="1:57" x14ac:dyDescent="0.3">
      <c r="A69" s="17" t="s">
        <v>57</v>
      </c>
      <c r="B69" s="17" t="s">
        <v>58</v>
      </c>
      <c r="C69" s="57">
        <v>60</v>
      </c>
      <c r="D69" s="57">
        <v>49</v>
      </c>
      <c r="N69" s="2"/>
      <c r="O69" s="2"/>
      <c r="P69" s="2"/>
      <c r="Q69" s="2"/>
      <c r="R69" s="2"/>
      <c r="S69" s="2"/>
      <c r="AJ69" s="91"/>
      <c r="AK69" s="91"/>
      <c r="AM69" s="91"/>
      <c r="AN69" s="91"/>
      <c r="AP69" s="2"/>
      <c r="AQ69" s="2"/>
      <c r="AU69" s="61"/>
      <c r="AV69" s="61"/>
      <c r="AW69" s="61"/>
      <c r="AX69" s="61"/>
      <c r="AZ69" s="61"/>
      <c r="BA69" s="61"/>
      <c r="BB69" s="61"/>
      <c r="BC69" s="61"/>
      <c r="BD69" s="61"/>
      <c r="BE69" s="61"/>
    </row>
    <row r="70" spans="1:57" x14ac:dyDescent="0.3">
      <c r="A70" s="17" t="s">
        <v>69</v>
      </c>
      <c r="C70" s="2"/>
      <c r="D70" s="2"/>
      <c r="N70" s="2"/>
      <c r="O70" s="2"/>
      <c r="P70" s="2"/>
      <c r="Q70" s="2"/>
      <c r="R70" s="2"/>
      <c r="S70" s="2"/>
      <c r="AJ70" s="91"/>
      <c r="AK70" s="91"/>
      <c r="AM70" s="91"/>
      <c r="AN70" s="91"/>
      <c r="AO70" s="17"/>
      <c r="AP70" s="9"/>
      <c r="AQ70" s="61"/>
      <c r="AR70" s="17"/>
      <c r="AS70" s="63"/>
      <c r="AT70" s="17"/>
      <c r="AU70" s="61"/>
      <c r="AV70" s="61"/>
      <c r="AW70" s="61"/>
      <c r="AX70" s="61"/>
      <c r="AY70" s="17"/>
      <c r="AZ70" s="61"/>
      <c r="BA70" s="61"/>
      <c r="BB70" s="61"/>
      <c r="BC70" s="61"/>
      <c r="BD70" s="61"/>
      <c r="BE70" s="61"/>
    </row>
    <row r="71" spans="1:57" x14ac:dyDescent="0.3">
      <c r="A71" s="9" t="s">
        <v>9</v>
      </c>
      <c r="B71" s="17" t="s">
        <v>36</v>
      </c>
      <c r="C71" s="2">
        <v>2800</v>
      </c>
      <c r="D71" s="9">
        <v>4466</v>
      </c>
      <c r="E71" s="62" t="s">
        <v>36</v>
      </c>
      <c r="F71" s="60">
        <v>1886</v>
      </c>
      <c r="G71" s="60">
        <v>2364</v>
      </c>
      <c r="H71" s="60">
        <v>0</v>
      </c>
      <c r="I71" s="17" t="s">
        <v>36</v>
      </c>
      <c r="J71" s="57">
        <v>987</v>
      </c>
      <c r="K71" s="60">
        <v>1234</v>
      </c>
      <c r="L71" s="60">
        <v>10</v>
      </c>
      <c r="M71" s="17"/>
      <c r="N71" s="9"/>
      <c r="O71" s="9"/>
      <c r="P71" s="9"/>
      <c r="Q71" s="57"/>
      <c r="R71" s="57"/>
      <c r="S71" s="9"/>
      <c r="T71" s="63"/>
      <c r="U71" s="74"/>
      <c r="V71" s="64"/>
      <c r="W71" s="63"/>
      <c r="X71" s="63"/>
      <c r="Y71" s="63"/>
      <c r="Z71" s="63"/>
      <c r="AA71" s="63"/>
      <c r="AB71" s="63"/>
      <c r="AC71" s="63"/>
      <c r="AF71" s="17"/>
      <c r="AG71" s="63"/>
      <c r="AH71" s="63"/>
      <c r="AI71" s="17"/>
      <c r="AJ71" s="91"/>
      <c r="AK71" s="91"/>
      <c r="AL71" s="17"/>
      <c r="AM71" s="91"/>
      <c r="AN71" s="91"/>
      <c r="AO71" s="17"/>
      <c r="AP71" s="61"/>
      <c r="AQ71" s="9"/>
      <c r="AR71" s="63"/>
      <c r="AS71" s="17"/>
      <c r="AT71" s="17"/>
      <c r="AU71" s="2"/>
      <c r="AV71" s="2"/>
      <c r="AW71" s="2"/>
      <c r="AX71" s="2"/>
      <c r="AY71" s="9"/>
      <c r="AZ71" s="61"/>
      <c r="BA71" s="61"/>
      <c r="BB71" s="61"/>
      <c r="BC71" s="61"/>
      <c r="BD71" s="61"/>
      <c r="BE71" s="61"/>
    </row>
    <row r="72" spans="1:57" x14ac:dyDescent="0.3">
      <c r="A72" s="76" t="s">
        <v>275</v>
      </c>
      <c r="C72" s="2"/>
      <c r="D72" s="2"/>
      <c r="I72" s="17" t="s">
        <v>21</v>
      </c>
      <c r="J72" s="57">
        <v>145</v>
      </c>
      <c r="K72" s="60">
        <v>362</v>
      </c>
      <c r="L72" s="60">
        <v>10</v>
      </c>
      <c r="M72" s="17" t="s">
        <v>42</v>
      </c>
      <c r="N72" s="9">
        <v>418</v>
      </c>
      <c r="O72" s="9">
        <v>836</v>
      </c>
      <c r="P72" s="9">
        <v>0</v>
      </c>
      <c r="Q72" s="57">
        <v>147</v>
      </c>
      <c r="R72" s="57">
        <v>220</v>
      </c>
      <c r="S72" s="9">
        <v>0</v>
      </c>
      <c r="AG72" s="63"/>
      <c r="AH72" s="63"/>
      <c r="AJ72" s="91"/>
      <c r="AK72" s="91"/>
      <c r="AM72" s="91"/>
      <c r="AN72" s="91"/>
      <c r="AP72" s="2"/>
      <c r="AQ72" s="2"/>
      <c r="AU72" s="61"/>
      <c r="AV72" s="61"/>
      <c r="AW72" s="61"/>
      <c r="AX72" s="61"/>
      <c r="AZ72" s="61"/>
      <c r="BA72" s="61"/>
      <c r="BB72" s="61"/>
      <c r="BC72" s="61"/>
      <c r="BD72" s="61"/>
      <c r="BE72" s="61"/>
    </row>
    <row r="73" spans="1:57" x14ac:dyDescent="0.3">
      <c r="A73" s="17" t="s">
        <v>276</v>
      </c>
      <c r="C73" s="2"/>
      <c r="D73" s="2"/>
      <c r="E73" s="62"/>
      <c r="I73" s="17"/>
      <c r="N73" s="2"/>
      <c r="O73" s="2"/>
      <c r="P73" s="2"/>
      <c r="Q73" s="2"/>
      <c r="R73" s="2"/>
      <c r="S73" s="2"/>
      <c r="T73" s="17"/>
      <c r="U73" s="74"/>
      <c r="V73" s="74"/>
      <c r="W73" s="63"/>
      <c r="X73" s="63"/>
      <c r="Y73" s="63"/>
      <c r="Z73" s="63"/>
      <c r="AF73" s="17"/>
      <c r="AG73" s="63"/>
      <c r="AH73" s="63"/>
      <c r="AJ73" s="91"/>
      <c r="AK73" s="91"/>
      <c r="AM73" s="91"/>
      <c r="AN73" s="91"/>
      <c r="AP73" s="2"/>
      <c r="AQ73" s="2"/>
      <c r="AT73" s="17"/>
      <c r="AU73" s="2"/>
      <c r="AV73" s="2"/>
      <c r="AW73" s="2"/>
      <c r="AX73" s="2"/>
      <c r="AY73" s="17"/>
      <c r="AZ73" s="61"/>
      <c r="BA73" s="61"/>
      <c r="BB73" s="61"/>
      <c r="BC73" s="61"/>
      <c r="BD73" s="61"/>
      <c r="BE73" s="61"/>
    </row>
    <row r="74" spans="1:57" x14ac:dyDescent="0.3">
      <c r="A74" s="17" t="s">
        <v>277</v>
      </c>
      <c r="C74" s="2"/>
      <c r="D74" s="9"/>
      <c r="N74" s="2"/>
      <c r="O74" s="2"/>
      <c r="P74" s="2"/>
      <c r="Q74" s="2"/>
      <c r="R74" s="2"/>
      <c r="S74" s="2"/>
      <c r="AG74" s="63"/>
      <c r="AH74" s="63"/>
      <c r="AJ74" s="91"/>
      <c r="AK74" s="91"/>
      <c r="AM74" s="91"/>
      <c r="AN74" s="91"/>
      <c r="AO74" s="17" t="s">
        <v>32</v>
      </c>
      <c r="AP74" s="61">
        <v>29923</v>
      </c>
      <c r="AQ74" s="61">
        <v>23167</v>
      </c>
      <c r="AR74" s="63">
        <v>24205</v>
      </c>
      <c r="AS74" s="63">
        <v>17927</v>
      </c>
      <c r="AT74" s="17" t="s">
        <v>32</v>
      </c>
      <c r="AU74" s="61">
        <v>23245</v>
      </c>
      <c r="AV74" s="61">
        <v>17911</v>
      </c>
      <c r="AW74" s="61">
        <v>25843</v>
      </c>
      <c r="AX74" s="61">
        <v>22187</v>
      </c>
      <c r="AY74" s="17" t="s">
        <v>2</v>
      </c>
      <c r="AZ74" s="61">
        <v>2935</v>
      </c>
      <c r="BA74" s="61">
        <v>50096</v>
      </c>
      <c r="BB74" s="61">
        <v>1962</v>
      </c>
      <c r="BC74" s="61">
        <v>31802</v>
      </c>
      <c r="BD74" s="61">
        <v>3390</v>
      </c>
      <c r="BE74" s="61">
        <v>61892</v>
      </c>
    </row>
    <row r="75" spans="1:57" x14ac:dyDescent="0.3">
      <c r="A75" s="17" t="s">
        <v>193</v>
      </c>
      <c r="B75" s="17" t="s">
        <v>8</v>
      </c>
      <c r="C75" s="2">
        <v>2996</v>
      </c>
      <c r="D75" s="9">
        <v>5447</v>
      </c>
      <c r="E75" s="62" t="s">
        <v>8</v>
      </c>
      <c r="F75" s="2">
        <v>1469</v>
      </c>
      <c r="G75" s="2">
        <v>2771</v>
      </c>
      <c r="H75" s="2">
        <v>10</v>
      </c>
      <c r="I75" s="17" t="s">
        <v>8</v>
      </c>
      <c r="J75" s="57">
        <v>1781</v>
      </c>
      <c r="K75" s="60">
        <v>3339</v>
      </c>
      <c r="L75" s="60">
        <v>10</v>
      </c>
      <c r="M75" s="51" t="s">
        <v>8</v>
      </c>
      <c r="N75" s="2">
        <v>2198</v>
      </c>
      <c r="O75" s="2">
        <v>3484</v>
      </c>
      <c r="P75" s="2">
        <v>5</v>
      </c>
      <c r="Q75" s="57">
        <v>3373</v>
      </c>
      <c r="R75" s="57">
        <v>5089</v>
      </c>
      <c r="S75" s="9">
        <v>0</v>
      </c>
      <c r="T75" s="17" t="s">
        <v>32</v>
      </c>
      <c r="U75" s="74">
        <v>8785</v>
      </c>
      <c r="V75" s="74">
        <v>6262</v>
      </c>
      <c r="W75" s="63">
        <v>6602</v>
      </c>
      <c r="X75" s="63">
        <v>5918</v>
      </c>
      <c r="Y75" s="63">
        <v>11953</v>
      </c>
      <c r="Z75" s="63">
        <v>9961</v>
      </c>
      <c r="AA75" s="17" t="s">
        <v>32</v>
      </c>
      <c r="AB75" s="63">
        <v>7017</v>
      </c>
      <c r="AC75" s="63">
        <v>5845</v>
      </c>
      <c r="AD75" s="63">
        <v>11070</v>
      </c>
      <c r="AE75" s="63">
        <v>9748</v>
      </c>
      <c r="AF75" s="17" t="s">
        <v>4</v>
      </c>
      <c r="AG75" s="63">
        <v>44951</v>
      </c>
      <c r="AH75" s="63">
        <v>39475</v>
      </c>
      <c r="AI75" s="17" t="s">
        <v>4</v>
      </c>
      <c r="AJ75" s="91">
        <v>24717</v>
      </c>
      <c r="AK75" s="91">
        <v>21984</v>
      </c>
      <c r="AL75" s="17" t="s">
        <v>4</v>
      </c>
      <c r="AM75" s="91">
        <v>27432</v>
      </c>
      <c r="AN75" s="91">
        <v>16817</v>
      </c>
      <c r="AO75" s="17" t="s">
        <v>32</v>
      </c>
      <c r="AP75" s="61">
        <v>40037</v>
      </c>
      <c r="AQ75" s="61">
        <v>43037</v>
      </c>
      <c r="AR75" s="63">
        <v>28404</v>
      </c>
      <c r="AS75" s="63">
        <v>30556</v>
      </c>
      <c r="AT75" s="17" t="s">
        <v>32</v>
      </c>
      <c r="AU75" s="61">
        <v>49525</v>
      </c>
      <c r="AV75" s="61">
        <v>50475</v>
      </c>
      <c r="AW75" s="61">
        <v>59021</v>
      </c>
      <c r="AX75" s="61">
        <v>57068</v>
      </c>
      <c r="AY75" s="17" t="s">
        <v>2</v>
      </c>
      <c r="AZ75" s="61">
        <v>3243</v>
      </c>
      <c r="BA75" s="61">
        <v>74314</v>
      </c>
      <c r="BB75" s="61">
        <v>2534</v>
      </c>
      <c r="BC75" s="61">
        <v>51465</v>
      </c>
      <c r="BD75" s="61">
        <v>2478</v>
      </c>
      <c r="BE75" s="61">
        <v>63937</v>
      </c>
    </row>
    <row r="76" spans="1:57" x14ac:dyDescent="0.3">
      <c r="A76" s="76" t="s">
        <v>278</v>
      </c>
      <c r="C76" s="2"/>
      <c r="D76" s="2"/>
      <c r="M76" s="17" t="s">
        <v>36</v>
      </c>
      <c r="N76" s="9">
        <v>5106</v>
      </c>
      <c r="O76" s="9">
        <v>5332</v>
      </c>
      <c r="P76" s="9">
        <v>10</v>
      </c>
      <c r="Q76" s="57">
        <v>2198</v>
      </c>
      <c r="R76" s="57">
        <v>2168</v>
      </c>
      <c r="S76" s="9">
        <v>0</v>
      </c>
      <c r="AG76" s="63"/>
      <c r="AH76" s="63"/>
      <c r="AJ76" s="91"/>
      <c r="AK76" s="91"/>
      <c r="AM76" s="91"/>
      <c r="AN76" s="91"/>
      <c r="AP76" s="2"/>
      <c r="AQ76" s="2"/>
      <c r="AU76" s="61"/>
      <c r="AV76" s="61"/>
      <c r="AW76" s="61"/>
      <c r="AX76" s="61"/>
      <c r="AZ76" s="61"/>
      <c r="BA76" s="61"/>
      <c r="BB76" s="61"/>
      <c r="BC76" s="61"/>
      <c r="BD76" s="61"/>
      <c r="BE76" s="61"/>
    </row>
    <row r="77" spans="1:57" x14ac:dyDescent="0.3">
      <c r="A77" s="76" t="s">
        <v>279</v>
      </c>
      <c r="C77" s="2"/>
      <c r="D77" s="2"/>
      <c r="M77" s="17"/>
      <c r="N77" s="9"/>
      <c r="O77" s="9"/>
      <c r="P77" s="9"/>
      <c r="Q77" s="57"/>
      <c r="R77" s="57"/>
      <c r="S77" s="9"/>
      <c r="T77" s="17" t="s">
        <v>32</v>
      </c>
      <c r="U77" s="74">
        <v>3202</v>
      </c>
      <c r="V77" s="74">
        <v>3808</v>
      </c>
      <c r="W77" s="63">
        <v>7338</v>
      </c>
      <c r="X77" s="63">
        <v>4127</v>
      </c>
      <c r="Y77" s="63">
        <v>4760</v>
      </c>
      <c r="Z77" s="63">
        <v>3563</v>
      </c>
      <c r="AA77" s="17" t="s">
        <v>32</v>
      </c>
      <c r="AB77" s="63">
        <v>5198</v>
      </c>
      <c r="AC77" s="63">
        <v>3977</v>
      </c>
      <c r="AD77" s="63">
        <v>6697</v>
      </c>
      <c r="AE77" s="63">
        <v>5114</v>
      </c>
      <c r="AF77" s="51" t="s">
        <v>4</v>
      </c>
      <c r="AG77" s="63">
        <v>13249</v>
      </c>
      <c r="AH77" s="63">
        <v>11050</v>
      </c>
      <c r="AJ77" s="91"/>
      <c r="AK77" s="91"/>
      <c r="AM77" s="91"/>
      <c r="AN77" s="91"/>
      <c r="AP77" s="2"/>
      <c r="AQ77" s="2"/>
      <c r="AU77" s="2"/>
      <c r="AV77" s="2"/>
      <c r="AW77" s="2"/>
      <c r="AX77" s="2"/>
      <c r="AZ77" s="61"/>
      <c r="BA77" s="61"/>
      <c r="BB77" s="61"/>
      <c r="BC77" s="61"/>
      <c r="BD77" s="61"/>
      <c r="BE77" s="61"/>
    </row>
    <row r="78" spans="1:57" x14ac:dyDescent="0.3">
      <c r="A78" s="76" t="s">
        <v>280</v>
      </c>
      <c r="C78" s="2"/>
      <c r="D78" s="2"/>
      <c r="M78" s="17"/>
      <c r="N78" s="9"/>
      <c r="O78" s="9"/>
      <c r="P78" s="9"/>
      <c r="Q78" s="57"/>
      <c r="R78" s="57"/>
      <c r="S78" s="9"/>
      <c r="T78" s="17"/>
      <c r="U78" s="74"/>
      <c r="V78" s="74"/>
      <c r="W78" s="63"/>
      <c r="X78" s="63"/>
      <c r="Y78" s="63"/>
      <c r="Z78" s="63"/>
      <c r="AA78" s="17"/>
      <c r="AB78" s="63"/>
      <c r="AC78" s="63"/>
      <c r="AD78" s="63"/>
      <c r="AE78" s="63"/>
      <c r="AG78" s="63"/>
      <c r="AH78" s="63"/>
      <c r="AI78" s="17" t="s">
        <v>4</v>
      </c>
      <c r="AJ78" s="91">
        <v>10893</v>
      </c>
      <c r="AK78" s="91">
        <v>9197</v>
      </c>
      <c r="AL78" s="17" t="s">
        <v>4</v>
      </c>
      <c r="AM78" s="91">
        <v>9204</v>
      </c>
      <c r="AN78" s="91">
        <v>5680</v>
      </c>
      <c r="AP78" s="2"/>
      <c r="AQ78" s="2"/>
      <c r="AU78" s="2"/>
      <c r="AV78" s="2"/>
      <c r="AW78" s="2"/>
      <c r="AX78" s="2"/>
      <c r="AZ78" s="61"/>
      <c r="BA78" s="61"/>
      <c r="BB78" s="61"/>
      <c r="BC78" s="61"/>
      <c r="BD78" s="61"/>
      <c r="BE78" s="61"/>
    </row>
    <row r="79" spans="1:57" x14ac:dyDescent="0.3">
      <c r="A79" s="76" t="s">
        <v>281</v>
      </c>
      <c r="C79" s="2"/>
      <c r="D79" s="2"/>
      <c r="M79" s="17"/>
      <c r="N79" s="9"/>
      <c r="O79" s="9"/>
      <c r="P79" s="9"/>
      <c r="Q79" s="57"/>
      <c r="R79" s="57"/>
      <c r="S79" s="9"/>
      <c r="T79" s="17"/>
      <c r="U79" s="74"/>
      <c r="V79" s="74"/>
      <c r="W79" s="63"/>
      <c r="X79" s="63"/>
      <c r="Y79" s="63"/>
      <c r="Z79" s="63"/>
      <c r="AA79" s="17"/>
      <c r="AB79" s="63"/>
      <c r="AC79" s="63"/>
      <c r="AD79" s="63"/>
      <c r="AE79" s="63"/>
      <c r="AG79" s="63"/>
      <c r="AH79" s="63"/>
      <c r="AJ79" s="91"/>
      <c r="AK79" s="91"/>
      <c r="AL79" s="51" t="s">
        <v>4</v>
      </c>
      <c r="AM79" s="91">
        <v>493</v>
      </c>
      <c r="AN79" s="91">
        <v>361</v>
      </c>
      <c r="AP79" s="2"/>
      <c r="AQ79" s="2"/>
      <c r="AU79" s="2"/>
      <c r="AV79" s="2"/>
      <c r="AW79" s="2"/>
      <c r="AX79" s="2"/>
      <c r="AZ79" s="61"/>
      <c r="BA79" s="61"/>
      <c r="BB79" s="61"/>
      <c r="BC79" s="61"/>
      <c r="BD79" s="61"/>
      <c r="BE79" s="61"/>
    </row>
    <row r="80" spans="1:57" x14ac:dyDescent="0.3">
      <c r="A80" s="17" t="s">
        <v>56</v>
      </c>
      <c r="B80" s="17" t="s">
        <v>21</v>
      </c>
      <c r="C80" s="66">
        <v>1438</v>
      </c>
      <c r="D80" s="57">
        <v>109</v>
      </c>
      <c r="N80" s="2"/>
      <c r="O80" s="2"/>
      <c r="P80" s="2"/>
      <c r="Q80" s="2"/>
      <c r="R80" s="2"/>
      <c r="S80" s="2"/>
      <c r="AG80" s="63"/>
      <c r="AH80" s="63"/>
      <c r="AJ80" s="91"/>
      <c r="AK80" s="91"/>
      <c r="AM80" s="91"/>
      <c r="AN80" s="91"/>
      <c r="AP80" s="2"/>
      <c r="AQ80" s="2"/>
      <c r="AU80" s="2"/>
      <c r="AV80" s="2"/>
      <c r="AW80" s="2"/>
      <c r="AX80" s="2"/>
      <c r="AZ80" s="61"/>
      <c r="BA80" s="61"/>
      <c r="BB80" s="61"/>
      <c r="BC80" s="61"/>
      <c r="BD80" s="61"/>
      <c r="BE80" s="61"/>
    </row>
    <row r="81" spans="1:57" x14ac:dyDescent="0.3">
      <c r="A81" s="17" t="s">
        <v>49</v>
      </c>
      <c r="B81" s="17" t="s">
        <v>8</v>
      </c>
      <c r="C81" s="57">
        <v>271</v>
      </c>
      <c r="D81" s="66">
        <v>1400</v>
      </c>
      <c r="E81" s="58" t="s">
        <v>21</v>
      </c>
      <c r="F81" s="60">
        <v>304</v>
      </c>
      <c r="G81" s="60">
        <v>962</v>
      </c>
      <c r="H81" s="60">
        <v>0</v>
      </c>
      <c r="I81" s="17" t="s">
        <v>8</v>
      </c>
      <c r="J81" s="57">
        <v>310</v>
      </c>
      <c r="K81" s="60">
        <v>775</v>
      </c>
      <c r="L81" s="60">
        <v>0</v>
      </c>
      <c r="M81" s="17"/>
      <c r="N81" s="9"/>
      <c r="O81" s="9"/>
      <c r="P81" s="9"/>
      <c r="Q81" s="57"/>
      <c r="R81" s="57"/>
      <c r="S81" s="9"/>
      <c r="T81" s="17" t="s">
        <v>32</v>
      </c>
      <c r="U81" s="64">
        <v>193</v>
      </c>
      <c r="V81" s="64">
        <v>788</v>
      </c>
      <c r="W81" s="17">
        <v>196</v>
      </c>
      <c r="X81" s="17">
        <v>911</v>
      </c>
      <c r="Y81" s="17">
        <v>171</v>
      </c>
      <c r="Z81" s="17">
        <v>768</v>
      </c>
      <c r="AA81" s="17" t="s">
        <v>32</v>
      </c>
      <c r="AB81" s="17">
        <v>398</v>
      </c>
      <c r="AC81" s="63">
        <v>1464</v>
      </c>
      <c r="AD81" s="17">
        <v>560</v>
      </c>
      <c r="AE81" s="63">
        <v>1870</v>
      </c>
      <c r="AF81" s="17" t="s">
        <v>4</v>
      </c>
      <c r="AG81" s="63">
        <v>1645</v>
      </c>
      <c r="AH81" s="63">
        <v>5235</v>
      </c>
      <c r="AI81" s="17" t="s">
        <v>4</v>
      </c>
      <c r="AJ81" s="91">
        <v>1651</v>
      </c>
      <c r="AK81" s="91">
        <v>4953</v>
      </c>
      <c r="AL81" s="17" t="s">
        <v>4</v>
      </c>
      <c r="AM81" s="91">
        <v>1667</v>
      </c>
      <c r="AN81" s="91">
        <v>3606</v>
      </c>
      <c r="AO81" s="17" t="s">
        <v>32</v>
      </c>
      <c r="AP81" s="9">
        <v>926</v>
      </c>
      <c r="AQ81" s="9">
        <v>5550</v>
      </c>
      <c r="AR81" s="17">
        <v>882</v>
      </c>
      <c r="AS81" s="63">
        <v>5486</v>
      </c>
      <c r="AT81" s="17" t="s">
        <v>32</v>
      </c>
      <c r="AU81" s="61">
        <v>319</v>
      </c>
      <c r="AV81" s="61">
        <v>49991</v>
      </c>
      <c r="AW81" s="61">
        <v>2026</v>
      </c>
      <c r="AX81" s="61">
        <v>12468</v>
      </c>
      <c r="AY81" s="17" t="s">
        <v>2</v>
      </c>
      <c r="AZ81" s="61">
        <v>142</v>
      </c>
      <c r="BA81" s="61">
        <v>15209</v>
      </c>
      <c r="BB81" s="61">
        <v>106</v>
      </c>
      <c r="BC81" s="61">
        <v>10341</v>
      </c>
      <c r="BD81" s="61">
        <v>64</v>
      </c>
      <c r="BE81" s="61">
        <v>10626</v>
      </c>
    </row>
    <row r="82" spans="1:57" x14ac:dyDescent="0.3">
      <c r="A82" s="76" t="s">
        <v>11</v>
      </c>
      <c r="C82" s="2"/>
      <c r="D82" s="2"/>
      <c r="M82" s="17"/>
      <c r="N82" s="9"/>
      <c r="O82" s="9"/>
      <c r="P82" s="9"/>
      <c r="Q82" s="57"/>
      <c r="R82" s="57"/>
      <c r="S82" s="9"/>
      <c r="AM82" s="91"/>
      <c r="AN82" s="91"/>
      <c r="AP82" s="2"/>
      <c r="AQ82" s="2"/>
      <c r="AU82" s="2"/>
      <c r="AV82" s="2"/>
      <c r="AW82" s="2"/>
      <c r="AX82" s="2"/>
      <c r="AZ82" s="61"/>
      <c r="BA82" s="61"/>
      <c r="BB82" s="61"/>
      <c r="BC82" s="61"/>
      <c r="BD82" s="61"/>
      <c r="BE82" s="61"/>
    </row>
    <row r="83" spans="1:57" x14ac:dyDescent="0.3">
      <c r="A83" s="51" t="s">
        <v>282</v>
      </c>
      <c r="C83" s="2"/>
      <c r="D83" s="2"/>
      <c r="I83" s="17"/>
      <c r="J83" s="57"/>
      <c r="K83" s="59"/>
      <c r="L83" s="59"/>
      <c r="M83" s="17"/>
      <c r="N83" s="9"/>
      <c r="O83" s="9"/>
      <c r="P83" s="9"/>
      <c r="Q83" s="57"/>
      <c r="R83" s="57"/>
      <c r="S83" s="9"/>
      <c r="AM83" s="91"/>
      <c r="AN83" s="91"/>
      <c r="AP83" s="2"/>
      <c r="AQ83" s="2"/>
      <c r="AU83" s="2"/>
      <c r="AV83" s="2"/>
      <c r="AW83" s="2"/>
      <c r="AX83" s="2"/>
      <c r="AZ83" s="61"/>
      <c r="BA83" s="61"/>
      <c r="BB83" s="61"/>
      <c r="BC83" s="61"/>
      <c r="BD83" s="61"/>
      <c r="BE83" s="61"/>
    </row>
    <row r="84" spans="1:57" x14ac:dyDescent="0.3">
      <c r="A84" s="17" t="s">
        <v>70</v>
      </c>
      <c r="C84" s="2"/>
      <c r="D84" s="2"/>
      <c r="H84" s="9"/>
      <c r="N84" s="2"/>
      <c r="O84" s="2"/>
      <c r="P84" s="2"/>
      <c r="Q84" s="2"/>
      <c r="R84" s="2"/>
      <c r="S84" s="2"/>
      <c r="AM84" s="91"/>
      <c r="AN84" s="91"/>
      <c r="AO84" s="17"/>
      <c r="AP84" s="9"/>
      <c r="AQ84" s="61"/>
      <c r="AR84" s="17"/>
      <c r="AS84" s="63"/>
      <c r="AT84" s="17"/>
      <c r="AU84" s="9"/>
      <c r="AV84" s="9"/>
      <c r="AW84" s="9"/>
      <c r="AX84" s="9"/>
      <c r="AY84" s="17"/>
      <c r="AZ84" s="61"/>
      <c r="BA84" s="61"/>
      <c r="BB84" s="61"/>
      <c r="BC84" s="61"/>
      <c r="BD84" s="61"/>
      <c r="BE84" s="61"/>
    </row>
    <row r="85" spans="1:57" x14ac:dyDescent="0.3">
      <c r="A85" s="9" t="s">
        <v>50</v>
      </c>
      <c r="B85" s="17"/>
      <c r="C85" s="57"/>
      <c r="D85" s="66"/>
      <c r="E85" s="58"/>
      <c r="F85" s="92"/>
      <c r="G85" s="92"/>
      <c r="H85" s="93"/>
      <c r="I85" s="17" t="s">
        <v>8</v>
      </c>
      <c r="J85" s="57">
        <v>40</v>
      </c>
      <c r="K85" s="59">
        <v>200</v>
      </c>
      <c r="L85" s="59">
        <v>0</v>
      </c>
      <c r="N85" s="2"/>
      <c r="O85" s="2"/>
      <c r="P85" s="2"/>
      <c r="Q85" s="2"/>
      <c r="R85" s="2"/>
      <c r="S85" s="2"/>
      <c r="T85" s="17"/>
      <c r="U85" s="64"/>
      <c r="V85" s="74"/>
      <c r="W85" s="17"/>
      <c r="X85" s="17"/>
      <c r="Y85" s="17"/>
      <c r="Z85" s="17"/>
      <c r="AA85" s="17"/>
      <c r="AB85" s="17"/>
      <c r="AC85" s="63"/>
      <c r="AD85" s="17"/>
      <c r="AE85" s="63"/>
      <c r="AF85" s="17"/>
      <c r="AG85" s="17"/>
      <c r="AH85" s="63"/>
      <c r="AI85" s="17"/>
      <c r="AJ85" s="65"/>
      <c r="AK85" s="65"/>
      <c r="AL85" s="17"/>
      <c r="AM85" s="65"/>
      <c r="AN85" s="65"/>
      <c r="AO85" s="17"/>
      <c r="AP85" s="61"/>
      <c r="AQ85" s="9"/>
      <c r="AR85" s="63"/>
      <c r="AS85" s="63"/>
      <c r="AT85" s="17"/>
      <c r="AU85" s="9"/>
      <c r="AV85" s="9"/>
      <c r="AW85" s="9"/>
      <c r="AX85" s="9"/>
      <c r="AY85" s="17"/>
      <c r="AZ85" s="61"/>
      <c r="BA85" s="61"/>
      <c r="BB85" s="61"/>
      <c r="BC85" s="61"/>
      <c r="BD85" s="61"/>
      <c r="BE85" s="61"/>
    </row>
    <row r="86" spans="1:57" x14ac:dyDescent="0.3">
      <c r="A86" s="9" t="s">
        <v>347</v>
      </c>
      <c r="B86" s="17"/>
      <c r="C86" s="57"/>
      <c r="D86" s="66"/>
      <c r="E86" s="58"/>
      <c r="F86" s="92"/>
      <c r="G86" s="92"/>
      <c r="H86" s="93"/>
      <c r="I86" s="17"/>
      <c r="J86" s="57"/>
      <c r="K86" s="59"/>
      <c r="L86" s="59"/>
      <c r="N86" s="2"/>
      <c r="O86" s="2"/>
      <c r="P86" s="2"/>
      <c r="Q86" s="2"/>
      <c r="R86" s="2"/>
      <c r="S86" s="2"/>
      <c r="T86" s="17" t="s">
        <v>4</v>
      </c>
      <c r="U86" s="64">
        <v>794</v>
      </c>
      <c r="V86" s="74">
        <v>2089</v>
      </c>
      <c r="W86" s="17">
        <v>336</v>
      </c>
      <c r="X86" s="17">
        <v>968</v>
      </c>
      <c r="Y86" s="17">
        <v>202</v>
      </c>
      <c r="Z86" s="17">
        <v>692</v>
      </c>
      <c r="AA86" s="17" t="s">
        <v>4</v>
      </c>
      <c r="AB86" s="17">
        <v>336</v>
      </c>
      <c r="AC86" s="63">
        <v>1453</v>
      </c>
      <c r="AD86" s="17">
        <v>383</v>
      </c>
      <c r="AE86" s="63">
        <v>1652</v>
      </c>
      <c r="AF86" s="17" t="s">
        <v>4</v>
      </c>
      <c r="AG86" s="63">
        <v>1403</v>
      </c>
      <c r="AH86" s="63">
        <v>7172</v>
      </c>
      <c r="AI86" s="17" t="s">
        <v>4</v>
      </c>
      <c r="AJ86" s="65">
        <v>2347</v>
      </c>
      <c r="AK86" s="65">
        <v>9436</v>
      </c>
      <c r="AL86" s="17" t="s">
        <v>4</v>
      </c>
      <c r="AM86" s="79">
        <v>1232.5</v>
      </c>
      <c r="AN86" s="65">
        <v>6464</v>
      </c>
      <c r="AO86" s="17"/>
      <c r="AP86" s="61"/>
      <c r="AQ86" s="9"/>
      <c r="AR86" s="63"/>
      <c r="AS86" s="63"/>
      <c r="AT86" s="17"/>
      <c r="AU86" s="9"/>
      <c r="AV86" s="9"/>
      <c r="AW86" s="9"/>
      <c r="AX86" s="9"/>
      <c r="AY86" s="17"/>
      <c r="AZ86" s="61"/>
      <c r="BA86" s="61"/>
      <c r="BB86" s="61"/>
      <c r="BC86" s="61"/>
      <c r="BD86" s="61"/>
      <c r="BE86" s="61"/>
    </row>
    <row r="87" spans="1:57" x14ac:dyDescent="0.3">
      <c r="A87" s="17" t="s">
        <v>52</v>
      </c>
      <c r="B87" s="77"/>
      <c r="C87" s="2"/>
      <c r="D87" s="2"/>
      <c r="F87" s="59"/>
      <c r="G87" s="59"/>
      <c r="H87" s="59"/>
      <c r="I87" s="17" t="s">
        <v>53</v>
      </c>
      <c r="J87" s="57">
        <v>329</v>
      </c>
      <c r="K87" s="59">
        <v>208</v>
      </c>
      <c r="L87" s="59">
        <v>0</v>
      </c>
      <c r="N87" s="2"/>
      <c r="O87" s="2"/>
      <c r="P87" s="2"/>
      <c r="Q87" s="2"/>
      <c r="R87" s="2"/>
      <c r="S87" s="2"/>
      <c r="AP87" s="2"/>
      <c r="AQ87" s="2"/>
      <c r="AU87" s="2"/>
      <c r="AV87" s="2"/>
      <c r="AW87" s="2"/>
      <c r="AX87" s="2"/>
      <c r="AZ87" s="61"/>
      <c r="BA87" s="61"/>
      <c r="BB87" s="61"/>
      <c r="BC87" s="61"/>
      <c r="BD87" s="61"/>
      <c r="BE87" s="61"/>
    </row>
    <row r="88" spans="1:57" x14ac:dyDescent="0.3">
      <c r="A88" s="17" t="s">
        <v>55</v>
      </c>
      <c r="B88" s="77"/>
      <c r="C88" s="2"/>
      <c r="D88" s="2"/>
      <c r="E88" s="12" t="s">
        <v>51</v>
      </c>
      <c r="F88" s="59">
        <v>214</v>
      </c>
      <c r="G88" s="59">
        <v>374</v>
      </c>
      <c r="H88" s="59">
        <v>0</v>
      </c>
      <c r="I88" s="17"/>
      <c r="J88" s="57"/>
      <c r="K88" s="59"/>
      <c r="L88" s="59"/>
      <c r="N88" s="2"/>
      <c r="O88" s="2"/>
      <c r="P88" s="2"/>
      <c r="Q88" s="2"/>
      <c r="R88" s="2"/>
      <c r="S88" s="2"/>
      <c r="AP88" s="2"/>
      <c r="AQ88" s="2"/>
      <c r="AU88" s="2"/>
      <c r="AV88" s="2"/>
      <c r="AW88" s="2"/>
      <c r="AX88" s="2"/>
      <c r="AZ88" s="61"/>
      <c r="BA88" s="61"/>
      <c r="BB88" s="61"/>
      <c r="BC88" s="61"/>
      <c r="BD88" s="61"/>
      <c r="BE88" s="61"/>
    </row>
    <row r="89" spans="1:57" x14ac:dyDescent="0.3">
      <c r="A89" s="17" t="s">
        <v>55</v>
      </c>
      <c r="B89" s="77"/>
      <c r="C89" s="2"/>
      <c r="D89" s="2"/>
      <c r="F89" s="59"/>
      <c r="G89" s="59"/>
      <c r="H89" s="59"/>
      <c r="I89" s="17"/>
      <c r="J89" s="57"/>
      <c r="K89" s="59"/>
      <c r="L89" s="59"/>
      <c r="N89" s="2"/>
      <c r="O89" s="2"/>
      <c r="P89" s="2"/>
      <c r="Q89" s="2"/>
      <c r="R89" s="2"/>
      <c r="S89" s="2"/>
      <c r="AP89" s="2"/>
      <c r="AQ89" s="2"/>
      <c r="AU89" s="2"/>
      <c r="AV89" s="2"/>
      <c r="AW89" s="2"/>
      <c r="AX89" s="2"/>
      <c r="AZ89" s="61"/>
      <c r="BA89" s="61"/>
      <c r="BB89" s="61"/>
      <c r="BC89" s="61"/>
      <c r="BD89" s="61"/>
      <c r="BE89" s="61"/>
    </row>
    <row r="90" spans="1:57" x14ac:dyDescent="0.3">
      <c r="A90" s="9" t="s">
        <v>90</v>
      </c>
      <c r="B90" s="17"/>
      <c r="C90" s="57"/>
      <c r="D90" s="66"/>
      <c r="E90" s="58"/>
      <c r="F90" s="92"/>
      <c r="G90" s="92"/>
      <c r="H90" s="93"/>
      <c r="I90" s="17"/>
      <c r="J90" s="57"/>
      <c r="K90" s="59"/>
      <c r="L90" s="59"/>
      <c r="N90" s="2"/>
      <c r="O90" s="2"/>
      <c r="P90" s="2"/>
      <c r="Q90" s="2"/>
      <c r="R90" s="2"/>
      <c r="S90" s="2"/>
      <c r="T90" s="17"/>
      <c r="U90" s="64"/>
      <c r="V90" s="74"/>
      <c r="W90" s="17"/>
      <c r="X90" s="17"/>
      <c r="Y90" s="17"/>
      <c r="Z90" s="17"/>
      <c r="AA90" s="17"/>
      <c r="AB90" s="17"/>
      <c r="AC90" s="63"/>
      <c r="AD90" s="17"/>
      <c r="AE90" s="63"/>
      <c r="AF90" s="17"/>
      <c r="AG90" s="17"/>
      <c r="AH90" s="63"/>
      <c r="AI90" s="17"/>
      <c r="AJ90" s="65"/>
      <c r="AK90" s="65"/>
      <c r="AL90" s="17"/>
      <c r="AM90" s="65"/>
      <c r="AN90" s="65"/>
      <c r="AO90" s="17"/>
      <c r="AP90" s="61"/>
      <c r="AQ90" s="9"/>
      <c r="AR90" s="63"/>
      <c r="AS90" s="63"/>
      <c r="AT90" s="17"/>
      <c r="AU90" s="61"/>
      <c r="AV90" s="61"/>
      <c r="AW90" s="61"/>
      <c r="AX90" s="61"/>
      <c r="AY90" s="17"/>
      <c r="AZ90" s="61"/>
      <c r="BA90" s="61"/>
      <c r="BB90" s="61"/>
      <c r="BC90" s="61"/>
      <c r="BD90" s="61"/>
      <c r="BE90" s="61"/>
    </row>
    <row r="91" spans="1:57" x14ac:dyDescent="0.3">
      <c r="A91" s="17" t="s">
        <v>283</v>
      </c>
      <c r="C91" s="2"/>
      <c r="D91" s="2"/>
      <c r="H91" s="9"/>
      <c r="N91" s="2"/>
      <c r="O91" s="2"/>
      <c r="P91" s="2"/>
      <c r="Q91" s="2"/>
      <c r="R91" s="2"/>
      <c r="S91" s="2"/>
      <c r="AO91" s="17" t="s">
        <v>32</v>
      </c>
      <c r="AP91" s="61">
        <v>21514</v>
      </c>
      <c r="AQ91" s="61">
        <v>137161</v>
      </c>
      <c r="AR91" s="63">
        <v>19787</v>
      </c>
      <c r="AS91" s="63">
        <v>153202</v>
      </c>
      <c r="AT91" s="17" t="s">
        <v>32</v>
      </c>
      <c r="AU91" s="61">
        <v>14618</v>
      </c>
      <c r="AV91" s="61">
        <v>112267</v>
      </c>
      <c r="AW91" s="61">
        <v>14771</v>
      </c>
      <c r="AX91" s="61">
        <v>103394</v>
      </c>
      <c r="AY91" s="17" t="s">
        <v>2</v>
      </c>
      <c r="AZ91" s="61">
        <v>1334</v>
      </c>
      <c r="BA91" s="61">
        <v>178781</v>
      </c>
      <c r="BB91" s="61"/>
      <c r="BC91" s="61"/>
      <c r="BD91" s="61">
        <v>1317</v>
      </c>
      <c r="BE91" s="61">
        <v>214195</v>
      </c>
    </row>
    <row r="92" spans="1:57" x14ac:dyDescent="0.3">
      <c r="A92" s="17" t="s">
        <v>284</v>
      </c>
      <c r="C92" s="2"/>
      <c r="D92" s="2"/>
      <c r="H92" s="9"/>
      <c r="N92" s="2"/>
      <c r="O92" s="2"/>
      <c r="P92" s="2"/>
      <c r="Q92" s="2"/>
      <c r="R92" s="2"/>
      <c r="S92" s="2"/>
      <c r="AJ92" s="65"/>
      <c r="AK92" s="65"/>
      <c r="AM92" s="65"/>
      <c r="AN92" s="65"/>
      <c r="AO92" s="17" t="s">
        <v>32</v>
      </c>
      <c r="AP92" s="9">
        <v>190</v>
      </c>
      <c r="AQ92" s="61">
        <v>5013</v>
      </c>
      <c r="AR92" s="17">
        <v>75</v>
      </c>
      <c r="AS92" s="63">
        <v>1687</v>
      </c>
      <c r="AT92" s="17" t="s">
        <v>32</v>
      </c>
      <c r="AU92" s="61">
        <v>107</v>
      </c>
      <c r="AV92" s="61">
        <v>3072</v>
      </c>
      <c r="AW92" s="61">
        <v>211</v>
      </c>
      <c r="AX92" s="61">
        <v>4675</v>
      </c>
      <c r="AY92" s="17" t="s">
        <v>2</v>
      </c>
      <c r="AZ92" s="61">
        <v>18</v>
      </c>
      <c r="BA92" s="61">
        <v>7015</v>
      </c>
      <c r="BB92" s="61">
        <v>234</v>
      </c>
      <c r="BC92" s="61">
        <v>12683</v>
      </c>
      <c r="BD92" s="61">
        <v>26</v>
      </c>
      <c r="BE92" s="61">
        <v>9380</v>
      </c>
    </row>
    <row r="93" spans="1:57" x14ac:dyDescent="0.3">
      <c r="A93" s="17" t="s">
        <v>285</v>
      </c>
      <c r="AP93" s="2"/>
      <c r="AQ93" s="2"/>
      <c r="AU93" s="2"/>
      <c r="AV93" s="2"/>
      <c r="AW93" s="2"/>
      <c r="AX93" s="2"/>
      <c r="AY93" s="51" t="s">
        <v>2</v>
      </c>
      <c r="AZ93" s="61">
        <v>12</v>
      </c>
      <c r="BA93" s="61">
        <v>3635</v>
      </c>
      <c r="BB93" s="61">
        <v>10</v>
      </c>
      <c r="BC93" s="61">
        <v>3045</v>
      </c>
      <c r="BD93" s="61">
        <v>11</v>
      </c>
      <c r="BE93" s="61">
        <v>3308</v>
      </c>
    </row>
    <row r="94" spans="1:57" x14ac:dyDescent="0.3">
      <c r="A94" s="17" t="s">
        <v>286</v>
      </c>
      <c r="C94" s="2"/>
      <c r="D94" s="2"/>
      <c r="N94" s="2"/>
      <c r="O94" s="2"/>
      <c r="P94" s="2"/>
      <c r="Q94" s="2"/>
      <c r="R94" s="2"/>
      <c r="S94" s="2"/>
      <c r="AO94" s="17"/>
      <c r="AP94" s="9"/>
      <c r="AQ94" s="61"/>
      <c r="AR94" s="17"/>
      <c r="AS94" s="63"/>
      <c r="AT94" s="17" t="s">
        <v>32</v>
      </c>
      <c r="AU94" s="9">
        <v>8462</v>
      </c>
      <c r="AV94" s="9">
        <v>1683</v>
      </c>
      <c r="AW94" s="9">
        <v>4491</v>
      </c>
      <c r="AX94" s="9">
        <v>1671</v>
      </c>
      <c r="AY94" s="17" t="s">
        <v>2</v>
      </c>
      <c r="AZ94" s="61">
        <v>443</v>
      </c>
      <c r="BA94" s="61">
        <v>3161</v>
      </c>
      <c r="BB94" s="61">
        <v>743</v>
      </c>
      <c r="BC94" s="61">
        <v>3835</v>
      </c>
      <c r="BD94" s="61">
        <v>983</v>
      </c>
      <c r="BE94" s="61">
        <v>5284</v>
      </c>
    </row>
    <row r="95" spans="1:57" x14ac:dyDescent="0.3">
      <c r="A95" s="76" t="s">
        <v>18</v>
      </c>
      <c r="B95" s="17" t="s">
        <v>36</v>
      </c>
      <c r="C95" s="57">
        <v>316</v>
      </c>
      <c r="D95" s="57">
        <v>144</v>
      </c>
      <c r="M95" s="17" t="s">
        <v>26</v>
      </c>
      <c r="N95" s="9">
        <v>606</v>
      </c>
      <c r="O95" s="9">
        <v>560</v>
      </c>
      <c r="P95" s="9">
        <v>0</v>
      </c>
      <c r="Q95" s="57">
        <v>682</v>
      </c>
      <c r="R95" s="57">
        <v>496</v>
      </c>
      <c r="S95" s="9">
        <v>10</v>
      </c>
      <c r="AG95" s="63"/>
      <c r="AP95" s="2"/>
      <c r="AQ95" s="2"/>
      <c r="AU95" s="2"/>
      <c r="AV95" s="2"/>
      <c r="AW95" s="2"/>
      <c r="AX95" s="2"/>
      <c r="AZ95" s="61"/>
      <c r="BA95" s="61"/>
      <c r="BB95" s="61"/>
      <c r="BC95" s="61"/>
      <c r="BD95" s="61"/>
      <c r="BE95" s="61"/>
    </row>
    <row r="96" spans="1:57" x14ac:dyDescent="0.3">
      <c r="A96" s="17" t="s">
        <v>87</v>
      </c>
      <c r="B96" s="17" t="s">
        <v>25</v>
      </c>
      <c r="C96" s="57">
        <v>53</v>
      </c>
      <c r="D96" s="66">
        <v>1100</v>
      </c>
      <c r="E96" s="58" t="s">
        <v>21</v>
      </c>
      <c r="F96" s="70">
        <v>240</v>
      </c>
      <c r="G96" s="70">
        <v>1920</v>
      </c>
      <c r="H96" s="94">
        <v>0</v>
      </c>
      <c r="I96" s="17" t="s">
        <v>25</v>
      </c>
      <c r="J96" s="57">
        <v>119</v>
      </c>
      <c r="K96" s="60">
        <v>892</v>
      </c>
      <c r="L96" s="60">
        <v>10</v>
      </c>
      <c r="N96" s="2"/>
      <c r="O96" s="2"/>
      <c r="P96" s="2"/>
      <c r="Q96" s="2"/>
      <c r="R96" s="2"/>
      <c r="S96" s="2"/>
      <c r="AK96" s="65"/>
      <c r="AO96" s="17"/>
      <c r="AP96" s="61"/>
      <c r="AQ96" s="9"/>
      <c r="AR96" s="63"/>
      <c r="AS96" s="63"/>
      <c r="AT96" s="17"/>
      <c r="AU96" s="9"/>
      <c r="AV96" s="9"/>
      <c r="AW96" s="9"/>
      <c r="AX96" s="9"/>
      <c r="AY96" s="17"/>
      <c r="AZ96" s="61"/>
      <c r="BA96" s="61"/>
      <c r="BB96" s="61"/>
      <c r="BC96" s="61"/>
      <c r="BD96" s="61"/>
      <c r="BE96" s="61"/>
    </row>
    <row r="97" spans="1:80" x14ac:dyDescent="0.3">
      <c r="A97" s="51" t="s">
        <v>12</v>
      </c>
      <c r="C97" s="2"/>
      <c r="D97" s="2"/>
      <c r="I97" s="17"/>
      <c r="J97" s="57"/>
      <c r="K97" s="59"/>
      <c r="L97" s="59"/>
      <c r="M97" s="17"/>
      <c r="N97" s="9"/>
      <c r="O97" s="9"/>
      <c r="P97" s="9"/>
      <c r="Q97" s="57"/>
      <c r="R97" s="57"/>
      <c r="S97" s="9"/>
      <c r="T97" s="17" t="s">
        <v>32</v>
      </c>
      <c r="Y97" s="63">
        <v>50752</v>
      </c>
      <c r="Z97" s="63">
        <v>17146</v>
      </c>
      <c r="AA97" s="17"/>
      <c r="AB97" s="17"/>
      <c r="AC97" s="17"/>
      <c r="AI97" s="51" t="s">
        <v>4</v>
      </c>
      <c r="AJ97" s="65">
        <v>9724</v>
      </c>
      <c r="AK97" s="65">
        <v>3943</v>
      </c>
      <c r="AL97" s="51" t="s">
        <v>4</v>
      </c>
      <c r="AM97" s="65">
        <v>5013</v>
      </c>
      <c r="AN97" s="65">
        <v>1279</v>
      </c>
      <c r="AP97" s="2"/>
      <c r="AQ97" s="2"/>
      <c r="AU97" s="2"/>
      <c r="AV97" s="2"/>
      <c r="AW97" s="2"/>
      <c r="AX97" s="2"/>
      <c r="AZ97" s="61"/>
      <c r="BA97" s="61"/>
      <c r="BB97" s="61"/>
      <c r="BC97" s="61"/>
      <c r="BD97" s="61"/>
      <c r="BE97" s="61"/>
    </row>
    <row r="98" spans="1:80" x14ac:dyDescent="0.3">
      <c r="A98" s="17" t="s">
        <v>61</v>
      </c>
      <c r="B98" s="17"/>
      <c r="C98" s="57"/>
      <c r="D98" s="57"/>
      <c r="N98" s="2"/>
      <c r="O98" s="2"/>
      <c r="P98" s="2"/>
      <c r="Q98" s="2"/>
      <c r="R98" s="2"/>
      <c r="S98" s="2"/>
      <c r="AO98" s="17" t="s">
        <v>32</v>
      </c>
      <c r="AP98" s="61">
        <v>7621</v>
      </c>
      <c r="AQ98" s="61">
        <v>2514</v>
      </c>
      <c r="AR98" s="63">
        <v>2930</v>
      </c>
      <c r="AS98" s="63">
        <v>1056</v>
      </c>
      <c r="AT98" s="17" t="s">
        <v>32</v>
      </c>
      <c r="AU98" s="9">
        <v>47689</v>
      </c>
      <c r="AV98" s="9">
        <v>4993</v>
      </c>
      <c r="AW98" s="9">
        <v>20250</v>
      </c>
      <c r="AX98" s="9">
        <v>4115</v>
      </c>
      <c r="AY98" s="17" t="s">
        <v>2</v>
      </c>
      <c r="AZ98" s="61">
        <v>870</v>
      </c>
      <c r="BA98" s="61">
        <v>5598</v>
      </c>
      <c r="BB98" s="61">
        <v>671</v>
      </c>
      <c r="BC98" s="61">
        <v>5478</v>
      </c>
      <c r="BD98" s="61">
        <v>1832</v>
      </c>
      <c r="BE98" s="61">
        <v>15455</v>
      </c>
    </row>
    <row r="99" spans="1:80" x14ac:dyDescent="0.3">
      <c r="A99" s="17" t="s">
        <v>71</v>
      </c>
      <c r="C99" s="2"/>
      <c r="D99" s="2"/>
      <c r="H99" s="9"/>
      <c r="N99" s="2"/>
      <c r="O99" s="2"/>
      <c r="P99" s="2"/>
      <c r="Q99" s="2"/>
      <c r="R99" s="2"/>
      <c r="S99" s="2"/>
      <c r="AO99" s="17" t="s">
        <v>32</v>
      </c>
      <c r="AP99" s="9"/>
      <c r="AQ99" s="9"/>
      <c r="AR99" s="17">
        <v>142</v>
      </c>
      <c r="AS99" s="17">
        <v>189</v>
      </c>
      <c r="AT99" s="17" t="s">
        <v>32</v>
      </c>
      <c r="AU99" s="9">
        <v>252</v>
      </c>
      <c r="AV99" s="9">
        <v>407</v>
      </c>
      <c r="AW99" s="9">
        <v>88</v>
      </c>
      <c r="AX99" s="9">
        <v>118</v>
      </c>
      <c r="AY99" s="17" t="s">
        <v>2</v>
      </c>
      <c r="AZ99" s="61">
        <v>8</v>
      </c>
      <c r="BA99" s="61">
        <v>246</v>
      </c>
      <c r="BB99" s="61">
        <v>4</v>
      </c>
      <c r="BC99" s="61">
        <v>153</v>
      </c>
      <c r="BD99" s="61">
        <v>12</v>
      </c>
      <c r="BE99" s="61">
        <v>291</v>
      </c>
    </row>
    <row r="100" spans="1:80" x14ac:dyDescent="0.3">
      <c r="A100" s="17" t="s">
        <v>287</v>
      </c>
      <c r="C100" s="2"/>
      <c r="D100" s="2"/>
      <c r="H100" s="9"/>
      <c r="N100" s="2"/>
      <c r="O100" s="2"/>
      <c r="P100" s="2"/>
      <c r="Q100" s="2"/>
      <c r="R100" s="2"/>
      <c r="S100" s="2"/>
      <c r="AO100" s="17" t="s">
        <v>32</v>
      </c>
      <c r="AP100" s="9">
        <v>94</v>
      </c>
      <c r="AQ100" s="61">
        <v>1316</v>
      </c>
      <c r="AR100" s="17">
        <v>40</v>
      </c>
      <c r="AS100" s="17">
        <v>552</v>
      </c>
      <c r="AT100" s="17" t="s">
        <v>32</v>
      </c>
      <c r="AU100" s="9">
        <v>22</v>
      </c>
      <c r="AV100" s="9">
        <v>229</v>
      </c>
      <c r="AW100" s="9">
        <v>113</v>
      </c>
      <c r="AX100" s="9">
        <v>1855</v>
      </c>
      <c r="AY100" s="17"/>
      <c r="AZ100" s="2"/>
      <c r="BA100" s="2"/>
      <c r="BB100" s="2"/>
      <c r="BC100" s="2"/>
      <c r="BD100" s="2"/>
      <c r="BE100" s="2"/>
    </row>
    <row r="101" spans="1:80" x14ac:dyDescent="0.3">
      <c r="A101" s="17" t="s">
        <v>24</v>
      </c>
      <c r="B101" s="77"/>
      <c r="C101" s="2"/>
      <c r="D101" s="2"/>
      <c r="E101" s="12" t="s">
        <v>8</v>
      </c>
      <c r="F101" s="60">
        <v>36</v>
      </c>
      <c r="G101" s="60">
        <v>5142</v>
      </c>
      <c r="H101" s="60">
        <v>0</v>
      </c>
      <c r="I101" s="17"/>
      <c r="J101" s="57"/>
      <c r="K101" s="59"/>
      <c r="L101" s="60"/>
      <c r="N101" s="2"/>
      <c r="O101" s="2"/>
      <c r="P101" s="2"/>
      <c r="Q101" s="2"/>
      <c r="R101" s="2"/>
      <c r="S101" s="2"/>
      <c r="AP101" s="2"/>
      <c r="AQ101" s="2"/>
      <c r="AU101" s="2"/>
      <c r="AV101" s="2"/>
      <c r="AW101" s="2"/>
      <c r="AX101" s="2"/>
      <c r="AZ101" s="61"/>
      <c r="BA101" s="61"/>
      <c r="BB101" s="61"/>
      <c r="BC101" s="61"/>
      <c r="BD101" s="61"/>
      <c r="BE101" s="61"/>
    </row>
    <row r="102" spans="1:80" x14ac:dyDescent="0.3">
      <c r="C102" s="2"/>
      <c r="D102" s="2"/>
      <c r="N102" s="2"/>
      <c r="O102" s="2"/>
      <c r="P102" s="2"/>
      <c r="Q102" s="2"/>
      <c r="R102" s="2"/>
      <c r="S102" s="2"/>
      <c r="AP102" s="2"/>
      <c r="AQ102" s="2"/>
      <c r="AU102" s="2"/>
      <c r="AV102" s="2"/>
      <c r="AW102" s="2"/>
      <c r="AX102" s="2"/>
      <c r="AZ102" s="61"/>
      <c r="BA102" s="61"/>
      <c r="BB102" s="61"/>
      <c r="BC102" s="61"/>
      <c r="BD102" s="61"/>
      <c r="BE102" s="61"/>
    </row>
    <row r="104" spans="1:80" x14ac:dyDescent="0.3">
      <c r="A104" s="1" t="s">
        <v>99</v>
      </c>
      <c r="B104" s="2"/>
      <c r="E104" s="51"/>
      <c r="F104" s="3"/>
      <c r="H104" s="51"/>
      <c r="J104" s="3"/>
      <c r="K104" s="51"/>
      <c r="L104" s="51"/>
      <c r="M104" s="2"/>
      <c r="N104" s="3"/>
      <c r="R104" s="3"/>
      <c r="V104" s="3"/>
      <c r="Y104" s="3"/>
      <c r="Z104" s="2"/>
      <c r="AB104" s="3"/>
      <c r="AF104" s="3"/>
      <c r="AI104" s="3"/>
      <c r="AM104" s="3"/>
      <c r="AO104" s="3"/>
      <c r="AQ104" s="2"/>
      <c r="AS104" s="3"/>
      <c r="AW104" s="3"/>
      <c r="BA104" s="3"/>
      <c r="BD104" s="3"/>
      <c r="BH104" s="3"/>
      <c r="BK104" s="3"/>
      <c r="BO104" s="3"/>
      <c r="BR104" s="3"/>
      <c r="BU104" s="3"/>
      <c r="BY104" s="3"/>
      <c r="CB104" s="3"/>
    </row>
    <row r="105" spans="1:80" s="2" customFormat="1" x14ac:dyDescent="0.3">
      <c r="A105" s="2" t="s">
        <v>100</v>
      </c>
      <c r="B105" s="2">
        <v>1</v>
      </c>
      <c r="C105" s="3" t="s">
        <v>101</v>
      </c>
      <c r="D105" s="95">
        <v>108</v>
      </c>
      <c r="E105" s="3" t="s">
        <v>102</v>
      </c>
      <c r="H105" s="95"/>
      <c r="I105" s="3"/>
      <c r="K105" s="5"/>
      <c r="M105" s="3"/>
      <c r="O105" s="95"/>
      <c r="P105" s="4"/>
      <c r="Q105" s="3"/>
      <c r="R105" s="12"/>
      <c r="T105" s="95"/>
      <c r="U105" s="3"/>
      <c r="X105" s="3"/>
      <c r="Z105" s="95"/>
      <c r="AA105" s="3"/>
      <c r="AE105" s="3"/>
      <c r="AG105" s="95"/>
      <c r="AH105" s="3"/>
      <c r="AK105" s="95"/>
      <c r="AL105" s="3"/>
      <c r="AQ105" s="95"/>
      <c r="AR105" s="3"/>
      <c r="AU105" s="95"/>
      <c r="AV105" s="3"/>
      <c r="AY105" s="95"/>
      <c r="AZ105" s="3"/>
      <c r="BC105" s="3"/>
      <c r="BE105" s="95"/>
      <c r="BG105" s="3"/>
      <c r="BI105" s="95"/>
      <c r="BJ105" s="3"/>
      <c r="BN105" s="3"/>
      <c r="BQ105" s="3"/>
      <c r="BT105" s="3"/>
      <c r="BX105" s="3"/>
      <c r="CA105" s="3"/>
    </row>
    <row r="106" spans="1:80" s="2" customFormat="1" x14ac:dyDescent="0.3">
      <c r="A106" s="2" t="s">
        <v>100</v>
      </c>
      <c r="B106" s="2">
        <v>1</v>
      </c>
      <c r="C106" s="3" t="s">
        <v>103</v>
      </c>
      <c r="D106" s="95">
        <v>32.5</v>
      </c>
      <c r="E106" s="3" t="s">
        <v>102</v>
      </c>
      <c r="H106" s="95"/>
      <c r="I106" s="3"/>
      <c r="M106" s="3"/>
      <c r="N106" s="51"/>
      <c r="O106" s="95"/>
      <c r="Q106" s="3"/>
      <c r="R106" s="12"/>
      <c r="T106" s="95"/>
      <c r="U106" s="3"/>
      <c r="X106" s="3"/>
      <c r="Z106" s="95"/>
      <c r="AA106" s="3"/>
      <c r="AE106" s="3"/>
      <c r="AG106" s="95"/>
      <c r="AH106" s="3"/>
      <c r="AK106" s="95"/>
      <c r="AL106" s="3"/>
      <c r="AQ106" s="95"/>
      <c r="AR106" s="3"/>
      <c r="AU106" s="95"/>
      <c r="AV106" s="3"/>
      <c r="AY106" s="95"/>
      <c r="AZ106" s="3"/>
      <c r="BC106" s="3"/>
      <c r="BE106" s="95"/>
      <c r="BG106" s="3"/>
      <c r="BI106" s="95"/>
      <c r="BJ106" s="3"/>
      <c r="BN106" s="3"/>
      <c r="BQ106" s="3"/>
      <c r="BT106" s="3"/>
      <c r="BX106" s="3"/>
      <c r="CA106" s="3"/>
    </row>
    <row r="107" spans="1:80" x14ac:dyDescent="0.3">
      <c r="A107" s="2"/>
      <c r="B107" s="2">
        <v>1</v>
      </c>
      <c r="C107" s="3" t="s">
        <v>104</v>
      </c>
      <c r="D107" s="95">
        <v>6.5</v>
      </c>
      <c r="E107" s="6" t="s">
        <v>102</v>
      </c>
      <c r="G107" s="3"/>
      <c r="H107" s="95"/>
      <c r="I107" s="3"/>
      <c r="J107" s="3"/>
      <c r="K107" s="95"/>
      <c r="L107" s="3"/>
      <c r="M107" s="3"/>
      <c r="O107" s="95"/>
      <c r="Q107" s="3"/>
      <c r="T107" s="95"/>
      <c r="U107" s="3"/>
      <c r="W107" s="12"/>
      <c r="X107" s="3"/>
      <c r="Z107" s="95"/>
      <c r="AA107" s="3"/>
      <c r="AE107" s="3"/>
      <c r="AG107" s="95"/>
      <c r="AH107" s="3"/>
      <c r="AK107" s="95"/>
      <c r="AL107" s="3"/>
      <c r="AQ107" s="95"/>
      <c r="AR107" s="3"/>
      <c r="AU107" s="95"/>
      <c r="AV107" s="3"/>
      <c r="AY107" s="95"/>
      <c r="AZ107" s="3"/>
      <c r="BC107" s="3"/>
      <c r="BE107" s="95"/>
      <c r="BG107" s="3"/>
      <c r="BI107" s="95"/>
      <c r="BJ107" s="3"/>
      <c r="BN107" s="3"/>
      <c r="BQ107" s="3"/>
      <c r="BT107" s="3"/>
      <c r="BX107" s="3"/>
      <c r="CA107" s="3"/>
    </row>
    <row r="108" spans="1:80" x14ac:dyDescent="0.3">
      <c r="A108" s="2"/>
      <c r="B108" s="2">
        <v>1</v>
      </c>
      <c r="C108" s="3" t="s">
        <v>105</v>
      </c>
      <c r="D108" s="95">
        <v>112</v>
      </c>
      <c r="E108" s="3" t="s">
        <v>106</v>
      </c>
      <c r="G108" s="3"/>
      <c r="H108" s="95"/>
      <c r="I108" s="3"/>
      <c r="J108" s="3"/>
      <c r="K108" s="95"/>
      <c r="L108" s="3"/>
      <c r="M108" s="3"/>
      <c r="O108" s="95"/>
      <c r="Q108" s="3"/>
      <c r="T108" s="95"/>
      <c r="U108" s="3"/>
      <c r="W108" s="12"/>
      <c r="X108" s="3"/>
      <c r="Z108" s="95"/>
      <c r="AA108" s="3"/>
      <c r="AE108" s="3"/>
      <c r="AG108" s="95"/>
      <c r="AH108" s="3"/>
      <c r="AK108" s="95"/>
      <c r="AL108" s="3"/>
      <c r="AQ108" s="95"/>
      <c r="AR108" s="3"/>
      <c r="AU108" s="95"/>
      <c r="AV108" s="3"/>
      <c r="AY108" s="95"/>
      <c r="AZ108" s="3"/>
      <c r="BC108" s="3"/>
      <c r="BE108" s="95"/>
      <c r="BG108" s="3"/>
      <c r="BI108" s="95"/>
      <c r="BJ108" s="3"/>
      <c r="BN108" s="3"/>
      <c r="BQ108" s="3"/>
      <c r="BT108" s="3"/>
      <c r="BX108" s="3"/>
      <c r="CA108" s="3"/>
    </row>
    <row r="109" spans="1:80" x14ac:dyDescent="0.3">
      <c r="A109" s="2"/>
      <c r="B109" s="2">
        <v>1</v>
      </c>
      <c r="C109" s="3" t="s">
        <v>105</v>
      </c>
      <c r="D109" s="95">
        <f>D108/D107</f>
        <v>17.23076923076923</v>
      </c>
      <c r="E109" s="3" t="s">
        <v>104</v>
      </c>
      <c r="G109" s="95"/>
      <c r="H109" s="95"/>
      <c r="I109" s="3"/>
      <c r="J109" s="95"/>
      <c r="K109" s="51"/>
      <c r="L109" s="95"/>
      <c r="M109" s="3"/>
      <c r="O109" s="95"/>
      <c r="P109" s="95"/>
      <c r="Q109" s="3"/>
      <c r="T109" s="95"/>
      <c r="U109" s="3"/>
      <c r="V109" s="12"/>
      <c r="W109" s="2"/>
      <c r="X109" s="3"/>
      <c r="Z109" s="95"/>
      <c r="AA109" s="3"/>
      <c r="AE109" s="3"/>
      <c r="AG109" s="95"/>
      <c r="AH109" s="3"/>
      <c r="AK109" s="95"/>
      <c r="AL109" s="3"/>
      <c r="AN109" s="12"/>
      <c r="AQ109" s="95"/>
      <c r="AR109" s="3"/>
      <c r="AU109" s="95"/>
      <c r="AV109" s="3"/>
      <c r="AY109" s="95"/>
      <c r="AZ109" s="3"/>
      <c r="BC109" s="3"/>
      <c r="BE109" s="95"/>
      <c r="BG109" s="3"/>
      <c r="BI109" s="95"/>
      <c r="BJ109" s="3"/>
      <c r="BN109" s="3"/>
      <c r="BQ109" s="3"/>
      <c r="BT109" s="3"/>
      <c r="BX109" s="3"/>
      <c r="CA109" s="3"/>
    </row>
    <row r="110" spans="1:80" s="2" customFormat="1" ht="15" customHeight="1" x14ac:dyDescent="0.3">
      <c r="B110" s="154">
        <v>1</v>
      </c>
      <c r="C110" s="155" t="s">
        <v>107</v>
      </c>
      <c r="D110" s="156">
        <v>130</v>
      </c>
      <c r="E110" s="157" t="s">
        <v>102</v>
      </c>
      <c r="F110" s="7"/>
      <c r="G110" s="8"/>
      <c r="H110" s="96"/>
      <c r="I110" s="3"/>
      <c r="J110" s="8"/>
      <c r="K110" s="8"/>
      <c r="L110" s="8"/>
      <c r="M110" s="3"/>
      <c r="N110" s="8"/>
      <c r="O110" s="96"/>
      <c r="P110" s="8"/>
      <c r="Q110" s="3"/>
      <c r="R110" s="8"/>
      <c r="S110" s="8"/>
      <c r="T110" s="96"/>
      <c r="U110" s="3"/>
      <c r="V110" s="8"/>
      <c r="X110" s="3"/>
      <c r="Z110" s="96"/>
      <c r="AA110" s="3"/>
      <c r="AE110" s="3"/>
      <c r="AG110" s="96"/>
      <c r="AH110" s="3"/>
      <c r="AK110" s="96"/>
      <c r="AL110" s="3"/>
      <c r="AQ110" s="96"/>
      <c r="AR110" s="3"/>
      <c r="AU110" s="96"/>
      <c r="AV110" s="3"/>
      <c r="AY110" s="96"/>
      <c r="AZ110" s="3"/>
      <c r="BC110" s="3"/>
      <c r="BE110" s="96"/>
      <c r="BG110" s="3"/>
      <c r="BI110" s="96"/>
      <c r="BJ110" s="3"/>
      <c r="BN110" s="3"/>
      <c r="BQ110" s="3"/>
      <c r="BT110" s="3"/>
      <c r="BX110" s="3"/>
      <c r="CA110" s="3"/>
    </row>
    <row r="111" spans="1:80" s="2" customFormat="1" ht="28.8" customHeight="1" x14ac:dyDescent="0.3">
      <c r="B111" s="154"/>
      <c r="C111" s="155"/>
      <c r="D111" s="156"/>
      <c r="E111" s="157"/>
      <c r="H111" s="96"/>
      <c r="I111" s="51"/>
      <c r="M111" s="51"/>
      <c r="O111" s="96"/>
      <c r="Q111" s="51"/>
      <c r="T111" s="96"/>
      <c r="U111" s="51"/>
      <c r="X111" s="51"/>
      <c r="Z111" s="96"/>
      <c r="AA111" s="51"/>
      <c r="AE111" s="51"/>
      <c r="AG111" s="96"/>
      <c r="AH111" s="51"/>
      <c r="AK111" s="96"/>
      <c r="AL111" s="51"/>
      <c r="AQ111" s="96"/>
      <c r="AR111" s="51"/>
      <c r="AU111" s="96"/>
      <c r="AV111" s="51"/>
      <c r="AY111" s="96"/>
      <c r="AZ111" s="51"/>
      <c r="BC111" s="51"/>
      <c r="BE111" s="96"/>
      <c r="BG111" s="51"/>
      <c r="BI111" s="96"/>
      <c r="BJ111" s="51"/>
      <c r="BN111" s="51"/>
      <c r="BQ111" s="51"/>
      <c r="BT111" s="51"/>
      <c r="BX111" s="51"/>
      <c r="CA111" s="51"/>
    </row>
    <row r="112" spans="1:80" s="2" customFormat="1" x14ac:dyDescent="0.3">
      <c r="B112" s="9">
        <v>1</v>
      </c>
      <c r="C112" s="3" t="s">
        <v>108</v>
      </c>
      <c r="D112" s="95">
        <v>260</v>
      </c>
      <c r="E112" s="3" t="s">
        <v>102</v>
      </c>
      <c r="H112" s="95"/>
      <c r="I112" s="3"/>
      <c r="M112" s="3"/>
      <c r="O112" s="95"/>
      <c r="Q112" s="3"/>
      <c r="T112" s="95"/>
      <c r="U112" s="3"/>
      <c r="X112" s="3"/>
      <c r="Z112" s="95"/>
      <c r="AA112" s="3"/>
      <c r="AE112" s="3"/>
      <c r="AG112" s="95"/>
      <c r="AH112" s="3"/>
      <c r="AK112" s="95"/>
      <c r="AL112" s="3"/>
      <c r="AQ112" s="95"/>
      <c r="AR112" s="3"/>
      <c r="AU112" s="95"/>
      <c r="AV112" s="3"/>
      <c r="AY112" s="95"/>
      <c r="AZ112" s="3"/>
      <c r="BC112" s="3"/>
      <c r="BE112" s="95"/>
      <c r="BG112" s="3"/>
      <c r="BI112" s="95"/>
      <c r="BJ112" s="3"/>
      <c r="BN112" s="3"/>
      <c r="BQ112" s="3"/>
      <c r="BT112" s="3"/>
      <c r="BX112" s="3"/>
      <c r="CA112" s="3"/>
    </row>
    <row r="113" spans="1:79" s="2" customFormat="1" x14ac:dyDescent="0.3">
      <c r="B113" s="9">
        <v>1</v>
      </c>
      <c r="C113" s="3" t="s">
        <v>352</v>
      </c>
      <c r="D113" s="95">
        <f>D110/D108</f>
        <v>1.1607142857142858</v>
      </c>
      <c r="E113" s="3" t="s">
        <v>109</v>
      </c>
      <c r="H113" s="95"/>
      <c r="I113" s="3"/>
      <c r="M113" s="3"/>
      <c r="O113" s="95"/>
      <c r="Q113" s="3"/>
      <c r="T113" s="95"/>
      <c r="U113" s="3"/>
      <c r="X113" s="3"/>
      <c r="Z113" s="95"/>
      <c r="AA113" s="3"/>
      <c r="AE113" s="3"/>
      <c r="AG113" s="95"/>
      <c r="AH113" s="3"/>
      <c r="AK113" s="95"/>
      <c r="AL113" s="3"/>
      <c r="AQ113" s="95"/>
      <c r="AR113" s="3"/>
      <c r="AU113" s="95"/>
      <c r="AV113" s="3"/>
      <c r="AY113" s="95"/>
      <c r="AZ113" s="3"/>
      <c r="BC113" s="3"/>
      <c r="BE113" s="95"/>
      <c r="BG113" s="3"/>
      <c r="BI113" s="95"/>
      <c r="BJ113" s="3"/>
      <c r="BN113" s="3"/>
      <c r="BQ113" s="3"/>
      <c r="BT113" s="3"/>
      <c r="BX113" s="3"/>
      <c r="CA113" s="3"/>
    </row>
    <row r="114" spans="1:79" s="2" customFormat="1" x14ac:dyDescent="0.3">
      <c r="B114" s="9">
        <v>1</v>
      </c>
      <c r="C114" s="3" t="s">
        <v>108</v>
      </c>
      <c r="D114" s="95">
        <f>D112/D108</f>
        <v>2.3214285714285716</v>
      </c>
      <c r="E114" s="3" t="s">
        <v>109</v>
      </c>
      <c r="H114" s="95"/>
      <c r="I114" s="3"/>
      <c r="M114" s="3"/>
      <c r="O114" s="95"/>
      <c r="Q114" s="3"/>
      <c r="T114" s="95"/>
      <c r="U114" s="3"/>
      <c r="X114" s="3"/>
      <c r="Z114" s="95"/>
      <c r="AA114" s="3"/>
      <c r="AE114" s="3"/>
      <c r="AG114" s="95"/>
      <c r="AH114" s="3"/>
      <c r="AK114" s="95"/>
      <c r="AL114" s="3"/>
      <c r="AQ114" s="95"/>
      <c r="AR114" s="3"/>
      <c r="AU114" s="95"/>
      <c r="AV114" s="3"/>
      <c r="AY114" s="95"/>
      <c r="AZ114" s="3"/>
      <c r="BC114" s="3"/>
      <c r="BE114" s="95"/>
      <c r="BG114" s="3"/>
      <c r="BI114" s="95"/>
      <c r="BJ114" s="3"/>
      <c r="BN114" s="3"/>
      <c r="BQ114" s="3"/>
      <c r="BT114" s="3"/>
      <c r="BX114" s="3"/>
      <c r="CA114" s="3"/>
    </row>
    <row r="115" spans="1:79" x14ac:dyDescent="0.3">
      <c r="A115" s="2"/>
      <c r="B115" s="9">
        <v>1</v>
      </c>
      <c r="C115" s="3" t="s">
        <v>110</v>
      </c>
      <c r="D115" s="95">
        <v>20</v>
      </c>
      <c r="E115" s="3" t="s">
        <v>109</v>
      </c>
      <c r="F115" s="97">
        <f>D115*D108</f>
        <v>2240</v>
      </c>
      <c r="G115" s="3" t="s">
        <v>102</v>
      </c>
      <c r="H115" s="97">
        <f>F115/D117</f>
        <v>420</v>
      </c>
      <c r="I115" s="11" t="s">
        <v>111</v>
      </c>
      <c r="J115" s="97">
        <f>F115/D116</f>
        <v>1016.048117135833</v>
      </c>
      <c r="K115" s="3" t="s">
        <v>112</v>
      </c>
      <c r="L115" s="10"/>
      <c r="P115" s="10"/>
      <c r="T115" s="10"/>
      <c r="V115" s="2"/>
      <c r="W115" s="10"/>
      <c r="Z115" s="10"/>
      <c r="AA115" s="12"/>
      <c r="AB115" s="12"/>
      <c r="AD115" s="10"/>
      <c r="AG115" s="10"/>
      <c r="AK115" s="10"/>
      <c r="AQ115" s="10"/>
      <c r="AR115" s="12"/>
      <c r="AU115" s="10"/>
      <c r="AY115" s="10"/>
      <c r="BB115" s="10"/>
      <c r="BF115" s="10"/>
      <c r="BI115" s="10"/>
      <c r="BM115" s="10"/>
      <c r="BP115" s="10"/>
      <c r="BS115" s="10"/>
      <c r="BW115" s="10"/>
      <c r="BZ115" s="10"/>
    </row>
    <row r="116" spans="1:79" x14ac:dyDescent="0.3">
      <c r="A116" s="2"/>
      <c r="B116" s="9">
        <v>1</v>
      </c>
      <c r="C116" s="3" t="s">
        <v>113</v>
      </c>
      <c r="D116" s="95">
        <v>2.2046199999999998</v>
      </c>
      <c r="E116" s="3" t="s">
        <v>102</v>
      </c>
      <c r="F116" s="97">
        <f>D116/D108</f>
        <v>1.9684107142857142E-2</v>
      </c>
      <c r="G116" s="11" t="s">
        <v>109</v>
      </c>
      <c r="H116" s="51"/>
      <c r="I116" s="12"/>
      <c r="J116" s="12"/>
      <c r="K116" s="51"/>
      <c r="L116" s="10"/>
      <c r="P116" s="10"/>
      <c r="T116" s="10"/>
      <c r="V116" s="2"/>
      <c r="W116" s="10"/>
      <c r="Z116" s="10"/>
      <c r="AA116" s="12"/>
      <c r="AB116" s="12"/>
      <c r="AD116" s="10"/>
      <c r="AG116" s="10"/>
      <c r="AK116" s="10"/>
      <c r="AQ116" s="10"/>
      <c r="AR116" s="12"/>
      <c r="AU116" s="10"/>
      <c r="AY116" s="10"/>
      <c r="BB116" s="10"/>
      <c r="BF116" s="10"/>
      <c r="BI116" s="10"/>
      <c r="BM116" s="10"/>
      <c r="BP116" s="10"/>
      <c r="BS116" s="10"/>
      <c r="BW116" s="10"/>
      <c r="BZ116" s="10"/>
    </row>
    <row r="117" spans="1:79" x14ac:dyDescent="0.3">
      <c r="A117" s="2"/>
      <c r="B117" s="9">
        <v>1</v>
      </c>
      <c r="C117" s="3" t="s">
        <v>114</v>
      </c>
      <c r="D117" s="95">
        <f>16/3</f>
        <v>5.333333333333333</v>
      </c>
      <c r="E117" s="3" t="s">
        <v>102</v>
      </c>
      <c r="F117" s="97">
        <f>D117/D108</f>
        <v>4.7619047619047616E-2</v>
      </c>
      <c r="G117" s="11" t="s">
        <v>109</v>
      </c>
      <c r="H117" s="51"/>
      <c r="I117" s="12"/>
      <c r="J117" s="12"/>
      <c r="K117" s="51"/>
      <c r="L117" s="3"/>
      <c r="P117" s="3"/>
      <c r="T117" s="3"/>
      <c r="V117" s="2"/>
      <c r="W117" s="3"/>
      <c r="Z117" s="3"/>
      <c r="AA117" s="12"/>
      <c r="AB117" s="12"/>
      <c r="AD117" s="3"/>
      <c r="AG117" s="3"/>
      <c r="AK117" s="3"/>
      <c r="AQ117" s="3"/>
      <c r="AR117" s="12"/>
      <c r="AU117" s="3"/>
      <c r="AY117" s="3"/>
      <c r="BB117" s="3"/>
      <c r="BF117" s="3"/>
      <c r="BI117" s="3"/>
      <c r="BM117" s="3"/>
      <c r="BP117" s="3"/>
      <c r="BS117" s="3"/>
      <c r="BW117" s="3"/>
      <c r="BZ117" s="3"/>
    </row>
    <row r="118" spans="1:79" x14ac:dyDescent="0.3">
      <c r="A118" s="2"/>
      <c r="B118" s="9">
        <v>1</v>
      </c>
      <c r="C118" s="3" t="s">
        <v>115</v>
      </c>
      <c r="D118" s="95">
        <v>100</v>
      </c>
      <c r="E118" s="3" t="s">
        <v>114</v>
      </c>
      <c r="F118" s="97">
        <f>D118*F117</f>
        <v>4.7619047619047619</v>
      </c>
      <c r="G118" s="11" t="s">
        <v>109</v>
      </c>
      <c r="H118" s="95">
        <f>F118/D115</f>
        <v>0.23809523809523808</v>
      </c>
      <c r="I118" s="11" t="s">
        <v>116</v>
      </c>
      <c r="J118" s="12"/>
      <c r="K118" s="51"/>
      <c r="L118" s="3"/>
      <c r="P118" s="3"/>
      <c r="T118" s="3"/>
      <c r="V118" s="2"/>
      <c r="W118" s="3"/>
      <c r="Z118" s="3"/>
      <c r="AA118" s="12"/>
      <c r="AB118" s="12"/>
      <c r="AD118" s="3"/>
      <c r="AG118" s="3"/>
      <c r="AK118" s="3"/>
      <c r="AQ118" s="3"/>
      <c r="AR118" s="12"/>
      <c r="AU118" s="3"/>
      <c r="AY118" s="3"/>
      <c r="BB118" s="3"/>
      <c r="BF118" s="3"/>
      <c r="BI118" s="3"/>
      <c r="BM118" s="3"/>
      <c r="BP118" s="3"/>
      <c r="BS118" s="3"/>
      <c r="BW118" s="3"/>
      <c r="BZ118" s="3"/>
    </row>
    <row r="119" spans="1:79" x14ac:dyDescent="0.3">
      <c r="A119" s="2"/>
      <c r="B119" s="9">
        <v>1</v>
      </c>
      <c r="C119" s="3" t="s">
        <v>117</v>
      </c>
      <c r="D119" s="95">
        <f>D108/D117</f>
        <v>21</v>
      </c>
      <c r="E119" s="3" t="s">
        <v>114</v>
      </c>
      <c r="F119" s="97"/>
      <c r="G119" s="11"/>
      <c r="H119" s="51"/>
      <c r="I119" s="3"/>
      <c r="J119" s="12"/>
      <c r="K119" s="12"/>
      <c r="L119" s="51"/>
      <c r="M119" s="3"/>
      <c r="Q119" s="3"/>
      <c r="U119" s="3"/>
      <c r="W119" s="2"/>
      <c r="X119" s="3"/>
      <c r="AA119" s="3"/>
      <c r="AB119" s="12"/>
      <c r="AC119" s="12"/>
      <c r="AE119" s="3"/>
      <c r="AH119" s="3"/>
      <c r="AL119" s="3"/>
      <c r="AR119" s="3"/>
      <c r="AS119" s="12"/>
      <c r="AV119" s="3"/>
      <c r="AZ119" s="3"/>
      <c r="BC119" s="3"/>
      <c r="BG119" s="3"/>
      <c r="BJ119" s="3"/>
      <c r="BN119" s="3"/>
      <c r="BQ119" s="3"/>
      <c r="BT119" s="3"/>
      <c r="BX119" s="3"/>
      <c r="CA119" s="3"/>
    </row>
    <row r="120" spans="1:79" x14ac:dyDescent="0.3">
      <c r="A120" s="2"/>
      <c r="B120" s="12"/>
      <c r="E120" s="51"/>
      <c r="F120" s="12"/>
      <c r="G120" s="12"/>
      <c r="H120" s="12"/>
      <c r="I120" s="2"/>
      <c r="J120" s="51"/>
      <c r="K120" s="12"/>
      <c r="L120" s="12"/>
      <c r="M120" s="2"/>
      <c r="Q120" s="2"/>
      <c r="U120" s="2"/>
      <c r="X120" s="2"/>
      <c r="Y120" s="2"/>
      <c r="AA120" s="2"/>
      <c r="AC120" s="12"/>
      <c r="AD120" s="12"/>
      <c r="AE120" s="2"/>
      <c r="AH120" s="2"/>
      <c r="AL120" s="2"/>
      <c r="AR120" s="2"/>
      <c r="AT120" s="12"/>
      <c r="AV120" s="2"/>
      <c r="AZ120" s="2"/>
      <c r="BC120" s="2"/>
      <c r="BG120" s="2"/>
      <c r="BJ120" s="2"/>
      <c r="BN120" s="2"/>
      <c r="BQ120" s="2"/>
      <c r="BT120" s="2"/>
      <c r="BX120" s="2"/>
      <c r="CA120" s="2"/>
    </row>
    <row r="121" spans="1:79" x14ac:dyDescent="0.3">
      <c r="A121" s="2"/>
      <c r="B121" s="2">
        <v>1</v>
      </c>
      <c r="C121" s="3" t="s">
        <v>101</v>
      </c>
      <c r="D121" s="95">
        <v>108</v>
      </c>
      <c r="E121" s="3" t="s">
        <v>102</v>
      </c>
      <c r="F121" s="51"/>
      <c r="G121" s="51"/>
      <c r="H121" s="3"/>
      <c r="I121" s="3"/>
      <c r="J121" s="95"/>
      <c r="K121" s="95"/>
      <c r="L121" s="3"/>
      <c r="M121" s="3"/>
      <c r="O121" s="98"/>
      <c r="P121" s="98"/>
      <c r="Q121" s="3"/>
      <c r="R121" s="98"/>
      <c r="S121" s="98"/>
      <c r="T121" s="2"/>
      <c r="U121" s="3"/>
      <c r="V121" s="2"/>
      <c r="W121" s="99"/>
      <c r="X121" s="3"/>
      <c r="Y121" s="99"/>
      <c r="Z121" s="99"/>
      <c r="AA121" s="3"/>
      <c r="AB121" s="12"/>
      <c r="AC121" s="2"/>
      <c r="AD121" s="2"/>
      <c r="AE121" s="3"/>
      <c r="AF121" s="2"/>
      <c r="AG121" s="2"/>
      <c r="AH121" s="3"/>
      <c r="AL121" s="3"/>
      <c r="AR121" s="3"/>
      <c r="AV121" s="3"/>
      <c r="AZ121" s="3"/>
      <c r="BC121" s="3"/>
      <c r="BG121" s="3"/>
      <c r="BJ121" s="3"/>
      <c r="BN121" s="3"/>
      <c r="BQ121" s="3"/>
      <c r="BT121" s="3"/>
      <c r="BX121" s="3"/>
      <c r="CA121" s="3"/>
    </row>
    <row r="122" spans="1:79" x14ac:dyDescent="0.3">
      <c r="A122" s="2"/>
      <c r="B122" s="2">
        <v>1</v>
      </c>
      <c r="C122" s="3" t="s">
        <v>103</v>
      </c>
      <c r="D122" s="95">
        <v>32.5</v>
      </c>
      <c r="E122" s="3" t="s">
        <v>102</v>
      </c>
      <c r="H122" s="3"/>
      <c r="I122" s="3"/>
      <c r="J122" s="95"/>
      <c r="K122" s="95"/>
      <c r="L122" s="3"/>
      <c r="M122" s="3"/>
      <c r="O122" s="98"/>
      <c r="P122" s="98"/>
      <c r="Q122" s="3"/>
      <c r="R122" s="98"/>
      <c r="S122" s="98"/>
      <c r="T122" s="2"/>
      <c r="U122" s="3"/>
      <c r="V122" s="2"/>
      <c r="W122" s="99"/>
      <c r="X122" s="3"/>
      <c r="Y122" s="99"/>
      <c r="Z122" s="99"/>
      <c r="AA122" s="3"/>
      <c r="AB122" s="12"/>
      <c r="AC122" s="2"/>
      <c r="AD122" s="2"/>
      <c r="AE122" s="3"/>
      <c r="AF122" s="2"/>
      <c r="AG122" s="2"/>
      <c r="AH122" s="3"/>
      <c r="AL122" s="3"/>
      <c r="AR122" s="3"/>
      <c r="AV122" s="3"/>
      <c r="AZ122" s="3"/>
      <c r="BC122" s="3"/>
      <c r="BG122" s="3"/>
      <c r="BJ122" s="3"/>
      <c r="BN122" s="3"/>
      <c r="BQ122" s="3"/>
      <c r="BT122" s="3"/>
      <c r="BX122" s="3"/>
      <c r="CA122" s="3"/>
    </row>
    <row r="123" spans="1:79" x14ac:dyDescent="0.3">
      <c r="A123" s="2"/>
      <c r="B123" s="2">
        <v>1</v>
      </c>
      <c r="C123" s="3" t="s">
        <v>105</v>
      </c>
      <c r="D123" s="95">
        <v>112</v>
      </c>
      <c r="E123" s="3" t="s">
        <v>106</v>
      </c>
      <c r="F123" s="51"/>
      <c r="G123" s="51"/>
      <c r="H123" s="3"/>
      <c r="I123" s="3"/>
      <c r="J123" s="95"/>
      <c r="K123" s="95"/>
      <c r="L123" s="3"/>
      <c r="M123" s="3"/>
      <c r="O123" s="98"/>
      <c r="P123" s="98"/>
      <c r="Q123" s="3"/>
      <c r="R123" s="98"/>
      <c r="S123" s="98"/>
      <c r="T123" s="2"/>
      <c r="U123" s="3"/>
      <c r="V123" s="2"/>
      <c r="W123" s="99"/>
      <c r="X123" s="3"/>
      <c r="Y123" s="99"/>
      <c r="Z123" s="99"/>
      <c r="AA123" s="3"/>
      <c r="AB123" s="12"/>
      <c r="AC123" s="2"/>
      <c r="AD123" s="2"/>
      <c r="AE123" s="3"/>
      <c r="AF123" s="2"/>
      <c r="AG123" s="2"/>
      <c r="AH123" s="3"/>
      <c r="AL123" s="3"/>
      <c r="AR123" s="3"/>
      <c r="AV123" s="3"/>
      <c r="AZ123" s="3"/>
      <c r="BC123" s="3"/>
      <c r="BG123" s="3"/>
      <c r="BJ123" s="3"/>
      <c r="BN123" s="3"/>
      <c r="BQ123" s="3"/>
      <c r="BT123" s="3"/>
      <c r="BX123" s="3"/>
      <c r="CA123" s="3"/>
    </row>
    <row r="124" spans="1:79" ht="14.4" customHeight="1" x14ac:dyDescent="0.3">
      <c r="A124" s="2"/>
      <c r="B124" s="154">
        <v>1</v>
      </c>
      <c r="C124" s="155" t="s">
        <v>107</v>
      </c>
      <c r="D124" s="156">
        <v>130</v>
      </c>
      <c r="E124" s="157" t="s">
        <v>102</v>
      </c>
      <c r="F124" s="51"/>
      <c r="G124" s="51"/>
      <c r="H124" s="3"/>
      <c r="I124" s="3"/>
      <c r="J124" s="95"/>
      <c r="K124" s="95"/>
      <c r="L124" s="3"/>
      <c r="M124" s="3"/>
      <c r="O124" s="98"/>
      <c r="P124" s="98"/>
      <c r="Q124" s="3"/>
      <c r="R124" s="98"/>
      <c r="S124" s="98"/>
      <c r="T124" s="2"/>
      <c r="U124" s="3"/>
      <c r="V124" s="2"/>
      <c r="W124" s="99"/>
      <c r="X124" s="3"/>
      <c r="Y124" s="99"/>
      <c r="Z124" s="99"/>
      <c r="AA124" s="3"/>
      <c r="AB124" s="12"/>
      <c r="AC124" s="2"/>
      <c r="AD124" s="2"/>
      <c r="AE124" s="3"/>
      <c r="AF124" s="2"/>
      <c r="AG124" s="2"/>
      <c r="AH124" s="3"/>
      <c r="AL124" s="3"/>
      <c r="AR124" s="3"/>
      <c r="AV124" s="3"/>
      <c r="AZ124" s="3"/>
      <c r="BC124" s="3"/>
      <c r="BG124" s="3"/>
      <c r="BJ124" s="3"/>
      <c r="BN124" s="3"/>
      <c r="BQ124" s="3"/>
      <c r="BT124" s="3"/>
      <c r="BX124" s="3"/>
      <c r="CA124" s="3"/>
    </row>
    <row r="125" spans="1:79" ht="14.4" customHeight="1" x14ac:dyDescent="0.3">
      <c r="A125" s="2"/>
      <c r="B125" s="154"/>
      <c r="C125" s="155"/>
      <c r="D125" s="156"/>
      <c r="E125" s="157"/>
      <c r="H125" s="3"/>
      <c r="I125" s="3"/>
      <c r="J125" s="95"/>
      <c r="K125" s="95"/>
      <c r="L125" s="3"/>
      <c r="M125" s="3"/>
      <c r="O125" s="98"/>
      <c r="P125" s="98"/>
      <c r="Q125" s="3"/>
      <c r="R125" s="98"/>
      <c r="S125" s="98"/>
      <c r="T125" s="2"/>
      <c r="U125" s="3"/>
      <c r="V125" s="2"/>
      <c r="W125" s="99"/>
      <c r="X125" s="3"/>
      <c r="Y125" s="99"/>
      <c r="Z125" s="99"/>
      <c r="AA125" s="3"/>
      <c r="AB125" s="12"/>
      <c r="AC125" s="2"/>
      <c r="AD125" s="2"/>
      <c r="AE125" s="3"/>
      <c r="AF125" s="2"/>
      <c r="AG125" s="2"/>
      <c r="AH125" s="3"/>
      <c r="AL125" s="3"/>
      <c r="AR125" s="3"/>
      <c r="AV125" s="3"/>
      <c r="AZ125" s="3"/>
      <c r="BC125" s="3"/>
      <c r="BG125" s="3"/>
      <c r="BJ125" s="3"/>
      <c r="BN125" s="3"/>
      <c r="BQ125" s="3"/>
      <c r="BT125" s="3"/>
      <c r="BX125" s="3"/>
      <c r="CA125" s="3"/>
    </row>
    <row r="126" spans="1:79" x14ac:dyDescent="0.3">
      <c r="A126" s="2"/>
      <c r="B126" s="9">
        <v>1</v>
      </c>
      <c r="C126" s="3" t="s">
        <v>108</v>
      </c>
      <c r="D126" s="95">
        <v>260</v>
      </c>
      <c r="E126" s="3" t="s">
        <v>102</v>
      </c>
      <c r="H126" s="3"/>
      <c r="I126" s="3"/>
      <c r="J126" s="95"/>
      <c r="K126" s="95"/>
      <c r="L126" s="3"/>
      <c r="M126" s="3"/>
      <c r="O126" s="98"/>
      <c r="P126" s="98"/>
      <c r="Q126" s="3"/>
      <c r="R126" s="98"/>
      <c r="S126" s="98"/>
      <c r="T126" s="2"/>
      <c r="U126" s="3"/>
      <c r="V126" s="2"/>
      <c r="W126" s="99"/>
      <c r="X126" s="3"/>
      <c r="Y126" s="99"/>
      <c r="Z126" s="99"/>
      <c r="AA126" s="3"/>
      <c r="AB126" s="12"/>
      <c r="AC126" s="2"/>
      <c r="AD126" s="2"/>
      <c r="AE126" s="3"/>
      <c r="AF126" s="2"/>
      <c r="AG126" s="2"/>
      <c r="AH126" s="3"/>
      <c r="AL126" s="3"/>
      <c r="AR126" s="3"/>
      <c r="AV126" s="3"/>
      <c r="AZ126" s="3"/>
      <c r="BC126" s="3"/>
      <c r="BG126" s="3"/>
      <c r="BJ126" s="3"/>
      <c r="BN126" s="3"/>
      <c r="BQ126" s="3"/>
      <c r="BT126" s="3"/>
      <c r="BX126" s="3"/>
      <c r="CA126" s="3"/>
    </row>
    <row r="127" spans="1:79" x14ac:dyDescent="0.3">
      <c r="A127" s="2"/>
      <c r="B127" s="9">
        <v>1</v>
      </c>
      <c r="C127" s="3" t="s">
        <v>352</v>
      </c>
      <c r="D127" s="95">
        <f>D124/D123</f>
        <v>1.1607142857142858</v>
      </c>
      <c r="E127" s="3" t="s">
        <v>109</v>
      </c>
      <c r="H127" s="3"/>
      <c r="I127" s="3"/>
      <c r="J127" s="95"/>
      <c r="K127" s="95"/>
      <c r="L127" s="3"/>
      <c r="M127" s="3"/>
      <c r="O127" s="98"/>
      <c r="P127" s="98"/>
      <c r="Q127" s="3"/>
      <c r="R127" s="98"/>
      <c r="S127" s="98"/>
      <c r="T127" s="2"/>
      <c r="U127" s="3"/>
      <c r="V127" s="2"/>
      <c r="W127" s="99"/>
      <c r="X127" s="3"/>
      <c r="Y127" s="99"/>
      <c r="Z127" s="99"/>
      <c r="AA127" s="3"/>
      <c r="AB127" s="12"/>
      <c r="AC127" s="2"/>
      <c r="AD127" s="2"/>
      <c r="AE127" s="3"/>
      <c r="AF127" s="2"/>
      <c r="AG127" s="2"/>
      <c r="AH127" s="3"/>
      <c r="AL127" s="3"/>
      <c r="AR127" s="3"/>
      <c r="AV127" s="3"/>
      <c r="AZ127" s="3"/>
      <c r="BC127" s="3"/>
      <c r="BG127" s="3"/>
      <c r="BJ127" s="3"/>
      <c r="BN127" s="3"/>
      <c r="BQ127" s="3"/>
      <c r="BT127" s="3"/>
      <c r="BX127" s="3"/>
      <c r="CA127" s="3"/>
    </row>
    <row r="128" spans="1:79" x14ac:dyDescent="0.3">
      <c r="A128" s="2"/>
      <c r="B128" s="9">
        <v>1</v>
      </c>
      <c r="C128" s="3" t="s">
        <v>108</v>
      </c>
      <c r="D128" s="95">
        <f>D126/D123</f>
        <v>2.3214285714285716</v>
      </c>
      <c r="E128" s="3" t="s">
        <v>109</v>
      </c>
      <c r="H128" s="3"/>
      <c r="I128" s="3"/>
      <c r="J128" s="95"/>
      <c r="K128" s="95"/>
      <c r="L128" s="3"/>
      <c r="M128" s="3"/>
      <c r="O128" s="98"/>
      <c r="P128" s="98"/>
      <c r="Q128" s="3"/>
      <c r="R128" s="98"/>
      <c r="S128" s="98"/>
      <c r="T128" s="2"/>
      <c r="U128" s="3"/>
      <c r="V128" s="2"/>
      <c r="W128" s="99"/>
      <c r="X128" s="3"/>
      <c r="Y128" s="99"/>
      <c r="Z128" s="99"/>
      <c r="AA128" s="3"/>
      <c r="AB128" s="12"/>
      <c r="AC128" s="2"/>
      <c r="AD128" s="2"/>
      <c r="AE128" s="3"/>
      <c r="AF128" s="2"/>
      <c r="AG128" s="2"/>
      <c r="AH128" s="3"/>
      <c r="AL128" s="3"/>
      <c r="AR128" s="3"/>
      <c r="AV128" s="3"/>
      <c r="AZ128" s="3"/>
      <c r="BC128" s="3"/>
      <c r="BG128" s="3"/>
      <c r="BJ128" s="3"/>
      <c r="BN128" s="3"/>
      <c r="BQ128" s="3"/>
      <c r="BT128" s="3"/>
      <c r="BX128" s="3"/>
      <c r="CA128" s="3"/>
    </row>
    <row r="129" spans="1:79" x14ac:dyDescent="0.3">
      <c r="A129" s="2"/>
      <c r="B129" s="2"/>
      <c r="C129" s="2"/>
      <c r="D129" s="2"/>
      <c r="E129" s="2"/>
      <c r="H129" s="3"/>
      <c r="I129" s="3"/>
      <c r="J129" s="95"/>
      <c r="K129" s="95"/>
      <c r="L129" s="3"/>
      <c r="M129" s="3"/>
      <c r="O129" s="98"/>
      <c r="P129" s="98"/>
      <c r="Q129" s="3"/>
      <c r="R129" s="98"/>
      <c r="S129" s="98"/>
      <c r="T129" s="2"/>
      <c r="U129" s="3"/>
      <c r="V129" s="2"/>
      <c r="W129" s="99"/>
      <c r="X129" s="3"/>
      <c r="Y129" s="99"/>
      <c r="Z129" s="99"/>
      <c r="AA129" s="3"/>
      <c r="AB129" s="12"/>
      <c r="AC129" s="2"/>
      <c r="AD129" s="2"/>
      <c r="AE129" s="3"/>
      <c r="AF129" s="2"/>
      <c r="AG129" s="2"/>
      <c r="AH129" s="3"/>
      <c r="AL129" s="3"/>
      <c r="AR129" s="3"/>
      <c r="AV129" s="3"/>
      <c r="AZ129" s="3"/>
      <c r="BC129" s="3"/>
      <c r="BG129" s="3"/>
      <c r="BJ129" s="3"/>
      <c r="BN129" s="3"/>
      <c r="BQ129" s="3"/>
      <c r="BT129" s="3"/>
      <c r="BX129" s="3"/>
      <c r="CA129" s="3"/>
    </row>
    <row r="130" spans="1:79" x14ac:dyDescent="0.3">
      <c r="A130" s="2" t="s">
        <v>118</v>
      </c>
      <c r="B130" s="2">
        <v>1</v>
      </c>
      <c r="C130" s="6" t="s">
        <v>119</v>
      </c>
      <c r="D130" s="2">
        <v>373.33</v>
      </c>
      <c r="E130" s="3" t="s">
        <v>102</v>
      </c>
      <c r="F130" s="97">
        <f>D130/D123</f>
        <v>3.3333035714285715</v>
      </c>
      <c r="G130" s="3" t="s">
        <v>109</v>
      </c>
      <c r="H130" s="3"/>
      <c r="I130" s="3"/>
      <c r="J130" s="95"/>
      <c r="K130" s="95"/>
      <c r="L130" s="3"/>
      <c r="M130" s="3"/>
      <c r="O130" s="98"/>
      <c r="P130" s="98"/>
      <c r="Q130" s="3"/>
      <c r="R130" s="98"/>
      <c r="S130" s="98"/>
      <c r="T130" s="2"/>
      <c r="U130" s="3"/>
      <c r="V130" s="2"/>
      <c r="W130" s="99"/>
      <c r="X130" s="3"/>
      <c r="Y130" s="99"/>
      <c r="Z130" s="99"/>
      <c r="AA130" s="3"/>
      <c r="AB130" s="12"/>
      <c r="AC130" s="2"/>
      <c r="AD130" s="2"/>
      <c r="AE130" s="3"/>
      <c r="AF130" s="2"/>
      <c r="AG130" s="2"/>
      <c r="AH130" s="3"/>
      <c r="AL130" s="3"/>
      <c r="AR130" s="3"/>
      <c r="AV130" s="3"/>
      <c r="AZ130" s="3"/>
      <c r="BC130" s="3"/>
      <c r="BG130" s="3"/>
      <c r="BJ130" s="3"/>
      <c r="BN130" s="3"/>
      <c r="BQ130" s="3"/>
      <c r="BT130" s="3"/>
      <c r="BX130" s="3"/>
      <c r="CA130" s="3"/>
    </row>
    <row r="131" spans="1:79" x14ac:dyDescent="0.3">
      <c r="A131" s="2" t="s">
        <v>23</v>
      </c>
      <c r="B131" s="2">
        <v>1</v>
      </c>
      <c r="C131" s="6" t="s">
        <v>101</v>
      </c>
      <c r="D131" s="2">
        <v>0.5</v>
      </c>
      <c r="E131" s="3" t="s">
        <v>109</v>
      </c>
      <c r="H131" s="3"/>
      <c r="I131" s="3"/>
      <c r="J131" s="95"/>
      <c r="K131" s="95"/>
      <c r="L131" s="3"/>
      <c r="M131" s="3"/>
      <c r="O131" s="98"/>
      <c r="P131" s="98"/>
      <c r="Q131" s="3"/>
      <c r="R131" s="98"/>
      <c r="S131" s="98"/>
      <c r="T131" s="2"/>
      <c r="U131" s="3"/>
      <c r="V131" s="2"/>
      <c r="W131" s="99"/>
      <c r="X131" s="3"/>
      <c r="Y131" s="99"/>
      <c r="Z131" s="99"/>
      <c r="AA131" s="3"/>
      <c r="AB131" s="12"/>
      <c r="AC131" s="2"/>
      <c r="AD131" s="2"/>
      <c r="AE131" s="3"/>
      <c r="AF131" s="2"/>
      <c r="AG131" s="2"/>
      <c r="AH131" s="3"/>
      <c r="AL131" s="3"/>
      <c r="AR131" s="3"/>
      <c r="AV131" s="3"/>
      <c r="AZ131" s="3"/>
      <c r="BC131" s="3"/>
      <c r="BG131" s="3"/>
      <c r="BJ131" s="3"/>
      <c r="BN131" s="3"/>
      <c r="BQ131" s="3"/>
      <c r="BT131" s="3"/>
      <c r="BX131" s="3"/>
      <c r="CA131" s="3"/>
    </row>
    <row r="132" spans="1:79" x14ac:dyDescent="0.3">
      <c r="A132" s="2" t="s">
        <v>10</v>
      </c>
      <c r="B132" s="2">
        <v>1</v>
      </c>
      <c r="C132" s="3" t="s">
        <v>120</v>
      </c>
      <c r="D132" s="95">
        <v>1.5</v>
      </c>
      <c r="E132" s="3" t="s">
        <v>109</v>
      </c>
      <c r="F132" s="51"/>
      <c r="G132" s="3"/>
      <c r="H132" s="3"/>
      <c r="I132" s="3"/>
      <c r="J132" s="95"/>
      <c r="K132" s="95"/>
      <c r="L132" s="3"/>
      <c r="M132" s="3"/>
      <c r="O132" s="98"/>
      <c r="P132" s="98"/>
      <c r="Q132" s="3"/>
      <c r="R132" s="98"/>
      <c r="S132" s="98"/>
      <c r="T132" s="2"/>
      <c r="U132" s="3"/>
      <c r="V132" s="2"/>
      <c r="W132" s="99"/>
      <c r="X132" s="3"/>
      <c r="Y132" s="99"/>
      <c r="Z132" s="99"/>
      <c r="AA132" s="3"/>
      <c r="AB132" s="12"/>
      <c r="AC132" s="2"/>
      <c r="AD132" s="2"/>
      <c r="AE132" s="3"/>
      <c r="AF132" s="2"/>
      <c r="AG132" s="2"/>
      <c r="AH132" s="3"/>
      <c r="AL132" s="3"/>
      <c r="AR132" s="3"/>
      <c r="AV132" s="3"/>
      <c r="AZ132" s="3"/>
      <c r="BC132" s="3"/>
      <c r="BG132" s="3"/>
      <c r="BJ132" s="3"/>
      <c r="BN132" s="3"/>
      <c r="BQ132" s="3"/>
      <c r="BT132" s="3"/>
      <c r="BX132" s="3"/>
      <c r="CA132" s="3"/>
    </row>
    <row r="133" spans="1:79" x14ac:dyDescent="0.3">
      <c r="A133" s="2" t="s">
        <v>12</v>
      </c>
      <c r="B133" s="2">
        <v>1</v>
      </c>
      <c r="C133" s="3" t="s">
        <v>120</v>
      </c>
      <c r="D133" s="95">
        <v>1.75</v>
      </c>
      <c r="E133" s="3" t="s">
        <v>109</v>
      </c>
      <c r="F133" s="51"/>
      <c r="G133" s="3"/>
      <c r="H133" s="3"/>
      <c r="I133" s="3"/>
      <c r="J133" s="95"/>
      <c r="K133" s="95"/>
      <c r="L133" s="3"/>
      <c r="M133" s="3"/>
      <c r="O133" s="98"/>
      <c r="P133" s="98"/>
      <c r="Q133" s="3"/>
      <c r="R133" s="98"/>
      <c r="S133" s="98"/>
      <c r="T133" s="2"/>
      <c r="U133" s="3"/>
      <c r="V133" s="2"/>
      <c r="W133" s="99"/>
      <c r="X133" s="3"/>
      <c r="Y133" s="99"/>
      <c r="Z133" s="99"/>
      <c r="AA133" s="3"/>
      <c r="AB133" s="12"/>
      <c r="AC133" s="2"/>
      <c r="AD133" s="2"/>
      <c r="AE133" s="3"/>
      <c r="AF133" s="2"/>
      <c r="AG133" s="2"/>
      <c r="AH133" s="3"/>
      <c r="AL133" s="3"/>
      <c r="AR133" s="3"/>
      <c r="AV133" s="3"/>
      <c r="AZ133" s="3"/>
      <c r="BC133" s="3"/>
      <c r="BG133" s="3"/>
      <c r="BJ133" s="3"/>
      <c r="BN133" s="3"/>
      <c r="BQ133" s="3"/>
      <c r="BT133" s="3"/>
      <c r="BX133" s="3"/>
      <c r="CA133" s="3"/>
    </row>
    <row r="134" spans="1:79" x14ac:dyDescent="0.3">
      <c r="A134" s="2" t="s">
        <v>121</v>
      </c>
      <c r="B134" s="2">
        <v>1</v>
      </c>
      <c r="C134" s="3" t="s">
        <v>120</v>
      </c>
      <c r="D134" s="95">
        <v>1.5</v>
      </c>
      <c r="E134" s="3" t="s">
        <v>109</v>
      </c>
      <c r="F134" s="51"/>
      <c r="G134" s="3"/>
      <c r="H134" s="3"/>
      <c r="I134" s="3"/>
      <c r="J134" s="95"/>
      <c r="K134" s="95"/>
      <c r="L134" s="3"/>
      <c r="M134" s="3"/>
      <c r="O134" s="98"/>
      <c r="P134" s="98"/>
      <c r="Q134" s="3"/>
      <c r="R134" s="98"/>
      <c r="S134" s="98"/>
      <c r="T134" s="2"/>
      <c r="U134" s="3"/>
      <c r="V134" s="2"/>
      <c r="W134" s="99"/>
      <c r="X134" s="3"/>
      <c r="Y134" s="99"/>
      <c r="Z134" s="99"/>
      <c r="AA134" s="3"/>
      <c r="AB134" s="12"/>
      <c r="AC134" s="2"/>
      <c r="AD134" s="2"/>
      <c r="AE134" s="3"/>
      <c r="AF134" s="2"/>
      <c r="AG134" s="2"/>
      <c r="AH134" s="3"/>
      <c r="AL134" s="3"/>
      <c r="AR134" s="3"/>
      <c r="AV134" s="3"/>
      <c r="AZ134" s="3"/>
      <c r="BC134" s="3"/>
      <c r="BG134" s="3"/>
      <c r="BJ134" s="3"/>
      <c r="BN134" s="3"/>
      <c r="BQ134" s="3"/>
      <c r="BT134" s="3"/>
      <c r="BX134" s="3"/>
      <c r="CA134" s="3"/>
    </row>
    <row r="135" spans="1:79" x14ac:dyDescent="0.3">
      <c r="A135" s="2" t="s">
        <v>16</v>
      </c>
      <c r="B135" s="2">
        <v>1</v>
      </c>
      <c r="C135" s="3" t="s">
        <v>119</v>
      </c>
      <c r="D135" s="95">
        <v>1.26</v>
      </c>
      <c r="E135" s="3" t="s">
        <v>109</v>
      </c>
      <c r="F135" s="51"/>
      <c r="G135" s="3"/>
      <c r="H135" s="3"/>
      <c r="I135" s="3"/>
      <c r="J135" s="95"/>
      <c r="K135" s="95"/>
      <c r="L135" s="3"/>
      <c r="M135" s="3"/>
      <c r="O135" s="98"/>
      <c r="P135" s="98"/>
      <c r="Q135" s="3"/>
      <c r="R135" s="98"/>
      <c r="S135" s="98"/>
      <c r="T135" s="2"/>
      <c r="U135" s="3"/>
      <c r="V135" s="2"/>
      <c r="W135" s="99"/>
      <c r="X135" s="3"/>
      <c r="Y135" s="99"/>
      <c r="Z135" s="99"/>
      <c r="AA135" s="3"/>
      <c r="AB135" s="12"/>
      <c r="AC135" s="2"/>
      <c r="AD135" s="2"/>
      <c r="AE135" s="3"/>
      <c r="AF135" s="2"/>
      <c r="AG135" s="2"/>
      <c r="AH135" s="3"/>
      <c r="AL135" s="3"/>
      <c r="AR135" s="3"/>
      <c r="AV135" s="3"/>
      <c r="AZ135" s="3"/>
      <c r="BC135" s="3"/>
      <c r="BG135" s="3"/>
      <c r="BJ135" s="3"/>
      <c r="BN135" s="3"/>
      <c r="BQ135" s="3"/>
      <c r="BT135" s="3"/>
      <c r="BX135" s="3"/>
      <c r="CA135" s="3"/>
    </row>
    <row r="136" spans="1:79" x14ac:dyDescent="0.3">
      <c r="A136" s="2" t="s">
        <v>122</v>
      </c>
      <c r="B136" s="2">
        <v>1</v>
      </c>
      <c r="C136" s="3" t="s">
        <v>123</v>
      </c>
      <c r="D136" s="95">
        <v>15.9</v>
      </c>
      <c r="E136" s="3" t="s">
        <v>109</v>
      </c>
      <c r="F136" s="51"/>
      <c r="G136" s="3"/>
      <c r="H136" s="3"/>
      <c r="I136" s="3"/>
      <c r="J136" s="95"/>
      <c r="K136" s="95"/>
      <c r="L136" s="3"/>
      <c r="M136" s="3"/>
      <c r="O136" s="98"/>
      <c r="P136" s="98"/>
      <c r="Q136" s="3"/>
      <c r="R136" s="98"/>
      <c r="S136" s="98"/>
      <c r="T136" s="2"/>
      <c r="U136" s="3"/>
      <c r="V136" s="2"/>
      <c r="W136" s="99"/>
      <c r="X136" s="3"/>
      <c r="Y136" s="99"/>
      <c r="Z136" s="99"/>
      <c r="AA136" s="3"/>
      <c r="AB136" s="12"/>
      <c r="AC136" s="2"/>
      <c r="AD136" s="2"/>
      <c r="AE136" s="3"/>
      <c r="AF136" s="2"/>
      <c r="AG136" s="2"/>
      <c r="AH136" s="3"/>
      <c r="AL136" s="3"/>
      <c r="AR136" s="3"/>
      <c r="AV136" s="3"/>
      <c r="AZ136" s="3"/>
      <c r="BC136" s="3"/>
      <c r="BG136" s="3"/>
      <c r="BJ136" s="3"/>
      <c r="BN136" s="3"/>
      <c r="BQ136" s="3"/>
      <c r="BT136" s="3"/>
      <c r="BX136" s="3"/>
      <c r="CA136" s="3"/>
    </row>
    <row r="137" spans="1:79" x14ac:dyDescent="0.3">
      <c r="A137" s="2" t="s">
        <v>34</v>
      </c>
      <c r="B137" s="2">
        <v>1</v>
      </c>
      <c r="C137" s="3" t="s">
        <v>124</v>
      </c>
      <c r="D137" s="95">
        <f>439.681/D123</f>
        <v>3.9257232142857141</v>
      </c>
      <c r="E137" s="3" t="s">
        <v>109</v>
      </c>
      <c r="F137" s="51"/>
      <c r="G137" s="3"/>
      <c r="H137" s="51"/>
      <c r="I137" s="3"/>
      <c r="J137" s="95"/>
      <c r="K137" s="95"/>
      <c r="L137" s="3"/>
      <c r="M137" s="3"/>
      <c r="O137" s="98"/>
      <c r="P137" s="98"/>
      <c r="Q137" s="3"/>
      <c r="R137" s="98"/>
      <c r="S137" s="98"/>
      <c r="T137" s="2"/>
      <c r="U137" s="3"/>
      <c r="V137" s="2"/>
      <c r="W137" s="99"/>
      <c r="X137" s="3"/>
      <c r="Y137" s="99"/>
      <c r="Z137" s="99"/>
      <c r="AA137" s="3"/>
      <c r="AB137" s="12"/>
      <c r="AC137" s="2"/>
      <c r="AD137" s="2"/>
      <c r="AE137" s="3"/>
      <c r="AF137" s="2"/>
      <c r="AG137" s="2"/>
      <c r="AH137" s="3"/>
      <c r="AL137" s="3"/>
      <c r="AR137" s="3"/>
      <c r="AV137" s="3"/>
      <c r="AZ137" s="3"/>
      <c r="BC137" s="3"/>
      <c r="BG137" s="3"/>
      <c r="BJ137" s="3"/>
      <c r="BN137" s="3"/>
      <c r="BQ137" s="3"/>
      <c r="BT137" s="3"/>
      <c r="BX137" s="3"/>
      <c r="CA137" s="3"/>
    </row>
    <row r="138" spans="1:79" x14ac:dyDescent="0.3">
      <c r="A138" s="2" t="s">
        <v>96</v>
      </c>
      <c r="B138" s="2">
        <v>1</v>
      </c>
      <c r="C138" s="3" t="s">
        <v>124</v>
      </c>
      <c r="D138" s="95">
        <v>3</v>
      </c>
      <c r="E138" s="3" t="s">
        <v>109</v>
      </c>
      <c r="F138" s="51"/>
      <c r="G138" s="3"/>
      <c r="H138" s="51"/>
      <c r="I138" s="3"/>
      <c r="J138" s="51"/>
      <c r="K138" s="51"/>
      <c r="L138" s="51"/>
      <c r="M138" s="3"/>
      <c r="O138" s="98"/>
      <c r="P138" s="98"/>
      <c r="Q138" s="3"/>
      <c r="R138" s="98"/>
      <c r="S138" s="98"/>
      <c r="T138" s="12"/>
      <c r="U138" s="3"/>
      <c r="V138" s="12"/>
      <c r="W138" s="99"/>
      <c r="X138" s="3"/>
      <c r="Y138" s="99"/>
      <c r="Z138" s="99"/>
      <c r="AA138" s="3"/>
      <c r="AB138" s="12"/>
      <c r="AC138" s="2"/>
      <c r="AD138" s="2"/>
      <c r="AE138" s="3"/>
      <c r="AF138" s="2"/>
      <c r="AG138" s="2"/>
      <c r="AH138" s="3"/>
      <c r="AL138" s="3"/>
      <c r="AR138" s="3"/>
      <c r="AV138" s="3"/>
      <c r="AZ138" s="3"/>
      <c r="BC138" s="3"/>
      <c r="BG138" s="3"/>
      <c r="BJ138" s="3"/>
      <c r="BN138" s="3"/>
      <c r="BQ138" s="3"/>
      <c r="BT138" s="3"/>
      <c r="BX138" s="3"/>
      <c r="CA138" s="3"/>
    </row>
    <row r="139" spans="1:79" x14ac:dyDescent="0.3">
      <c r="A139" s="2" t="s">
        <v>47</v>
      </c>
      <c r="B139" s="2">
        <v>1</v>
      </c>
      <c r="C139" s="3" t="s">
        <v>124</v>
      </c>
      <c r="D139" s="95">
        <v>2.98</v>
      </c>
      <c r="E139" s="3" t="s">
        <v>109</v>
      </c>
      <c r="F139" s="51"/>
      <c r="G139" s="3"/>
      <c r="H139" s="51"/>
      <c r="I139" s="3"/>
      <c r="J139" s="51"/>
      <c r="K139" s="51"/>
      <c r="L139" s="51"/>
      <c r="M139" s="3"/>
      <c r="O139" s="98"/>
      <c r="P139" s="98"/>
      <c r="Q139" s="3"/>
      <c r="R139" s="98"/>
      <c r="S139" s="98"/>
      <c r="T139" s="12"/>
      <c r="U139" s="3"/>
      <c r="V139" s="12"/>
      <c r="W139" s="99"/>
      <c r="X139" s="3"/>
      <c r="Y139" s="99"/>
      <c r="Z139" s="99"/>
      <c r="AA139" s="3"/>
      <c r="AB139" s="12"/>
      <c r="AC139" s="2"/>
      <c r="AD139" s="2"/>
      <c r="AE139" s="3"/>
      <c r="AF139" s="2"/>
      <c r="AG139" s="2"/>
      <c r="AH139" s="3"/>
      <c r="AL139" s="3"/>
      <c r="AR139" s="3"/>
      <c r="AV139" s="3"/>
      <c r="AZ139" s="3"/>
      <c r="BC139" s="3"/>
      <c r="BG139" s="3"/>
      <c r="BJ139" s="3"/>
      <c r="BN139" s="3"/>
      <c r="BQ139" s="3"/>
      <c r="BT139" s="3"/>
      <c r="BX139" s="3"/>
      <c r="CA139" s="3"/>
    </row>
    <row r="140" spans="1:79" x14ac:dyDescent="0.3">
      <c r="A140" s="2" t="s">
        <v>31</v>
      </c>
      <c r="B140" s="2">
        <v>1</v>
      </c>
      <c r="C140" s="3" t="s">
        <v>125</v>
      </c>
      <c r="D140" s="95">
        <v>9</v>
      </c>
      <c r="E140" s="3" t="s">
        <v>126</v>
      </c>
      <c r="F140" s="51"/>
      <c r="G140" s="3"/>
      <c r="H140" s="51"/>
      <c r="I140" s="3"/>
      <c r="J140" s="51"/>
      <c r="K140" s="51"/>
      <c r="L140" s="51"/>
      <c r="M140" s="3"/>
      <c r="O140" s="98"/>
      <c r="P140" s="98"/>
      <c r="Q140" s="3"/>
      <c r="R140" s="98"/>
      <c r="S140" s="98"/>
      <c r="T140" s="12"/>
      <c r="U140" s="3"/>
      <c r="V140" s="12"/>
      <c r="W140" s="99"/>
      <c r="X140" s="3"/>
      <c r="Y140" s="99"/>
      <c r="Z140" s="99"/>
      <c r="AA140" s="3"/>
      <c r="AB140" s="12"/>
      <c r="AC140" s="2"/>
      <c r="AD140" s="2"/>
      <c r="AE140" s="3"/>
      <c r="AF140" s="2"/>
      <c r="AG140" s="2"/>
      <c r="AH140" s="3"/>
      <c r="AL140" s="3"/>
      <c r="AR140" s="3"/>
      <c r="AV140" s="3"/>
      <c r="AZ140" s="3"/>
      <c r="BC140" s="3"/>
      <c r="BG140" s="3"/>
      <c r="BJ140" s="3"/>
      <c r="BN140" s="3"/>
      <c r="BQ140" s="3"/>
      <c r="BT140" s="3"/>
      <c r="BX140" s="3"/>
      <c r="CA140" s="3"/>
    </row>
    <row r="141" spans="1:79" x14ac:dyDescent="0.3">
      <c r="A141" s="2" t="s">
        <v>127</v>
      </c>
      <c r="B141" s="2">
        <v>1</v>
      </c>
      <c r="C141" s="3" t="s">
        <v>128</v>
      </c>
      <c r="D141" s="95">
        <v>9</v>
      </c>
      <c r="E141" s="3" t="s">
        <v>126</v>
      </c>
      <c r="F141" s="51"/>
      <c r="G141" s="3"/>
      <c r="H141" s="51"/>
      <c r="I141" s="3"/>
      <c r="J141" s="51"/>
      <c r="K141" s="51"/>
      <c r="L141" s="51"/>
      <c r="M141" s="3"/>
      <c r="O141" s="98"/>
      <c r="P141" s="98"/>
      <c r="Q141" s="3"/>
      <c r="R141" s="98"/>
      <c r="S141" s="98"/>
      <c r="T141" s="12"/>
      <c r="U141" s="3"/>
      <c r="V141" s="12"/>
      <c r="W141" s="99"/>
      <c r="X141" s="3"/>
      <c r="Y141" s="99"/>
      <c r="Z141" s="99"/>
      <c r="AA141" s="3"/>
      <c r="AB141" s="12"/>
      <c r="AC141" s="2"/>
      <c r="AD141" s="2"/>
      <c r="AE141" s="3"/>
      <c r="AF141" s="2"/>
      <c r="AG141" s="2"/>
      <c r="AH141" s="3"/>
      <c r="AL141" s="3"/>
      <c r="AR141" s="3"/>
      <c r="AV141" s="3"/>
      <c r="AZ141" s="3"/>
      <c r="BC141" s="3"/>
      <c r="BG141" s="3"/>
      <c r="BJ141" s="3"/>
      <c r="BN141" s="3"/>
      <c r="BQ141" s="3"/>
      <c r="BT141" s="3"/>
      <c r="BX141" s="3"/>
      <c r="CA141" s="3"/>
    </row>
    <row r="142" spans="1:79" x14ac:dyDescent="0.3">
      <c r="A142" s="2" t="s">
        <v>9</v>
      </c>
      <c r="B142" s="2">
        <v>1</v>
      </c>
      <c r="C142" s="3" t="s">
        <v>120</v>
      </c>
      <c r="D142" s="95">
        <v>1.75</v>
      </c>
      <c r="E142" s="3" t="s">
        <v>109</v>
      </c>
      <c r="F142" s="51">
        <f>D142*D123</f>
        <v>196</v>
      </c>
      <c r="G142" s="3" t="s">
        <v>102</v>
      </c>
      <c r="H142" s="51"/>
      <c r="I142" s="3"/>
      <c r="J142" s="51"/>
      <c r="K142" s="51"/>
      <c r="L142" s="51"/>
      <c r="M142" s="3"/>
      <c r="O142" s="98"/>
      <c r="P142" s="98"/>
      <c r="Q142" s="3"/>
      <c r="R142" s="98"/>
      <c r="S142" s="98"/>
      <c r="T142" s="12"/>
      <c r="U142" s="3"/>
      <c r="V142" s="12"/>
      <c r="W142" s="99"/>
      <c r="X142" s="3"/>
      <c r="Y142" s="99"/>
      <c r="Z142" s="99"/>
      <c r="AA142" s="3"/>
      <c r="AB142" s="12"/>
      <c r="AC142" s="2"/>
      <c r="AD142" s="2"/>
      <c r="AE142" s="3"/>
      <c r="AF142" s="2"/>
      <c r="AG142" s="2"/>
      <c r="AH142" s="3"/>
      <c r="AL142" s="3"/>
      <c r="AR142" s="3"/>
      <c r="AV142" s="3"/>
      <c r="AZ142" s="3"/>
      <c r="BC142" s="3"/>
      <c r="BG142" s="3"/>
      <c r="BJ142" s="3"/>
      <c r="BN142" s="3"/>
      <c r="BQ142" s="3"/>
      <c r="BT142" s="3"/>
      <c r="BX142" s="3"/>
      <c r="CA142" s="3"/>
    </row>
    <row r="143" spans="1:79" x14ac:dyDescent="0.3">
      <c r="A143" s="2" t="s">
        <v>9</v>
      </c>
      <c r="B143" s="2">
        <v>1</v>
      </c>
      <c r="C143" s="3" t="s">
        <v>119</v>
      </c>
      <c r="D143" s="95">
        <v>175</v>
      </c>
      <c r="E143" s="3" t="s">
        <v>102</v>
      </c>
      <c r="F143" s="95">
        <f>D143/D123</f>
        <v>1.5625</v>
      </c>
      <c r="G143" s="3" t="s">
        <v>105</v>
      </c>
      <c r="H143" s="51"/>
      <c r="I143" s="3"/>
      <c r="J143" s="51"/>
      <c r="K143" s="51"/>
      <c r="L143" s="51"/>
      <c r="M143" s="3"/>
      <c r="O143" s="98"/>
      <c r="P143" s="98"/>
      <c r="Q143" s="3"/>
      <c r="R143" s="98"/>
      <c r="S143" s="98"/>
      <c r="T143" s="12"/>
      <c r="U143" s="3"/>
      <c r="V143" s="12"/>
      <c r="W143" s="99"/>
      <c r="X143" s="3"/>
      <c r="Y143" s="99"/>
      <c r="Z143" s="99"/>
      <c r="AA143" s="3"/>
      <c r="AB143" s="12"/>
      <c r="AC143" s="2"/>
      <c r="AD143" s="2"/>
      <c r="AE143" s="3"/>
      <c r="AF143" s="2"/>
      <c r="AG143" s="2"/>
      <c r="AH143" s="3"/>
      <c r="AL143" s="3"/>
      <c r="AR143" s="3"/>
      <c r="AV143" s="3"/>
      <c r="AZ143" s="3"/>
      <c r="BC143" s="3"/>
      <c r="BG143" s="3"/>
      <c r="BJ143" s="3"/>
      <c r="BN143" s="3"/>
      <c r="BQ143" s="3"/>
      <c r="BT143" s="3"/>
      <c r="BX143" s="3"/>
      <c r="CA143" s="3"/>
    </row>
    <row r="144" spans="1:79" x14ac:dyDescent="0.3">
      <c r="A144" s="2" t="s">
        <v>129</v>
      </c>
      <c r="B144" s="2">
        <v>1</v>
      </c>
      <c r="C144" s="3" t="s">
        <v>130</v>
      </c>
      <c r="D144" s="95">
        <v>0.15175</v>
      </c>
      <c r="E144" s="3" t="s">
        <v>109</v>
      </c>
      <c r="F144" s="95">
        <v>16.997</v>
      </c>
      <c r="G144" s="3" t="s">
        <v>102</v>
      </c>
      <c r="H144" s="51"/>
      <c r="I144" s="3"/>
      <c r="J144" s="51"/>
      <c r="K144" s="51"/>
      <c r="L144" s="51"/>
      <c r="M144" s="3"/>
      <c r="O144" s="98"/>
      <c r="P144" s="98"/>
      <c r="Q144" s="3"/>
      <c r="R144" s="98"/>
      <c r="S144" s="98"/>
      <c r="T144" s="12"/>
      <c r="U144" s="3"/>
      <c r="V144" s="12"/>
      <c r="W144" s="99"/>
      <c r="X144" s="3"/>
      <c r="Y144" s="99"/>
      <c r="Z144" s="99"/>
      <c r="AA144" s="3"/>
      <c r="AB144" s="12"/>
      <c r="AC144" s="2"/>
      <c r="AD144" s="2"/>
      <c r="AE144" s="3"/>
      <c r="AF144" s="2"/>
      <c r="AG144" s="2"/>
      <c r="AH144" s="3"/>
      <c r="AL144" s="3"/>
      <c r="AR144" s="3"/>
      <c r="AV144" s="3"/>
      <c r="AZ144" s="3"/>
      <c r="BC144" s="3"/>
      <c r="BG144" s="3"/>
      <c r="BJ144" s="3"/>
      <c r="BN144" s="3"/>
      <c r="BQ144" s="3"/>
      <c r="BT144" s="3"/>
      <c r="BX144" s="3"/>
      <c r="CA144" s="3"/>
    </row>
    <row r="145" spans="1:79" x14ac:dyDescent="0.3">
      <c r="A145" s="2" t="s">
        <v>35</v>
      </c>
      <c r="B145" s="2">
        <v>1</v>
      </c>
      <c r="C145" s="3" t="s">
        <v>120</v>
      </c>
      <c r="D145" s="95">
        <v>1.5</v>
      </c>
      <c r="E145" s="3" t="s">
        <v>109</v>
      </c>
      <c r="F145" s="51"/>
      <c r="G145" s="3"/>
      <c r="H145" s="51"/>
      <c r="I145" s="3"/>
      <c r="J145" s="51"/>
      <c r="K145" s="51"/>
      <c r="L145" s="51"/>
      <c r="M145" s="3"/>
      <c r="O145" s="98"/>
      <c r="P145" s="98"/>
      <c r="Q145" s="3"/>
      <c r="R145" s="98"/>
      <c r="S145" s="98"/>
      <c r="T145" s="12"/>
      <c r="U145" s="3"/>
      <c r="V145" s="12"/>
      <c r="W145" s="99"/>
      <c r="X145" s="3"/>
      <c r="Y145" s="99"/>
      <c r="Z145" s="99"/>
      <c r="AA145" s="3"/>
      <c r="AB145" s="12"/>
      <c r="AC145" s="2"/>
      <c r="AD145" s="2"/>
      <c r="AE145" s="3"/>
      <c r="AF145" s="2"/>
      <c r="AG145" s="2"/>
      <c r="AH145" s="3"/>
      <c r="AL145" s="3"/>
      <c r="AR145" s="3"/>
      <c r="AV145" s="3"/>
      <c r="AZ145" s="3"/>
      <c r="BC145" s="3"/>
      <c r="BG145" s="3"/>
      <c r="BJ145" s="3"/>
      <c r="BN145" s="3"/>
      <c r="BQ145" s="3"/>
      <c r="BT145" s="3"/>
      <c r="BX145" s="3"/>
      <c r="CA145" s="3"/>
    </row>
    <row r="146" spans="1:79" x14ac:dyDescent="0.3">
      <c r="A146" s="2" t="s">
        <v>131</v>
      </c>
      <c r="B146" s="2">
        <v>1</v>
      </c>
      <c r="C146" s="3" t="s">
        <v>120</v>
      </c>
      <c r="D146" s="95">
        <v>1.625</v>
      </c>
      <c r="E146" s="3" t="s">
        <v>109</v>
      </c>
      <c r="F146" s="51"/>
      <c r="G146" s="3"/>
      <c r="H146" s="51"/>
      <c r="I146" s="3"/>
      <c r="J146" s="51"/>
      <c r="K146" s="51"/>
      <c r="L146" s="51"/>
      <c r="M146" s="3"/>
      <c r="O146" s="98"/>
      <c r="P146" s="98"/>
      <c r="Q146" s="3"/>
      <c r="R146" s="98"/>
      <c r="S146" s="98"/>
      <c r="T146" s="12"/>
      <c r="U146" s="3"/>
      <c r="V146" s="12"/>
      <c r="W146" s="99"/>
      <c r="X146" s="3"/>
      <c r="Y146" s="99"/>
      <c r="Z146" s="99"/>
      <c r="AA146" s="3"/>
      <c r="AB146" s="12"/>
      <c r="AC146" s="2"/>
      <c r="AD146" s="2"/>
      <c r="AE146" s="3"/>
      <c r="AF146" s="2"/>
      <c r="AG146" s="2"/>
      <c r="AH146" s="3"/>
      <c r="AL146" s="3"/>
      <c r="AR146" s="3"/>
      <c r="AV146" s="3"/>
      <c r="AZ146" s="3"/>
      <c r="BC146" s="3"/>
      <c r="BG146" s="3"/>
      <c r="BJ146" s="3"/>
      <c r="BN146" s="3"/>
      <c r="BQ146" s="3"/>
      <c r="BT146" s="3"/>
      <c r="BX146" s="3"/>
      <c r="CA146" s="3"/>
    </row>
    <row r="147" spans="1:79" x14ac:dyDescent="0.3">
      <c r="A147" s="2" t="s">
        <v>3</v>
      </c>
      <c r="B147" s="2">
        <v>1</v>
      </c>
      <c r="C147" s="3" t="s">
        <v>120</v>
      </c>
      <c r="D147" s="95">
        <v>1.5</v>
      </c>
      <c r="E147" s="3" t="s">
        <v>109</v>
      </c>
      <c r="F147" s="51"/>
      <c r="G147" s="3"/>
      <c r="H147" s="51"/>
      <c r="I147" s="3"/>
      <c r="J147" s="51"/>
      <c r="K147" s="51"/>
      <c r="L147" s="51"/>
      <c r="M147" s="3"/>
      <c r="O147" s="98"/>
      <c r="P147" s="98"/>
      <c r="Q147" s="3"/>
      <c r="R147" s="98"/>
      <c r="S147" s="98"/>
      <c r="T147" s="12"/>
      <c r="U147" s="3"/>
      <c r="V147" s="12"/>
      <c r="W147" s="99"/>
      <c r="X147" s="3"/>
      <c r="Y147" s="99"/>
      <c r="Z147" s="99"/>
      <c r="AA147" s="3"/>
      <c r="AB147" s="12"/>
      <c r="AC147" s="2"/>
      <c r="AD147" s="2"/>
      <c r="AE147" s="3"/>
      <c r="AF147" s="2"/>
      <c r="AG147" s="2"/>
      <c r="AH147" s="3"/>
      <c r="AL147" s="3"/>
      <c r="AR147" s="3"/>
      <c r="AV147" s="3"/>
      <c r="AZ147" s="3"/>
      <c r="BC147" s="3"/>
      <c r="BG147" s="3"/>
      <c r="BJ147" s="3"/>
      <c r="BN147" s="3"/>
      <c r="BQ147" s="3"/>
      <c r="BT147" s="3"/>
      <c r="BX147" s="3"/>
      <c r="CA147" s="3"/>
    </row>
    <row r="148" spans="1:79" x14ac:dyDescent="0.3">
      <c r="A148" s="2" t="s">
        <v>15</v>
      </c>
      <c r="B148" s="2">
        <v>1</v>
      </c>
      <c r="C148" s="3" t="s">
        <v>120</v>
      </c>
      <c r="D148" s="95">
        <v>1.5</v>
      </c>
      <c r="E148" s="3" t="s">
        <v>109</v>
      </c>
      <c r="F148" s="51"/>
      <c r="G148" s="3"/>
      <c r="H148" s="51"/>
      <c r="I148" s="3"/>
      <c r="J148" s="51"/>
      <c r="K148" s="51"/>
      <c r="L148" s="51"/>
      <c r="M148" s="3"/>
      <c r="O148" s="98"/>
      <c r="P148" s="98"/>
      <c r="Q148" s="3"/>
      <c r="R148" s="98"/>
      <c r="S148" s="98"/>
      <c r="T148" s="12"/>
      <c r="U148" s="3"/>
      <c r="V148" s="12"/>
      <c r="W148" s="99"/>
      <c r="X148" s="3"/>
      <c r="Y148" s="99"/>
      <c r="Z148" s="99"/>
      <c r="AA148" s="3"/>
      <c r="AB148" s="12"/>
      <c r="AC148" s="2"/>
      <c r="AD148" s="2"/>
      <c r="AE148" s="3"/>
      <c r="AF148" s="2"/>
      <c r="AG148" s="2"/>
      <c r="AH148" s="3"/>
      <c r="AL148" s="3"/>
      <c r="AR148" s="3"/>
      <c r="AV148" s="3"/>
      <c r="AZ148" s="3"/>
      <c r="BC148" s="3"/>
      <c r="BG148" s="3"/>
      <c r="BJ148" s="3"/>
      <c r="BN148" s="3"/>
      <c r="BQ148" s="3"/>
      <c r="BT148" s="3"/>
      <c r="BX148" s="3"/>
      <c r="CA148" s="3"/>
    </row>
    <row r="149" spans="1:79" x14ac:dyDescent="0.3">
      <c r="A149" s="151" t="s">
        <v>132</v>
      </c>
      <c r="B149" s="2">
        <v>1</v>
      </c>
      <c r="C149" s="3" t="s">
        <v>133</v>
      </c>
      <c r="D149" s="95">
        <v>18.559999999999999</v>
      </c>
      <c r="E149" s="3" t="s">
        <v>126</v>
      </c>
      <c r="F149" s="51"/>
      <c r="G149" s="3"/>
      <c r="H149" s="51"/>
      <c r="I149" s="3"/>
      <c r="J149" s="51"/>
      <c r="K149" s="51"/>
      <c r="L149" s="51"/>
      <c r="M149" s="3"/>
      <c r="O149" s="98"/>
      <c r="P149" s="98"/>
      <c r="Q149" s="3"/>
      <c r="R149" s="98"/>
      <c r="S149" s="98"/>
      <c r="T149" s="12"/>
      <c r="U149" s="3"/>
      <c r="V149" s="12"/>
      <c r="W149" s="99"/>
      <c r="X149" s="3"/>
      <c r="Y149" s="99"/>
      <c r="Z149" s="99"/>
      <c r="AA149" s="3"/>
      <c r="AB149" s="12"/>
      <c r="AC149" s="2"/>
      <c r="AD149" s="2"/>
      <c r="AE149" s="3"/>
      <c r="AF149" s="2"/>
      <c r="AG149" s="2"/>
      <c r="AH149" s="3"/>
      <c r="AL149" s="3"/>
      <c r="AR149" s="3"/>
      <c r="AV149" s="3"/>
      <c r="AZ149" s="3"/>
      <c r="BC149" s="3"/>
      <c r="BG149" s="3"/>
      <c r="BJ149" s="3"/>
      <c r="BN149" s="3"/>
      <c r="BQ149" s="3"/>
      <c r="BT149" s="3"/>
      <c r="BX149" s="3"/>
      <c r="CA149" s="3"/>
    </row>
    <row r="150" spans="1:79" x14ac:dyDescent="0.3">
      <c r="A150" s="151"/>
      <c r="B150" s="2">
        <v>1</v>
      </c>
      <c r="C150" s="3" t="s">
        <v>134</v>
      </c>
      <c r="D150" s="95">
        <v>164</v>
      </c>
      <c r="E150" s="3" t="s">
        <v>102</v>
      </c>
      <c r="F150" s="95">
        <f>D150/D108</f>
        <v>1.4642857142857142</v>
      </c>
      <c r="G150" s="3" t="s">
        <v>109</v>
      </c>
      <c r="H150" s="51"/>
      <c r="I150" s="6"/>
      <c r="J150" s="51"/>
      <c r="K150" s="51"/>
      <c r="L150" s="51"/>
      <c r="M150" s="6"/>
      <c r="O150" s="98"/>
      <c r="P150" s="98"/>
      <c r="Q150" s="6"/>
      <c r="R150" s="98"/>
      <c r="S150" s="98"/>
      <c r="T150" s="12"/>
      <c r="U150" s="6"/>
      <c r="V150" s="12"/>
      <c r="W150" s="99"/>
      <c r="X150" s="6"/>
      <c r="Y150" s="99"/>
      <c r="Z150" s="99"/>
      <c r="AA150" s="6"/>
      <c r="AB150" s="12"/>
      <c r="AC150" s="2"/>
      <c r="AD150" s="2"/>
      <c r="AE150" s="6"/>
      <c r="AF150" s="2"/>
      <c r="AG150" s="2"/>
      <c r="AH150" s="6"/>
      <c r="AL150" s="6"/>
      <c r="AR150" s="6"/>
      <c r="AV150" s="6"/>
      <c r="AZ150" s="6"/>
      <c r="BC150" s="6"/>
      <c r="BG150" s="6"/>
      <c r="BJ150" s="6"/>
      <c r="BN150" s="6"/>
      <c r="BQ150" s="6"/>
      <c r="BT150" s="6"/>
      <c r="BX150" s="6"/>
      <c r="CA150" s="6"/>
    </row>
    <row r="151" spans="1:79" x14ac:dyDescent="0.3">
      <c r="A151" s="151" t="s">
        <v>135</v>
      </c>
      <c r="B151" s="2">
        <v>1</v>
      </c>
      <c r="C151" s="3" t="s">
        <v>136</v>
      </c>
      <c r="D151" s="95">
        <v>336</v>
      </c>
      <c r="E151" s="3" t="s">
        <v>102</v>
      </c>
      <c r="F151" s="95">
        <v>3</v>
      </c>
      <c r="G151" s="3" t="s">
        <v>109</v>
      </c>
      <c r="H151" s="51"/>
      <c r="I151" s="3"/>
      <c r="J151" s="51"/>
      <c r="K151" s="51"/>
      <c r="L151" s="51"/>
      <c r="M151" s="3"/>
      <c r="O151" s="98"/>
      <c r="P151" s="98"/>
      <c r="Q151" s="3"/>
      <c r="R151" s="98"/>
      <c r="S151" s="98"/>
      <c r="T151" s="12"/>
      <c r="U151" s="3"/>
      <c r="V151" s="12"/>
      <c r="W151" s="99"/>
      <c r="X151" s="3"/>
      <c r="Y151" s="99"/>
      <c r="Z151" s="99"/>
      <c r="AA151" s="3"/>
      <c r="AB151" s="12"/>
      <c r="AC151" s="2"/>
      <c r="AD151" s="2"/>
      <c r="AE151" s="3"/>
      <c r="AF151" s="2"/>
      <c r="AG151" s="2"/>
      <c r="AH151" s="3"/>
      <c r="AL151" s="3"/>
      <c r="AR151" s="3"/>
      <c r="AV151" s="3"/>
      <c r="AZ151" s="3"/>
      <c r="BC151" s="3"/>
      <c r="BG151" s="3"/>
      <c r="BJ151" s="3"/>
      <c r="BN151" s="3"/>
      <c r="BQ151" s="3"/>
      <c r="BT151" s="3"/>
      <c r="BX151" s="3"/>
      <c r="CA151" s="3"/>
    </row>
    <row r="152" spans="1:79" x14ac:dyDescent="0.3">
      <c r="A152" s="151"/>
      <c r="B152" s="2">
        <v>1</v>
      </c>
      <c r="C152" s="3" t="s">
        <v>137</v>
      </c>
      <c r="D152" s="95">
        <v>240</v>
      </c>
      <c r="E152" s="3" t="s">
        <v>102</v>
      </c>
      <c r="F152" s="95">
        <f>D152/D123</f>
        <v>2.1428571428571428</v>
      </c>
      <c r="G152" s="3" t="s">
        <v>109</v>
      </c>
      <c r="H152" s="51"/>
      <c r="I152" s="3"/>
      <c r="J152" s="51"/>
      <c r="K152" s="51"/>
      <c r="L152" s="51"/>
      <c r="M152" s="3"/>
      <c r="O152" s="98"/>
      <c r="P152" s="98"/>
      <c r="Q152" s="3"/>
      <c r="R152" s="98"/>
      <c r="S152" s="98"/>
      <c r="T152" s="12"/>
      <c r="U152" s="3"/>
      <c r="V152" s="12"/>
      <c r="W152" s="99"/>
      <c r="X152" s="3"/>
      <c r="Y152" s="99"/>
      <c r="Z152" s="99"/>
      <c r="AA152" s="3"/>
      <c r="AB152" s="12"/>
      <c r="AC152" s="2"/>
      <c r="AD152" s="2"/>
      <c r="AE152" s="3"/>
      <c r="AF152" s="2"/>
      <c r="AG152" s="2"/>
      <c r="AH152" s="3"/>
      <c r="AL152" s="3"/>
      <c r="AR152" s="3"/>
      <c r="AV152" s="3"/>
      <c r="AZ152" s="3"/>
      <c r="BC152" s="3"/>
      <c r="BG152" s="3"/>
      <c r="BJ152" s="3"/>
      <c r="BN152" s="3"/>
      <c r="BQ152" s="3"/>
      <c r="BT152" s="3"/>
      <c r="BX152" s="3"/>
      <c r="CA152" s="3"/>
    </row>
    <row r="153" spans="1:79" x14ac:dyDescent="0.3">
      <c r="A153" s="151" t="s">
        <v>29</v>
      </c>
      <c r="B153" s="2">
        <v>1</v>
      </c>
      <c r="C153" s="3" t="s">
        <v>138</v>
      </c>
      <c r="D153" s="95">
        <v>3.40835</v>
      </c>
      <c r="E153" s="3" t="s">
        <v>120</v>
      </c>
      <c r="F153" s="95">
        <f>D153*D154/D123</f>
        <v>5.9646125000000003</v>
      </c>
      <c r="G153" s="3" t="s">
        <v>109</v>
      </c>
      <c r="H153" s="51"/>
      <c r="I153" s="3"/>
      <c r="J153" s="51"/>
      <c r="K153" s="51"/>
      <c r="L153" s="51"/>
      <c r="M153" s="3"/>
      <c r="O153" s="98"/>
      <c r="P153" s="98"/>
      <c r="Q153" s="3"/>
      <c r="R153" s="98"/>
      <c r="S153" s="98"/>
      <c r="T153" s="12"/>
      <c r="U153" s="3"/>
      <c r="V153" s="12"/>
      <c r="W153" s="99"/>
      <c r="X153" s="3"/>
      <c r="Y153" s="99"/>
      <c r="Z153" s="99"/>
      <c r="AA153" s="3"/>
      <c r="AB153" s="12"/>
      <c r="AC153" s="2"/>
      <c r="AD153" s="2"/>
      <c r="AE153" s="3"/>
      <c r="AF153" s="2"/>
      <c r="AG153" s="2"/>
      <c r="AH153" s="3"/>
      <c r="AL153" s="3"/>
      <c r="AR153" s="3"/>
      <c r="AV153" s="3"/>
      <c r="AZ153" s="3"/>
      <c r="BC153" s="3"/>
      <c r="BG153" s="3"/>
      <c r="BJ153" s="3"/>
      <c r="BN153" s="3"/>
      <c r="BQ153" s="3"/>
      <c r="BT153" s="3"/>
      <c r="BX153" s="3"/>
      <c r="CA153" s="3"/>
    </row>
    <row r="154" spans="1:79" x14ac:dyDescent="0.3">
      <c r="A154" s="151"/>
      <c r="B154" s="2">
        <v>1</v>
      </c>
      <c r="C154" s="3" t="s">
        <v>120</v>
      </c>
      <c r="D154" s="97">
        <v>196</v>
      </c>
      <c r="E154" s="3" t="s">
        <v>102</v>
      </c>
      <c r="F154" s="95"/>
      <c r="H154" s="51"/>
      <c r="I154" s="3"/>
      <c r="J154" s="51"/>
      <c r="K154" s="51"/>
      <c r="L154" s="51"/>
      <c r="M154" s="3"/>
      <c r="O154" s="98"/>
      <c r="P154" s="98"/>
      <c r="Q154" s="3"/>
      <c r="R154" s="98"/>
      <c r="S154" s="98"/>
      <c r="T154" s="12"/>
      <c r="U154" s="3"/>
      <c r="V154" s="12"/>
      <c r="W154" s="99"/>
      <c r="X154" s="3"/>
      <c r="Y154" s="99"/>
      <c r="Z154" s="99"/>
      <c r="AA154" s="3"/>
      <c r="AB154" s="12"/>
      <c r="AC154" s="2"/>
      <c r="AD154" s="2"/>
      <c r="AE154" s="3"/>
      <c r="AF154" s="2"/>
      <c r="AG154" s="2"/>
      <c r="AH154" s="3"/>
      <c r="AL154" s="3"/>
      <c r="AR154" s="3"/>
      <c r="AV154" s="3"/>
      <c r="AZ154" s="3"/>
      <c r="BC154" s="3"/>
      <c r="BG154" s="3"/>
      <c r="BJ154" s="3"/>
      <c r="BN154" s="3"/>
      <c r="BQ154" s="3"/>
      <c r="BT154" s="3"/>
      <c r="BX154" s="3"/>
      <c r="CA154" s="3"/>
    </row>
    <row r="155" spans="1:79" x14ac:dyDescent="0.3">
      <c r="A155" s="151" t="s">
        <v>74</v>
      </c>
      <c r="B155" s="2">
        <v>1</v>
      </c>
      <c r="C155" s="3" t="s">
        <v>139</v>
      </c>
      <c r="D155" s="97">
        <v>1</v>
      </c>
      <c r="E155" s="3" t="s">
        <v>124</v>
      </c>
      <c r="F155" s="95">
        <f>F156</f>
        <v>3.0446428571428572</v>
      </c>
      <c r="G155" s="3" t="s">
        <v>109</v>
      </c>
      <c r="H155" s="51"/>
      <c r="I155" s="3"/>
      <c r="J155" s="51"/>
      <c r="K155" s="51"/>
      <c r="L155" s="51"/>
      <c r="M155" s="3"/>
      <c r="O155" s="98"/>
      <c r="P155" s="98"/>
      <c r="Q155" s="3"/>
      <c r="R155" s="98"/>
      <c r="S155" s="98"/>
      <c r="T155" s="12"/>
      <c r="U155" s="3"/>
      <c r="V155" s="12"/>
      <c r="W155" s="99"/>
      <c r="X155" s="3"/>
      <c r="Y155" s="99"/>
      <c r="Z155" s="99"/>
      <c r="AA155" s="3"/>
      <c r="AB155" s="12"/>
      <c r="AC155" s="2"/>
      <c r="AD155" s="2"/>
      <c r="AE155" s="3"/>
      <c r="AF155" s="2"/>
      <c r="AG155" s="2"/>
      <c r="AH155" s="3"/>
      <c r="AL155" s="3"/>
      <c r="AR155" s="3"/>
      <c r="AV155" s="3"/>
      <c r="AZ155" s="3"/>
      <c r="BC155" s="3"/>
      <c r="BG155" s="3"/>
      <c r="BJ155" s="3"/>
      <c r="BN155" s="3"/>
      <c r="BQ155" s="3"/>
      <c r="BT155" s="3"/>
      <c r="BX155" s="3"/>
      <c r="CA155" s="3"/>
    </row>
    <row r="156" spans="1:79" x14ac:dyDescent="0.3">
      <c r="A156" s="151"/>
      <c r="B156" s="2">
        <v>1</v>
      </c>
      <c r="C156" s="3" t="s">
        <v>124</v>
      </c>
      <c r="D156" s="97">
        <f>(355+327)/2</f>
        <v>341</v>
      </c>
      <c r="E156" s="3" t="s">
        <v>102</v>
      </c>
      <c r="F156" s="95">
        <f>D156/D123</f>
        <v>3.0446428571428572</v>
      </c>
      <c r="G156" s="3" t="s">
        <v>109</v>
      </c>
      <c r="H156" s="51"/>
      <c r="I156" s="3"/>
      <c r="J156" s="51"/>
      <c r="K156" s="51"/>
      <c r="L156" s="51"/>
      <c r="M156" s="3"/>
      <c r="O156" s="98"/>
      <c r="P156" s="98"/>
      <c r="Q156" s="3"/>
      <c r="R156" s="98"/>
      <c r="S156" s="98"/>
      <c r="T156" s="12"/>
      <c r="U156" s="3"/>
      <c r="V156" s="12"/>
      <c r="W156" s="99"/>
      <c r="X156" s="3"/>
      <c r="Y156" s="99"/>
      <c r="Z156" s="99"/>
      <c r="AA156" s="3"/>
      <c r="AB156" s="12"/>
      <c r="AC156" s="2"/>
      <c r="AD156" s="2"/>
      <c r="AE156" s="3"/>
      <c r="AF156" s="2"/>
      <c r="AG156" s="2"/>
      <c r="AH156" s="3"/>
      <c r="AL156" s="3"/>
      <c r="AR156" s="3"/>
      <c r="AV156" s="3"/>
      <c r="AZ156" s="3"/>
      <c r="BC156" s="3"/>
      <c r="BG156" s="3"/>
      <c r="BJ156" s="3"/>
      <c r="BN156" s="3"/>
      <c r="BQ156" s="3"/>
      <c r="BT156" s="3"/>
      <c r="BX156" s="3"/>
      <c r="CA156" s="3"/>
    </row>
    <row r="157" spans="1:79" x14ac:dyDescent="0.3">
      <c r="A157" s="151" t="s">
        <v>16</v>
      </c>
      <c r="B157" s="2">
        <v>1</v>
      </c>
      <c r="C157" s="6" t="s">
        <v>119</v>
      </c>
      <c r="D157" s="97">
        <v>140.63</v>
      </c>
      <c r="E157" s="3" t="s">
        <v>102</v>
      </c>
      <c r="F157" s="95">
        <f>D157/D123</f>
        <v>1.255625</v>
      </c>
      <c r="G157" s="3" t="s">
        <v>109</v>
      </c>
      <c r="H157" s="51"/>
      <c r="I157" s="3"/>
      <c r="J157" s="51"/>
      <c r="K157" s="51"/>
      <c r="L157" s="51"/>
      <c r="M157" s="3"/>
      <c r="O157" s="98"/>
      <c r="P157" s="98"/>
      <c r="Q157" s="3"/>
      <c r="R157" s="98"/>
      <c r="S157" s="98"/>
      <c r="T157" s="12"/>
      <c r="U157" s="3"/>
      <c r="V157" s="12"/>
      <c r="W157" s="99"/>
      <c r="X157" s="3"/>
      <c r="Y157" s="99"/>
      <c r="Z157" s="99"/>
      <c r="AA157" s="3"/>
      <c r="AB157" s="12"/>
      <c r="AC157" s="2"/>
      <c r="AD157" s="2"/>
      <c r="AE157" s="3"/>
      <c r="AF157" s="2"/>
      <c r="AG157" s="2"/>
      <c r="AH157" s="3"/>
      <c r="AL157" s="3"/>
      <c r="AR157" s="3"/>
      <c r="AV157" s="3"/>
      <c r="AZ157" s="3"/>
      <c r="BC157" s="3"/>
      <c r="BG157" s="3"/>
      <c r="BJ157" s="3"/>
      <c r="BN157" s="3"/>
      <c r="BQ157" s="3"/>
      <c r="BT157" s="3"/>
      <c r="BX157" s="3"/>
      <c r="CA157" s="3"/>
    </row>
    <row r="158" spans="1:79" x14ac:dyDescent="0.3">
      <c r="A158" s="151"/>
      <c r="B158" s="2">
        <v>1</v>
      </c>
      <c r="C158" s="6" t="s">
        <v>140</v>
      </c>
      <c r="D158" s="97">
        <v>0.91576999999999997</v>
      </c>
      <c r="E158" s="3" t="s">
        <v>119</v>
      </c>
      <c r="F158" s="95">
        <f>F157*D158</f>
        <v>1.1498637062499999</v>
      </c>
      <c r="G158" s="3" t="s">
        <v>109</v>
      </c>
      <c r="H158" s="51"/>
      <c r="I158" s="3"/>
      <c r="J158" s="51"/>
      <c r="K158" s="51"/>
      <c r="L158" s="51"/>
      <c r="M158" s="3"/>
      <c r="O158" s="98"/>
      <c r="P158" s="98"/>
      <c r="Q158" s="3"/>
      <c r="R158" s="98"/>
      <c r="S158" s="98"/>
      <c r="T158" s="12"/>
      <c r="U158" s="3"/>
      <c r="V158" s="12"/>
      <c r="W158" s="99"/>
      <c r="X158" s="3"/>
      <c r="Y158" s="99"/>
      <c r="Z158" s="99"/>
      <c r="AA158" s="3"/>
      <c r="AB158" s="12"/>
      <c r="AC158" s="2"/>
      <c r="AD158" s="2"/>
      <c r="AE158" s="3"/>
      <c r="AF158" s="2"/>
      <c r="AG158" s="2"/>
      <c r="AH158" s="3"/>
      <c r="AL158" s="3"/>
      <c r="AR158" s="3"/>
      <c r="AV158" s="3"/>
      <c r="AZ158" s="3"/>
      <c r="BC158" s="3"/>
      <c r="BG158" s="3"/>
      <c r="BJ158" s="3"/>
      <c r="BN158" s="3"/>
      <c r="BQ158" s="3"/>
      <c r="BT158" s="3"/>
      <c r="BX158" s="3"/>
      <c r="CA158" s="3"/>
    </row>
    <row r="159" spans="1:79" x14ac:dyDescent="0.3">
      <c r="A159" s="151" t="s">
        <v>141</v>
      </c>
      <c r="B159" s="2">
        <v>1</v>
      </c>
      <c r="C159" s="6" t="s">
        <v>124</v>
      </c>
      <c r="D159" s="97">
        <v>2.37609</v>
      </c>
      <c r="E159" s="6" t="s">
        <v>120</v>
      </c>
      <c r="F159" s="95">
        <f>D159*D160</f>
        <v>4.1366063637000003</v>
      </c>
      <c r="G159" s="3" t="s">
        <v>109</v>
      </c>
      <c r="H159" s="51"/>
      <c r="I159" s="3"/>
      <c r="J159" s="51"/>
      <c r="K159" s="51"/>
      <c r="L159" s="51"/>
      <c r="M159" s="3"/>
      <c r="O159" s="98"/>
      <c r="P159" s="98"/>
      <c r="Q159" s="3"/>
      <c r="R159" s="98"/>
      <c r="S159" s="98"/>
      <c r="T159" s="12"/>
      <c r="U159" s="3"/>
      <c r="V159" s="12"/>
      <c r="W159" s="99"/>
      <c r="X159" s="3"/>
      <c r="Y159" s="99"/>
      <c r="Z159" s="99"/>
      <c r="AA159" s="3"/>
      <c r="AB159" s="12"/>
      <c r="AC159" s="2"/>
      <c r="AD159" s="2"/>
      <c r="AE159" s="3"/>
      <c r="AF159" s="2"/>
      <c r="AG159" s="2"/>
      <c r="AH159" s="3"/>
      <c r="AL159" s="3"/>
      <c r="AR159" s="3"/>
      <c r="AV159" s="3"/>
      <c r="AZ159" s="3"/>
      <c r="BC159" s="3"/>
      <c r="BG159" s="3"/>
      <c r="BJ159" s="3"/>
      <c r="BN159" s="3"/>
      <c r="BQ159" s="3"/>
      <c r="BT159" s="3"/>
      <c r="BX159" s="3"/>
      <c r="CA159" s="3"/>
    </row>
    <row r="160" spans="1:79" x14ac:dyDescent="0.3">
      <c r="A160" s="151"/>
      <c r="B160" s="2">
        <v>1</v>
      </c>
      <c r="C160" s="6" t="s">
        <v>120</v>
      </c>
      <c r="D160" s="97">
        <v>1.7409300000000001</v>
      </c>
      <c r="E160" s="3" t="s">
        <v>109</v>
      </c>
      <c r="F160" s="95"/>
      <c r="G160" s="3"/>
      <c r="H160" s="51"/>
      <c r="I160" s="3"/>
      <c r="J160" s="51"/>
      <c r="K160" s="51"/>
      <c r="L160" s="51"/>
      <c r="M160" s="3"/>
      <c r="O160" s="98"/>
      <c r="P160" s="98"/>
      <c r="Q160" s="3"/>
      <c r="R160" s="98"/>
      <c r="S160" s="98"/>
      <c r="T160" s="12"/>
      <c r="U160" s="3"/>
      <c r="V160" s="12"/>
      <c r="W160" s="99"/>
      <c r="X160" s="3"/>
      <c r="Y160" s="99"/>
      <c r="Z160" s="99"/>
      <c r="AA160" s="3"/>
      <c r="AB160" s="12"/>
      <c r="AC160" s="2"/>
      <c r="AD160" s="2"/>
      <c r="AE160" s="3"/>
      <c r="AF160" s="2"/>
      <c r="AG160" s="2"/>
      <c r="AH160" s="3"/>
      <c r="AL160" s="3"/>
      <c r="AR160" s="3"/>
      <c r="AV160" s="3"/>
      <c r="AZ160" s="3"/>
      <c r="BC160" s="3"/>
      <c r="BG160" s="3"/>
      <c r="BJ160" s="3"/>
      <c r="BN160" s="3"/>
      <c r="BQ160" s="3"/>
      <c r="BT160" s="3"/>
      <c r="BX160" s="3"/>
      <c r="CA160" s="3"/>
    </row>
    <row r="161" spans="1:79" x14ac:dyDescent="0.3">
      <c r="A161" s="2" t="s">
        <v>142</v>
      </c>
      <c r="B161" s="2">
        <v>1</v>
      </c>
      <c r="C161" s="6" t="s">
        <v>124</v>
      </c>
      <c r="D161" s="97">
        <v>242</v>
      </c>
      <c r="E161" s="3" t="s">
        <v>102</v>
      </c>
      <c r="F161" s="95">
        <f>D161/D123</f>
        <v>2.1607142857142856</v>
      </c>
      <c r="G161" s="3" t="s">
        <v>109</v>
      </c>
      <c r="H161" s="51"/>
      <c r="I161" s="3"/>
      <c r="J161" s="51"/>
      <c r="K161" s="51"/>
      <c r="L161" s="51"/>
      <c r="M161" s="3"/>
      <c r="O161" s="98"/>
      <c r="P161" s="98"/>
      <c r="Q161" s="3"/>
      <c r="R161" s="98"/>
      <c r="S161" s="98"/>
      <c r="T161" s="12"/>
      <c r="U161" s="3"/>
      <c r="V161" s="12"/>
      <c r="W161" s="99"/>
      <c r="X161" s="3"/>
      <c r="Y161" s="99"/>
      <c r="Z161" s="99"/>
      <c r="AA161" s="3"/>
      <c r="AB161" s="12"/>
      <c r="AC161" s="2"/>
      <c r="AD161" s="2"/>
      <c r="AE161" s="3"/>
      <c r="AF161" s="2"/>
      <c r="AG161" s="2"/>
      <c r="AH161" s="3"/>
      <c r="AL161" s="3"/>
      <c r="AR161" s="3"/>
      <c r="AV161" s="3"/>
      <c r="AZ161" s="3"/>
      <c r="BC161" s="3"/>
      <c r="BG161" s="3"/>
      <c r="BJ161" s="3"/>
      <c r="BN161" s="3"/>
      <c r="BQ161" s="3"/>
      <c r="BT161" s="3"/>
      <c r="BX161" s="3"/>
      <c r="CA161" s="3"/>
    </row>
    <row r="162" spans="1:79" x14ac:dyDescent="0.3">
      <c r="A162" s="2" t="s">
        <v>143</v>
      </c>
      <c r="B162" s="2">
        <v>1</v>
      </c>
      <c r="C162" s="6" t="s">
        <v>144</v>
      </c>
      <c r="D162" s="97">
        <v>294</v>
      </c>
      <c r="E162" s="3" t="s">
        <v>102</v>
      </c>
      <c r="F162" s="95">
        <f>D162/D123</f>
        <v>2.625</v>
      </c>
      <c r="G162" s="3" t="s">
        <v>109</v>
      </c>
      <c r="H162" s="51"/>
      <c r="I162" s="3"/>
      <c r="J162" s="51"/>
      <c r="K162" s="51"/>
      <c r="L162" s="51"/>
      <c r="M162" s="3"/>
      <c r="O162" s="98"/>
      <c r="P162" s="98"/>
      <c r="Q162" s="3"/>
      <c r="R162" s="98"/>
      <c r="S162" s="98"/>
      <c r="T162" s="12"/>
      <c r="U162" s="3"/>
      <c r="V162" s="12"/>
      <c r="W162" s="99"/>
      <c r="X162" s="3"/>
      <c r="Y162" s="99"/>
      <c r="Z162" s="99"/>
      <c r="AA162" s="3"/>
      <c r="AB162" s="12"/>
      <c r="AC162" s="2"/>
      <c r="AD162" s="2"/>
      <c r="AE162" s="3"/>
      <c r="AF162" s="2"/>
      <c r="AG162" s="2"/>
      <c r="AH162" s="3"/>
      <c r="AL162" s="3"/>
      <c r="AR162" s="3"/>
      <c r="AV162" s="3"/>
      <c r="AZ162" s="3"/>
      <c r="BC162" s="3"/>
      <c r="BG162" s="3"/>
      <c r="BJ162" s="3"/>
      <c r="BN162" s="3"/>
      <c r="BQ162" s="3"/>
      <c r="BT162" s="3"/>
      <c r="BX162" s="3"/>
      <c r="CA162" s="3"/>
    </row>
    <row r="163" spans="1:79" x14ac:dyDescent="0.3">
      <c r="A163" s="2" t="s">
        <v>11</v>
      </c>
      <c r="B163" s="2">
        <v>1</v>
      </c>
      <c r="C163" s="6" t="s">
        <v>119</v>
      </c>
      <c r="D163" s="95">
        <v>0.88400000000000001</v>
      </c>
      <c r="E163" s="3" t="s">
        <v>109</v>
      </c>
      <c r="F163" s="51"/>
      <c r="G163" s="51"/>
      <c r="H163" s="51"/>
      <c r="I163" s="3"/>
      <c r="J163" s="51"/>
      <c r="K163" s="51"/>
      <c r="L163" s="51"/>
      <c r="M163" s="3"/>
      <c r="O163" s="98"/>
      <c r="P163" s="98"/>
      <c r="Q163" s="3"/>
      <c r="R163" s="98"/>
      <c r="S163" s="98"/>
      <c r="T163" s="12"/>
      <c r="U163" s="3"/>
      <c r="V163" s="12"/>
      <c r="W163" s="99"/>
      <c r="X163" s="3"/>
      <c r="Y163" s="99"/>
      <c r="Z163" s="99"/>
      <c r="AA163" s="3"/>
      <c r="AB163" s="12"/>
      <c r="AC163" s="2"/>
      <c r="AD163" s="2"/>
      <c r="AE163" s="3"/>
      <c r="AF163" s="2"/>
      <c r="AG163" s="2"/>
      <c r="AH163" s="3"/>
      <c r="AL163" s="3"/>
      <c r="AR163" s="3"/>
      <c r="AV163" s="3"/>
      <c r="AZ163" s="3"/>
      <c r="BC163" s="3"/>
      <c r="BG163" s="3"/>
      <c r="BJ163" s="3"/>
      <c r="BN163" s="3"/>
      <c r="BQ163" s="3"/>
      <c r="BT163" s="3"/>
      <c r="BX163" s="3"/>
      <c r="CA163" s="3"/>
    </row>
    <row r="164" spans="1:79" x14ac:dyDescent="0.3">
      <c r="A164" s="2" t="s">
        <v>18</v>
      </c>
      <c r="B164" s="2">
        <v>1</v>
      </c>
      <c r="C164" s="6" t="s">
        <v>120</v>
      </c>
      <c r="D164" s="97">
        <v>149</v>
      </c>
      <c r="E164" s="3" t="s">
        <v>102</v>
      </c>
      <c r="F164" s="95">
        <f>D164/D123</f>
        <v>1.3303571428571428</v>
      </c>
      <c r="G164" s="3" t="s">
        <v>109</v>
      </c>
      <c r="H164" s="51"/>
      <c r="I164" s="3"/>
      <c r="J164" s="51"/>
      <c r="K164" s="51"/>
      <c r="L164" s="51"/>
      <c r="M164" s="3"/>
      <c r="O164" s="98"/>
      <c r="P164" s="98"/>
      <c r="Q164" s="3"/>
      <c r="R164" s="98"/>
      <c r="S164" s="98"/>
      <c r="T164" s="12"/>
      <c r="U164" s="3"/>
      <c r="V164" s="12"/>
      <c r="W164" s="99"/>
      <c r="X164" s="3"/>
      <c r="Y164" s="99"/>
      <c r="Z164" s="99"/>
      <c r="AA164" s="3"/>
      <c r="AB164" s="12"/>
      <c r="AC164" s="2"/>
      <c r="AD164" s="2"/>
      <c r="AE164" s="3"/>
      <c r="AF164" s="2"/>
      <c r="AG164" s="2"/>
      <c r="AH164" s="3"/>
      <c r="AL164" s="3"/>
      <c r="AR164" s="3"/>
      <c r="AV164" s="3"/>
      <c r="AZ164" s="3"/>
      <c r="BC164" s="3"/>
      <c r="BG164" s="3"/>
      <c r="BJ164" s="3"/>
      <c r="BN164" s="3"/>
      <c r="BQ164" s="3"/>
      <c r="BT164" s="3"/>
      <c r="BX164" s="3"/>
      <c r="CA164" s="3"/>
    </row>
    <row r="165" spans="1:79" x14ac:dyDescent="0.3">
      <c r="A165" s="2" t="s">
        <v>132</v>
      </c>
      <c r="B165" s="2">
        <v>1</v>
      </c>
      <c r="C165" s="6" t="s">
        <v>119</v>
      </c>
      <c r="D165" s="97">
        <v>164</v>
      </c>
      <c r="E165" s="3" t="s">
        <v>102</v>
      </c>
      <c r="F165" s="95">
        <f>D165/D123</f>
        <v>1.4642857142857142</v>
      </c>
      <c r="G165" s="3" t="s">
        <v>109</v>
      </c>
      <c r="H165" s="51"/>
      <c r="I165" s="3"/>
      <c r="J165" s="51"/>
      <c r="K165" s="51"/>
      <c r="L165" s="51"/>
      <c r="M165" s="3"/>
      <c r="O165" s="98"/>
      <c r="P165" s="98"/>
      <c r="Q165" s="3"/>
      <c r="R165" s="98"/>
      <c r="S165" s="98"/>
      <c r="T165" s="12"/>
      <c r="U165" s="3"/>
      <c r="V165" s="12"/>
      <c r="W165" s="99"/>
      <c r="X165" s="3"/>
      <c r="Y165" s="99"/>
      <c r="Z165" s="99"/>
      <c r="AA165" s="3"/>
      <c r="AB165" s="12"/>
      <c r="AC165" s="2"/>
      <c r="AD165" s="2"/>
      <c r="AE165" s="3"/>
      <c r="AF165" s="2"/>
      <c r="AG165" s="2"/>
      <c r="AH165" s="3"/>
      <c r="AL165" s="3"/>
      <c r="AR165" s="3"/>
      <c r="AV165" s="3"/>
      <c r="AZ165" s="3"/>
      <c r="BC165" s="3"/>
      <c r="BG165" s="3"/>
      <c r="BJ165" s="3"/>
      <c r="BN165" s="3"/>
      <c r="BQ165" s="3"/>
      <c r="BT165" s="3"/>
      <c r="BX165" s="3"/>
      <c r="CA165" s="3"/>
    </row>
    <row r="166" spans="1:79" x14ac:dyDescent="0.3">
      <c r="A166" s="151" t="s">
        <v>95</v>
      </c>
      <c r="B166" s="2">
        <v>1</v>
      </c>
      <c r="C166" s="6" t="s">
        <v>144</v>
      </c>
      <c r="D166" s="97">
        <v>2.0271699999999999</v>
      </c>
      <c r="E166" s="3" t="s">
        <v>124</v>
      </c>
      <c r="F166" s="95">
        <f>D167*D166/D123</f>
        <v>6.0815099999999997</v>
      </c>
      <c r="G166" s="3" t="s">
        <v>109</v>
      </c>
      <c r="H166" s="51"/>
      <c r="I166" s="3"/>
      <c r="J166" s="51"/>
      <c r="K166" s="51"/>
      <c r="L166" s="51"/>
      <c r="M166" s="3"/>
      <c r="O166" s="98"/>
      <c r="P166" s="98"/>
      <c r="Q166" s="3"/>
      <c r="R166" s="98"/>
      <c r="S166" s="98"/>
      <c r="T166" s="12"/>
      <c r="U166" s="3"/>
      <c r="V166" s="12"/>
      <c r="W166" s="99"/>
      <c r="X166" s="3"/>
      <c r="Y166" s="99"/>
      <c r="Z166" s="99"/>
      <c r="AA166" s="3"/>
      <c r="AB166" s="12"/>
      <c r="AC166" s="2"/>
      <c r="AD166" s="2"/>
      <c r="AE166" s="3"/>
      <c r="AF166" s="2"/>
      <c r="AG166" s="2"/>
      <c r="AH166" s="3"/>
      <c r="AL166" s="3"/>
      <c r="AR166" s="3"/>
      <c r="AV166" s="3"/>
      <c r="AZ166" s="3"/>
      <c r="BC166" s="3"/>
      <c r="BG166" s="3"/>
      <c r="BJ166" s="3"/>
      <c r="BN166" s="3"/>
      <c r="BQ166" s="3"/>
      <c r="BT166" s="3"/>
      <c r="BX166" s="3"/>
      <c r="CA166" s="3"/>
    </row>
    <row r="167" spans="1:79" x14ac:dyDescent="0.3">
      <c r="A167" s="151"/>
      <c r="B167" s="2">
        <v>1</v>
      </c>
      <c r="C167" s="6" t="s">
        <v>124</v>
      </c>
      <c r="D167" s="97">
        <v>336</v>
      </c>
      <c r="E167" s="3" t="s">
        <v>102</v>
      </c>
      <c r="F167" s="95">
        <f>D167/D123</f>
        <v>3</v>
      </c>
      <c r="G167" s="3" t="s">
        <v>109</v>
      </c>
      <c r="H167" s="51"/>
      <c r="I167" s="3"/>
      <c r="J167" s="51"/>
      <c r="K167" s="51"/>
      <c r="L167" s="51"/>
      <c r="M167" s="3"/>
      <c r="O167" s="98"/>
      <c r="P167" s="98"/>
      <c r="Q167" s="3"/>
      <c r="R167" s="98"/>
      <c r="S167" s="98"/>
      <c r="T167" s="12"/>
      <c r="U167" s="3"/>
      <c r="V167" s="12"/>
      <c r="W167" s="99"/>
      <c r="X167" s="3"/>
      <c r="Y167" s="99"/>
      <c r="Z167" s="99"/>
      <c r="AA167" s="3"/>
      <c r="AB167" s="12"/>
      <c r="AC167" s="2"/>
      <c r="AD167" s="2"/>
      <c r="AE167" s="3"/>
      <c r="AF167" s="2"/>
      <c r="AG167" s="2"/>
      <c r="AH167" s="3"/>
      <c r="AL167" s="3"/>
      <c r="AR167" s="3"/>
      <c r="AV167" s="3"/>
      <c r="AZ167" s="3"/>
      <c r="BC167" s="3"/>
      <c r="BG167" s="3"/>
      <c r="BJ167" s="3"/>
      <c r="BN167" s="3"/>
      <c r="BQ167" s="3"/>
      <c r="BT167" s="3"/>
      <c r="BX167" s="3"/>
      <c r="CA167" s="3"/>
    </row>
    <row r="168" spans="1:79" x14ac:dyDescent="0.3">
      <c r="A168" s="100" t="s">
        <v>145</v>
      </c>
      <c r="B168" s="2">
        <v>1</v>
      </c>
      <c r="C168" s="6" t="s">
        <v>119</v>
      </c>
      <c r="D168" s="97">
        <v>746.66700000000003</v>
      </c>
      <c r="E168" s="3" t="s">
        <v>102</v>
      </c>
      <c r="F168" s="95">
        <f>D168/D123</f>
        <v>6.6666696428571433</v>
      </c>
      <c r="G168" s="3" t="s">
        <v>109</v>
      </c>
      <c r="H168" s="51"/>
      <c r="I168" s="3"/>
      <c r="J168" s="51"/>
      <c r="K168" s="51"/>
      <c r="L168" s="51"/>
      <c r="M168" s="3"/>
      <c r="O168" s="98"/>
      <c r="P168" s="98"/>
      <c r="Q168" s="3"/>
      <c r="R168" s="98"/>
      <c r="S168" s="98"/>
      <c r="T168" s="12"/>
      <c r="U168" s="3"/>
      <c r="V168" s="12"/>
      <c r="W168" s="99"/>
      <c r="X168" s="3"/>
      <c r="Y168" s="99"/>
      <c r="Z168" s="99"/>
      <c r="AA168" s="3"/>
      <c r="AB168" s="12"/>
      <c r="AC168" s="2"/>
      <c r="AD168" s="2"/>
      <c r="AE168" s="3"/>
      <c r="AF168" s="2"/>
      <c r="AG168" s="2"/>
      <c r="AH168" s="3"/>
      <c r="AL168" s="3"/>
      <c r="AR168" s="3"/>
      <c r="AV168" s="3"/>
      <c r="AZ168" s="3"/>
      <c r="BC168" s="3"/>
      <c r="BG168" s="3"/>
      <c r="BJ168" s="3"/>
      <c r="BN168" s="3"/>
      <c r="BQ168" s="3"/>
      <c r="BT168" s="3"/>
      <c r="BX168" s="3"/>
      <c r="CA168" s="3"/>
    </row>
    <row r="169" spans="1:79" x14ac:dyDescent="0.3">
      <c r="A169" s="151" t="s">
        <v>146</v>
      </c>
      <c r="B169" s="2">
        <v>1</v>
      </c>
      <c r="C169" s="6" t="s">
        <v>140</v>
      </c>
      <c r="D169" s="97">
        <v>260</v>
      </c>
      <c r="E169" s="3" t="s">
        <v>102</v>
      </c>
      <c r="F169" s="95">
        <f>D169/D123</f>
        <v>2.3214285714285716</v>
      </c>
      <c r="G169" s="3" t="s">
        <v>109</v>
      </c>
      <c r="H169" s="51"/>
      <c r="I169" s="3"/>
      <c r="J169" s="51"/>
      <c r="K169" s="51"/>
      <c r="L169" s="51"/>
      <c r="M169" s="3"/>
      <c r="Q169" s="3"/>
      <c r="T169" s="12"/>
      <c r="U169" s="3"/>
      <c r="V169" s="12"/>
      <c r="W169" s="2"/>
      <c r="X169" s="3"/>
      <c r="Y169" s="2"/>
      <c r="Z169" s="2"/>
      <c r="AA169" s="3"/>
      <c r="AB169" s="12"/>
      <c r="AC169" s="2"/>
      <c r="AD169" s="2"/>
      <c r="AE169" s="3"/>
      <c r="AF169" s="2"/>
      <c r="AG169" s="2"/>
      <c r="AH169" s="3"/>
      <c r="AL169" s="3"/>
      <c r="AR169" s="3"/>
      <c r="AV169" s="3"/>
      <c r="AZ169" s="3"/>
      <c r="BC169" s="3"/>
      <c r="BG169" s="3"/>
      <c r="BJ169" s="3"/>
      <c r="BN169" s="3"/>
      <c r="BQ169" s="3"/>
      <c r="BT169" s="3"/>
      <c r="BX169" s="3"/>
      <c r="CA169" s="3"/>
    </row>
    <row r="170" spans="1:79" x14ac:dyDescent="0.3">
      <c r="A170" s="151"/>
      <c r="B170" s="2">
        <v>1</v>
      </c>
      <c r="C170" s="6" t="s">
        <v>119</v>
      </c>
      <c r="D170" s="97">
        <v>1.5662799999999999</v>
      </c>
      <c r="E170" s="3" t="s">
        <v>109</v>
      </c>
      <c r="F170" s="95"/>
      <c r="G170" s="3"/>
      <c r="H170" s="51"/>
      <c r="I170" s="3"/>
      <c r="J170" s="51"/>
      <c r="K170" s="51"/>
      <c r="L170" s="51"/>
      <c r="M170" s="3"/>
      <c r="Q170" s="3"/>
      <c r="T170" s="12"/>
      <c r="U170" s="3"/>
      <c r="V170" s="12"/>
      <c r="W170" s="2"/>
      <c r="X170" s="3"/>
      <c r="Y170" s="2"/>
      <c r="Z170" s="2"/>
      <c r="AA170" s="3"/>
      <c r="AB170" s="12"/>
      <c r="AC170" s="2"/>
      <c r="AD170" s="2"/>
      <c r="AE170" s="3"/>
      <c r="AF170" s="2"/>
      <c r="AG170" s="2"/>
      <c r="AH170" s="3"/>
      <c r="AL170" s="3"/>
      <c r="AR170" s="3"/>
      <c r="AV170" s="3"/>
      <c r="AZ170" s="3"/>
      <c r="BC170" s="3"/>
      <c r="BG170" s="3"/>
      <c r="BJ170" s="3"/>
      <c r="BN170" s="3"/>
      <c r="BQ170" s="3"/>
      <c r="BT170" s="3"/>
      <c r="BX170" s="3"/>
      <c r="CA170" s="3"/>
    </row>
    <row r="171" spans="1:79" x14ac:dyDescent="0.3">
      <c r="A171" s="151"/>
      <c r="B171" s="2">
        <v>1</v>
      </c>
      <c r="C171" s="6" t="s">
        <v>101</v>
      </c>
      <c r="D171" s="97">
        <v>560</v>
      </c>
      <c r="E171" s="3" t="s">
        <v>102</v>
      </c>
      <c r="F171" s="95">
        <f>D171/D123</f>
        <v>5</v>
      </c>
      <c r="G171" s="3" t="s">
        <v>109</v>
      </c>
      <c r="H171" s="12"/>
      <c r="I171" s="3"/>
      <c r="J171" s="51"/>
      <c r="K171" s="12"/>
      <c r="L171" s="12"/>
      <c r="M171" s="3"/>
      <c r="Q171" s="3"/>
      <c r="U171" s="3"/>
      <c r="X171" s="3"/>
      <c r="Y171" s="2"/>
      <c r="AA171" s="3"/>
      <c r="AC171" s="12"/>
      <c r="AD171" s="12"/>
      <c r="AE171" s="3"/>
      <c r="AH171" s="3"/>
      <c r="AL171" s="3"/>
      <c r="AR171" s="3"/>
      <c r="AT171" s="12"/>
      <c r="AV171" s="3"/>
      <c r="AZ171" s="3"/>
      <c r="BC171" s="3"/>
      <c r="BG171" s="3"/>
      <c r="BJ171" s="3"/>
      <c r="BN171" s="3"/>
      <c r="BQ171" s="3"/>
      <c r="BT171" s="3"/>
      <c r="BX171" s="3"/>
      <c r="CA171" s="3"/>
    </row>
    <row r="172" spans="1:79" s="2" customFormat="1" x14ac:dyDescent="0.3">
      <c r="A172" s="151" t="s">
        <v>147</v>
      </c>
      <c r="B172" s="2">
        <v>1</v>
      </c>
      <c r="C172" s="3" t="s">
        <v>124</v>
      </c>
      <c r="D172" s="83">
        <v>80</v>
      </c>
      <c r="E172" s="3" t="s">
        <v>102</v>
      </c>
      <c r="F172" s="101">
        <f>D172/D173</f>
        <v>0.7142857142857143</v>
      </c>
      <c r="G172" s="3" t="s">
        <v>109</v>
      </c>
      <c r="H172" s="83"/>
      <c r="I172" s="3"/>
      <c r="J172" s="83"/>
      <c r="K172" s="83"/>
      <c r="L172" s="83"/>
      <c r="M172" s="3"/>
      <c r="N172" s="83"/>
      <c r="O172" s="83"/>
      <c r="Q172" s="3"/>
      <c r="U172" s="3"/>
      <c r="X172" s="3"/>
      <c r="AA172" s="3"/>
      <c r="AE172" s="3"/>
      <c r="AH172" s="3"/>
      <c r="AL172" s="3"/>
      <c r="AR172" s="3"/>
      <c r="AV172" s="3"/>
      <c r="AZ172" s="3"/>
      <c r="BC172" s="3"/>
      <c r="BG172" s="3"/>
      <c r="BJ172" s="3"/>
      <c r="BN172" s="3"/>
      <c r="BQ172" s="3"/>
      <c r="BT172" s="3"/>
      <c r="BX172" s="3"/>
      <c r="CA172" s="3"/>
    </row>
    <row r="173" spans="1:79" s="2" customFormat="1" x14ac:dyDescent="0.3">
      <c r="A173" s="151"/>
      <c r="B173" s="2">
        <v>1</v>
      </c>
      <c r="C173" s="3" t="s">
        <v>109</v>
      </c>
      <c r="D173" s="83">
        <v>112</v>
      </c>
      <c r="E173" s="3" t="s">
        <v>102</v>
      </c>
      <c r="F173" s="83"/>
      <c r="G173" s="83"/>
      <c r="H173" s="83"/>
      <c r="I173" s="3"/>
      <c r="J173" s="83"/>
      <c r="K173" s="83"/>
      <c r="L173" s="83"/>
      <c r="M173" s="3"/>
      <c r="N173" s="83"/>
      <c r="O173" s="83"/>
      <c r="Q173" s="3"/>
      <c r="U173" s="3"/>
      <c r="X173" s="3"/>
      <c r="AA173" s="3"/>
      <c r="AE173" s="3"/>
      <c r="AH173" s="3"/>
      <c r="AL173" s="3"/>
      <c r="AR173" s="3"/>
      <c r="AV173" s="3"/>
      <c r="AZ173" s="3"/>
      <c r="BC173" s="3"/>
      <c r="BG173" s="3"/>
      <c r="BJ173" s="3"/>
      <c r="BN173" s="3"/>
      <c r="BQ173" s="3"/>
      <c r="BT173" s="3"/>
      <c r="BX173" s="3"/>
      <c r="CA173" s="3"/>
    </row>
    <row r="174" spans="1:79" s="2" customFormat="1" x14ac:dyDescent="0.3">
      <c r="A174" s="100" t="s">
        <v>148</v>
      </c>
      <c r="B174" s="2">
        <v>1</v>
      </c>
      <c r="C174" s="6" t="s">
        <v>124</v>
      </c>
      <c r="D174" s="97">
        <v>336</v>
      </c>
      <c r="E174" s="3" t="s">
        <v>102</v>
      </c>
      <c r="F174" s="95">
        <f>D174/D173</f>
        <v>3</v>
      </c>
      <c r="G174" s="3" t="s">
        <v>109</v>
      </c>
      <c r="H174" s="83"/>
      <c r="I174" s="3"/>
      <c r="J174" s="83"/>
      <c r="K174" s="83"/>
      <c r="L174" s="83"/>
      <c r="M174" s="3"/>
      <c r="N174" s="83"/>
      <c r="O174" s="83"/>
      <c r="Q174" s="3"/>
      <c r="U174" s="3"/>
      <c r="X174" s="3"/>
      <c r="AA174" s="3"/>
      <c r="AE174" s="3"/>
      <c r="AH174" s="3"/>
      <c r="AL174" s="3"/>
      <c r="AR174" s="3"/>
      <c r="AV174" s="3"/>
      <c r="AZ174" s="3"/>
      <c r="BC174" s="3"/>
      <c r="BG174" s="3"/>
      <c r="BJ174" s="3"/>
      <c r="BN174" s="3"/>
      <c r="BQ174" s="3"/>
      <c r="BT174" s="3"/>
      <c r="BX174" s="3"/>
      <c r="CA174" s="3"/>
    </row>
    <row r="175" spans="1:79" s="2" customFormat="1" x14ac:dyDescent="0.3">
      <c r="A175" s="2" t="s">
        <v>149</v>
      </c>
      <c r="B175" s="2">
        <v>1</v>
      </c>
      <c r="C175" s="6" t="s">
        <v>150</v>
      </c>
      <c r="D175" s="97">
        <v>9</v>
      </c>
      <c r="E175" s="3" t="s">
        <v>126</v>
      </c>
      <c r="F175" s="83"/>
      <c r="G175" s="83"/>
      <c r="H175" s="83"/>
      <c r="I175" s="3"/>
      <c r="J175" s="83"/>
      <c r="K175" s="83"/>
      <c r="L175" s="83"/>
      <c r="M175" s="3"/>
      <c r="N175" s="83"/>
      <c r="O175" s="83"/>
      <c r="Q175" s="3"/>
      <c r="U175" s="3"/>
      <c r="X175" s="3"/>
      <c r="AA175" s="3"/>
      <c r="AE175" s="3"/>
      <c r="AH175" s="3"/>
      <c r="AL175" s="3"/>
      <c r="AR175" s="3"/>
      <c r="AV175" s="3"/>
      <c r="AZ175" s="3"/>
      <c r="BC175" s="3"/>
      <c r="BG175" s="3"/>
      <c r="BJ175" s="3"/>
      <c r="BN175" s="3"/>
      <c r="BQ175" s="3"/>
      <c r="BT175" s="3"/>
      <c r="BX175" s="3"/>
      <c r="CA175" s="3"/>
    </row>
    <row r="176" spans="1:79" s="2" customFormat="1" x14ac:dyDescent="0.3">
      <c r="A176" s="2" t="s">
        <v>64</v>
      </c>
      <c r="B176" s="2">
        <v>1</v>
      </c>
      <c r="C176" s="6" t="s">
        <v>119</v>
      </c>
      <c r="D176" s="97">
        <f>756/3720</f>
        <v>0.20322580645161289</v>
      </c>
      <c r="E176" s="3" t="s">
        <v>109</v>
      </c>
      <c r="F176" s="83"/>
      <c r="G176" s="83"/>
      <c r="H176" s="83"/>
      <c r="I176" s="3"/>
      <c r="J176" s="83"/>
      <c r="K176" s="83"/>
      <c r="L176" s="83"/>
      <c r="M176" s="3"/>
      <c r="N176" s="83"/>
      <c r="O176" s="83"/>
      <c r="Q176" s="3"/>
      <c r="U176" s="3"/>
      <c r="X176" s="3"/>
      <c r="AA176" s="3"/>
      <c r="AE176" s="3"/>
      <c r="AH176" s="3"/>
      <c r="AL176" s="3"/>
      <c r="AR176" s="3"/>
      <c r="AV176" s="3"/>
      <c r="AZ176" s="3"/>
      <c r="BC176" s="3"/>
      <c r="BG176" s="3"/>
      <c r="BJ176" s="3"/>
      <c r="BN176" s="3"/>
      <c r="BQ176" s="3"/>
      <c r="BT176" s="3"/>
      <c r="BX176" s="3"/>
      <c r="CA176" s="3"/>
    </row>
    <row r="177" spans="1:79" s="2" customFormat="1" x14ac:dyDescent="0.3">
      <c r="A177" s="2" t="s">
        <v>22</v>
      </c>
      <c r="B177" s="2">
        <v>1</v>
      </c>
      <c r="C177" s="6" t="s">
        <v>120</v>
      </c>
      <c r="D177" s="97">
        <f>600/400</f>
        <v>1.5</v>
      </c>
      <c r="E177" s="3" t="s">
        <v>109</v>
      </c>
      <c r="F177" s="83"/>
      <c r="G177" s="83"/>
      <c r="H177" s="83"/>
      <c r="I177" s="3"/>
      <c r="J177" s="83"/>
      <c r="K177" s="83"/>
      <c r="L177" s="83"/>
      <c r="M177" s="3"/>
      <c r="N177" s="83"/>
      <c r="O177" s="83"/>
      <c r="Q177" s="3"/>
      <c r="U177" s="3"/>
      <c r="X177" s="3"/>
      <c r="AA177" s="3"/>
      <c r="AE177" s="3"/>
      <c r="AH177" s="3"/>
      <c r="AL177" s="3"/>
      <c r="AR177" s="3"/>
      <c r="AV177" s="3"/>
      <c r="AZ177" s="3"/>
      <c r="BC177" s="3"/>
      <c r="BG177" s="3"/>
      <c r="BJ177" s="3"/>
      <c r="BN177" s="3"/>
      <c r="BQ177" s="3"/>
      <c r="BT177" s="3"/>
      <c r="BX177" s="3"/>
      <c r="CA177" s="3"/>
    </row>
    <row r="178" spans="1:79" s="2" customFormat="1" x14ac:dyDescent="0.3">
      <c r="A178" s="2" t="s">
        <v>151</v>
      </c>
      <c r="B178" s="2">
        <v>1</v>
      </c>
      <c r="C178" s="6" t="s">
        <v>124</v>
      </c>
      <c r="D178" s="97">
        <f>600/400</f>
        <v>1.5</v>
      </c>
      <c r="E178" s="3" t="s">
        <v>109</v>
      </c>
      <c r="F178" s="83"/>
      <c r="G178" s="83"/>
      <c r="H178" s="83"/>
      <c r="I178" s="3"/>
      <c r="J178" s="83"/>
      <c r="K178" s="83"/>
      <c r="L178" s="83"/>
      <c r="M178" s="3"/>
      <c r="N178" s="83"/>
      <c r="O178" s="83"/>
      <c r="Q178" s="3"/>
      <c r="U178" s="3"/>
      <c r="X178" s="3"/>
      <c r="AA178" s="3"/>
      <c r="AE178" s="3"/>
      <c r="AH178" s="3"/>
      <c r="AL178" s="3"/>
      <c r="AR178" s="3"/>
      <c r="AV178" s="3"/>
      <c r="AZ178" s="3"/>
      <c r="BC178" s="3"/>
      <c r="BG178" s="3"/>
      <c r="BJ178" s="3"/>
      <c r="BN178" s="3"/>
      <c r="BQ178" s="3"/>
      <c r="BT178" s="3"/>
      <c r="BX178" s="3"/>
      <c r="CA178" s="3"/>
    </row>
    <row r="179" spans="1:79" s="2" customFormat="1" x14ac:dyDescent="0.3">
      <c r="A179" s="2" t="s">
        <v>152</v>
      </c>
      <c r="B179" s="2">
        <v>1</v>
      </c>
      <c r="C179" s="6" t="s">
        <v>119</v>
      </c>
      <c r="D179" s="97">
        <f>3600/2400</f>
        <v>1.5</v>
      </c>
      <c r="E179" s="3" t="s">
        <v>109</v>
      </c>
      <c r="F179" s="83"/>
      <c r="G179" s="83"/>
      <c r="H179" s="83"/>
      <c r="I179" s="3"/>
      <c r="J179" s="83"/>
      <c r="K179" s="83"/>
      <c r="L179" s="83"/>
      <c r="M179" s="3"/>
      <c r="N179" s="83"/>
      <c r="O179" s="83"/>
      <c r="Q179" s="3"/>
      <c r="U179" s="3"/>
      <c r="X179" s="3"/>
      <c r="AA179" s="3"/>
      <c r="AE179" s="3"/>
      <c r="AH179" s="3"/>
      <c r="AL179" s="3"/>
      <c r="AR179" s="3"/>
      <c r="AV179" s="3"/>
      <c r="AZ179" s="3"/>
      <c r="BC179" s="3"/>
      <c r="BG179" s="3"/>
      <c r="BJ179" s="3"/>
      <c r="BN179" s="3"/>
      <c r="BQ179" s="3"/>
      <c r="BT179" s="3"/>
      <c r="BX179" s="3"/>
      <c r="CA179" s="3"/>
    </row>
    <row r="180" spans="1:79" x14ac:dyDescent="0.3">
      <c r="A180" s="2" t="s">
        <v>153</v>
      </c>
      <c r="B180" s="2">
        <v>1</v>
      </c>
      <c r="C180" s="6" t="s">
        <v>119</v>
      </c>
      <c r="D180" s="51">
        <v>153.125</v>
      </c>
      <c r="E180" s="3" t="s">
        <v>102</v>
      </c>
      <c r="F180" s="95">
        <f>D180/D123</f>
        <v>1.3671875</v>
      </c>
      <c r="G180" s="3" t="s">
        <v>109</v>
      </c>
      <c r="H180" s="12"/>
      <c r="J180" s="51"/>
      <c r="K180" s="12"/>
      <c r="L180" s="12"/>
      <c r="Y180" s="2"/>
      <c r="AC180" s="12"/>
      <c r="AD180" s="12"/>
      <c r="AT180" s="12"/>
    </row>
    <row r="181" spans="1:79" s="2" customFormat="1" x14ac:dyDescent="0.3">
      <c r="A181" s="151" t="s">
        <v>74</v>
      </c>
      <c r="B181" s="2">
        <v>1</v>
      </c>
      <c r="C181" s="3" t="s">
        <v>139</v>
      </c>
      <c r="D181" s="97">
        <v>1</v>
      </c>
      <c r="E181" s="3" t="s">
        <v>124</v>
      </c>
      <c r="F181" s="95">
        <f>F182</f>
        <v>3.0446428571428572</v>
      </c>
      <c r="G181" s="3" t="s">
        <v>109</v>
      </c>
      <c r="I181" s="51"/>
      <c r="M181" s="51"/>
      <c r="Q181" s="51"/>
      <c r="U181" s="51"/>
      <c r="X181" s="51"/>
      <c r="AA181" s="51"/>
      <c r="AE181" s="51"/>
      <c r="AH181" s="51"/>
      <c r="AL181" s="51"/>
      <c r="AR181" s="51"/>
      <c r="AV181" s="51"/>
      <c r="AZ181" s="51"/>
      <c r="BC181" s="51"/>
      <c r="BG181" s="51"/>
      <c r="BJ181" s="51"/>
      <c r="BN181" s="51"/>
      <c r="BQ181" s="51"/>
      <c r="BT181" s="51"/>
      <c r="BX181" s="51"/>
      <c r="CA181" s="51"/>
    </row>
    <row r="182" spans="1:79" s="2" customFormat="1" x14ac:dyDescent="0.3">
      <c r="A182" s="151"/>
      <c r="B182" s="2">
        <v>1</v>
      </c>
      <c r="C182" s="3" t="s">
        <v>124</v>
      </c>
      <c r="D182" s="97">
        <f>(355+327)/2</f>
        <v>341</v>
      </c>
      <c r="E182" s="3" t="s">
        <v>102</v>
      </c>
      <c r="F182" s="95">
        <f>D182/D123</f>
        <v>3.0446428571428572</v>
      </c>
      <c r="G182" s="3" t="s">
        <v>109</v>
      </c>
      <c r="I182" s="51"/>
      <c r="M182" s="51"/>
      <c r="Q182" s="51"/>
      <c r="U182" s="51"/>
      <c r="X182" s="51"/>
      <c r="AA182" s="51"/>
      <c r="AE182" s="51"/>
      <c r="AH182" s="51"/>
      <c r="AL182" s="51"/>
      <c r="AR182" s="51"/>
      <c r="AV182" s="51"/>
      <c r="AZ182" s="51"/>
      <c r="BC182" s="51"/>
      <c r="BG182" s="51"/>
      <c r="BJ182" s="51"/>
      <c r="BN182" s="51"/>
      <c r="BQ182" s="51"/>
      <c r="BT182" s="51"/>
      <c r="BX182" s="51"/>
      <c r="CA182" s="51"/>
    </row>
    <row r="183" spans="1:79" s="2" customFormat="1" x14ac:dyDescent="0.3">
      <c r="A183" s="151"/>
      <c r="B183" s="2">
        <v>1</v>
      </c>
      <c r="C183" s="6" t="s">
        <v>154</v>
      </c>
      <c r="D183" s="97">
        <f>(2.2+2.5)/2</f>
        <v>2.35</v>
      </c>
      <c r="E183" s="3" t="s">
        <v>102</v>
      </c>
      <c r="F183" s="95">
        <f>D183/D123</f>
        <v>2.0982142857142859E-2</v>
      </c>
      <c r="G183" s="3" t="s">
        <v>109</v>
      </c>
      <c r="I183" s="51"/>
      <c r="M183" s="51"/>
      <c r="Q183" s="51"/>
      <c r="U183" s="51"/>
      <c r="X183" s="51"/>
      <c r="AA183" s="51"/>
      <c r="AE183" s="51"/>
      <c r="AH183" s="51"/>
      <c r="AL183" s="51"/>
      <c r="AR183" s="51"/>
      <c r="AV183" s="51"/>
      <c r="AZ183" s="51"/>
      <c r="BC183" s="51"/>
      <c r="BG183" s="51"/>
      <c r="BJ183" s="51"/>
      <c r="BN183" s="51"/>
      <c r="BQ183" s="51"/>
      <c r="BT183" s="51"/>
      <c r="BX183" s="51"/>
      <c r="CA183" s="51"/>
    </row>
    <row r="184" spans="1:79" s="17" customFormat="1" x14ac:dyDescent="0.3">
      <c r="A184" s="2" t="s">
        <v>155</v>
      </c>
      <c r="B184" s="2">
        <v>1</v>
      </c>
      <c r="C184" s="6" t="s">
        <v>139</v>
      </c>
      <c r="D184" s="97">
        <v>640</v>
      </c>
      <c r="E184" s="3" t="s">
        <v>102</v>
      </c>
      <c r="F184" s="95">
        <f>D184/D123</f>
        <v>5.7142857142857144</v>
      </c>
      <c r="G184" s="3" t="s">
        <v>109</v>
      </c>
      <c r="H184" s="13"/>
      <c r="I184" s="51"/>
      <c r="J184" s="14"/>
      <c r="K184" s="13"/>
      <c r="L184" s="13"/>
      <c r="M184" s="51"/>
      <c r="N184" s="14"/>
      <c r="O184" s="13"/>
      <c r="P184" s="13"/>
      <c r="Q184" s="51"/>
      <c r="R184" s="13"/>
      <c r="S184" s="14"/>
      <c r="T184" s="13"/>
      <c r="U184" s="51"/>
      <c r="V184" s="13"/>
      <c r="W184" s="13"/>
      <c r="X184" s="51"/>
      <c r="Y184" s="14"/>
      <c r="Z184" s="13"/>
      <c r="AA184" s="51"/>
      <c r="AB184" s="15"/>
      <c r="AC184" s="13"/>
      <c r="AD184" s="16"/>
      <c r="AE184" s="51"/>
      <c r="AF184" s="13"/>
      <c r="AG184" s="14"/>
      <c r="AH184" s="51"/>
      <c r="AI184" s="13"/>
      <c r="AJ184" s="13"/>
      <c r="AK184" s="13"/>
      <c r="AL184" s="51"/>
      <c r="AM184" s="14"/>
      <c r="AN184" s="13"/>
      <c r="AO184" s="13"/>
      <c r="AP184" s="14"/>
      <c r="AQ184" s="13"/>
      <c r="AR184" s="51"/>
      <c r="AS184" s="14"/>
      <c r="AT184" s="13"/>
      <c r="AU184" s="14"/>
      <c r="AV184" s="51"/>
      <c r="AW184" s="13"/>
      <c r="AX184" s="16"/>
      <c r="AY184" s="13"/>
      <c r="AZ184" s="51"/>
      <c r="BC184" s="51"/>
      <c r="BG184" s="51"/>
      <c r="BJ184" s="51"/>
      <c r="BN184" s="51"/>
      <c r="BQ184" s="51"/>
      <c r="BT184" s="51"/>
      <c r="BX184" s="51"/>
      <c r="CA184" s="51"/>
    </row>
    <row r="185" spans="1:79" s="17" customFormat="1" x14ac:dyDescent="0.3">
      <c r="A185" s="151" t="s">
        <v>28</v>
      </c>
      <c r="B185" s="2">
        <v>1</v>
      </c>
      <c r="C185" s="6" t="s">
        <v>156</v>
      </c>
      <c r="D185" s="97">
        <v>196</v>
      </c>
      <c r="E185" s="3" t="s">
        <v>102</v>
      </c>
      <c r="F185" s="95">
        <f>D185/D123</f>
        <v>1.75</v>
      </c>
      <c r="G185" s="3" t="s">
        <v>109</v>
      </c>
      <c r="H185" s="13"/>
      <c r="I185" s="51"/>
      <c r="J185" s="13"/>
      <c r="K185" s="16"/>
      <c r="L185" s="13"/>
      <c r="M185" s="51"/>
      <c r="N185" s="13"/>
      <c r="O185" s="16"/>
      <c r="P185" s="13"/>
      <c r="Q185" s="51"/>
      <c r="R185" s="13"/>
      <c r="S185" s="13"/>
      <c r="T185" s="16"/>
      <c r="U185" s="51"/>
      <c r="V185" s="13"/>
      <c r="W185" s="13"/>
      <c r="X185" s="51"/>
      <c r="Y185" s="13"/>
      <c r="Z185" s="16"/>
      <c r="AA185" s="51"/>
      <c r="AB185" s="13"/>
      <c r="AD185" s="13"/>
      <c r="AE185" s="51"/>
      <c r="AF185" s="16"/>
      <c r="AG185" s="13"/>
      <c r="AH185" s="51"/>
      <c r="AI185" s="16"/>
      <c r="AJ185" s="13"/>
      <c r="AK185" s="13"/>
      <c r="AL185" s="51"/>
      <c r="AM185" s="13"/>
      <c r="AN185" s="16"/>
      <c r="AO185" s="16"/>
      <c r="AP185" s="13"/>
      <c r="AQ185" s="16"/>
      <c r="AR185" s="51"/>
      <c r="AS185" s="13"/>
      <c r="AT185" s="14"/>
      <c r="AU185" s="13"/>
      <c r="AV185" s="51"/>
      <c r="AW185" s="16"/>
      <c r="AX185" s="13"/>
      <c r="AY185" s="16"/>
      <c r="AZ185" s="51"/>
      <c r="BA185" s="13"/>
      <c r="BC185" s="51"/>
      <c r="BG185" s="51"/>
      <c r="BJ185" s="51"/>
      <c r="BN185" s="51"/>
      <c r="BQ185" s="51"/>
      <c r="BT185" s="51"/>
      <c r="BX185" s="51"/>
      <c r="CA185" s="51"/>
    </row>
    <row r="186" spans="1:79" ht="13.8" customHeight="1" x14ac:dyDescent="0.3">
      <c r="A186" s="151"/>
      <c r="B186" s="2">
        <v>1</v>
      </c>
      <c r="C186" s="6" t="s">
        <v>157</v>
      </c>
      <c r="D186" s="97">
        <v>280</v>
      </c>
      <c r="E186" s="3" t="s">
        <v>102</v>
      </c>
      <c r="F186" s="95">
        <f>D186/D123</f>
        <v>2.5</v>
      </c>
      <c r="G186" s="3" t="s">
        <v>109</v>
      </c>
      <c r="H186" s="51"/>
      <c r="J186" s="51"/>
      <c r="K186" s="51"/>
      <c r="L186" s="51"/>
    </row>
    <row r="187" spans="1:79" x14ac:dyDescent="0.3">
      <c r="A187" s="9" t="s">
        <v>158</v>
      </c>
      <c r="B187" s="2">
        <v>1</v>
      </c>
      <c r="C187" s="6" t="s">
        <v>120</v>
      </c>
      <c r="D187" s="97">
        <v>112</v>
      </c>
      <c r="E187" s="3" t="s">
        <v>102</v>
      </c>
      <c r="F187" s="95">
        <f>D187/D123</f>
        <v>1</v>
      </c>
      <c r="G187" s="3" t="s">
        <v>109</v>
      </c>
      <c r="H187" s="51"/>
      <c r="J187" s="51"/>
      <c r="K187" s="51"/>
      <c r="L187" s="51"/>
    </row>
    <row r="188" spans="1:79" x14ac:dyDescent="0.3">
      <c r="A188" s="9" t="s">
        <v>159</v>
      </c>
      <c r="B188" s="2">
        <v>1</v>
      </c>
      <c r="C188" s="6" t="s">
        <v>124</v>
      </c>
      <c r="D188" s="97">
        <v>0.67513000000000001</v>
      </c>
      <c r="E188" s="3" t="s">
        <v>109</v>
      </c>
      <c r="F188" s="95"/>
      <c r="G188" s="3"/>
      <c r="H188" s="51"/>
      <c r="J188" s="51"/>
      <c r="K188" s="51"/>
      <c r="L188" s="51"/>
    </row>
  </sheetData>
  <mergeCells count="60">
    <mergeCell ref="C2:D2"/>
    <mergeCell ref="F2:G2"/>
    <mergeCell ref="J2:K2"/>
    <mergeCell ref="N2:O2"/>
    <mergeCell ref="AP2:AQ2"/>
    <mergeCell ref="Q2:R2"/>
    <mergeCell ref="U2:V2"/>
    <mergeCell ref="W2:X2"/>
    <mergeCell ref="Y2:Z2"/>
    <mergeCell ref="BB2:BC2"/>
    <mergeCell ref="BD2:BE2"/>
    <mergeCell ref="AB2:AC2"/>
    <mergeCell ref="AD2:AE2"/>
    <mergeCell ref="AG2:AH2"/>
    <mergeCell ref="AJ2:AK2"/>
    <mergeCell ref="AM2:AN2"/>
    <mergeCell ref="E124:E125"/>
    <mergeCell ref="AR2:AS2"/>
    <mergeCell ref="AU2:AV2"/>
    <mergeCell ref="AW2:AX2"/>
    <mergeCell ref="AZ2:BA2"/>
    <mergeCell ref="A155:A156"/>
    <mergeCell ref="AP1:AQ1"/>
    <mergeCell ref="AR1:AS1"/>
    <mergeCell ref="AU1:AV1"/>
    <mergeCell ref="AW1:AX1"/>
    <mergeCell ref="Y1:Z1"/>
    <mergeCell ref="AB1:AC1"/>
    <mergeCell ref="AD1:AE1"/>
    <mergeCell ref="AG1:AH1"/>
    <mergeCell ref="AJ1:AK1"/>
    <mergeCell ref="AM1:AN1"/>
    <mergeCell ref="F1:G1"/>
    <mergeCell ref="J1:K1"/>
    <mergeCell ref="N1:O1"/>
    <mergeCell ref="Q1:R1"/>
    <mergeCell ref="U1:V1"/>
    <mergeCell ref="BD1:BE1"/>
    <mergeCell ref="A1:A2"/>
    <mergeCell ref="A149:A150"/>
    <mergeCell ref="A151:A152"/>
    <mergeCell ref="A153:A154"/>
    <mergeCell ref="AZ1:BA1"/>
    <mergeCell ref="BB1:BC1"/>
    <mergeCell ref="W1:X1"/>
    <mergeCell ref="C1:D1"/>
    <mergeCell ref="B110:B111"/>
    <mergeCell ref="C110:C111"/>
    <mergeCell ref="D110:D111"/>
    <mergeCell ref="E110:E111"/>
    <mergeCell ref="B124:B125"/>
    <mergeCell ref="C124:C125"/>
    <mergeCell ref="D124:D125"/>
    <mergeCell ref="A185:A186"/>
    <mergeCell ref="A157:A158"/>
    <mergeCell ref="A159:A160"/>
    <mergeCell ref="A166:A167"/>
    <mergeCell ref="A169:A171"/>
    <mergeCell ref="A172:A173"/>
    <mergeCell ref="A181:A183"/>
  </mergeCells>
  <pageMargins left="0.75" right="0.75" top="1" bottom="1" header="0.5" footer="0.5"/>
  <pageSetup paperSize="9" orientation="portrait" horizontalDpi="4294967292" verticalDpi="4294967292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Y187"/>
  <sheetViews>
    <sheetView zoomScale="60" zoomScaleNormal="60" workbookViewId="0">
      <pane xSplit="3" ySplit="3" topLeftCell="D51" activePane="bottomRight" state="frozen"/>
      <selection pane="topRight" activeCell="D1" sqref="D1"/>
      <selection pane="bottomLeft" activeCell="A4" sqref="A4"/>
      <selection pane="bottomRight" activeCell="L73" activeCellId="1" sqref="F73 L73"/>
    </sheetView>
  </sheetViews>
  <sheetFormatPr defaultColWidth="11" defaultRowHeight="14.4" x14ac:dyDescent="0.3"/>
  <cols>
    <col min="1" max="1" width="23.5" style="51" customWidth="1"/>
    <col min="2" max="4" width="8.19921875" style="51" customWidth="1"/>
    <col min="5" max="6" width="9.59765625" style="12" customWidth="1"/>
    <col min="7" max="9" width="8.19921875" style="2" customWidth="1"/>
    <col min="10" max="11" width="8.19921875" style="51" customWidth="1"/>
    <col min="12" max="12" width="9.59765625" style="12" customWidth="1"/>
    <col min="13" max="15" width="8.19921875" style="2" customWidth="1"/>
    <col min="16" max="17" width="8.19921875" style="51" customWidth="1"/>
    <col min="18" max="18" width="9.59765625" style="12" customWidth="1"/>
    <col min="19" max="23" width="8.19921875" style="51" customWidth="1"/>
    <col min="24" max="24" width="9.59765625" style="12" customWidth="1"/>
    <col min="25" max="28" width="8.19921875" style="51" customWidth="1"/>
    <col min="29" max="29" width="9.59765625" style="12" customWidth="1"/>
    <col min="30" max="32" width="8.19921875" style="51" customWidth="1"/>
    <col min="33" max="33" width="9.59765625" style="12" customWidth="1"/>
    <col min="34" max="35" width="8.19921875" style="51" customWidth="1"/>
    <col min="36" max="36" width="9.59765625" style="12" customWidth="1"/>
    <col min="37" max="38" width="8.19921875" style="51" customWidth="1"/>
    <col min="39" max="39" width="9.59765625" style="12" customWidth="1"/>
    <col min="40" max="42" width="8.19921875" style="51" customWidth="1"/>
    <col min="43" max="43" width="9.59765625" style="12" customWidth="1"/>
    <col min="44" max="45" width="8.19921875" style="51" customWidth="1"/>
    <col min="46" max="46" width="9.59765625" style="12" customWidth="1"/>
    <col min="47" max="49" width="8.19921875" style="51" customWidth="1"/>
    <col min="50" max="50" width="9.59765625" style="12" customWidth="1"/>
    <col min="51" max="53" width="8.19921875" style="51" customWidth="1"/>
    <col min="54" max="54" width="9.59765625" style="12" customWidth="1"/>
    <col min="55" max="57" width="8.19921875" style="51" customWidth="1"/>
    <col min="58" max="58" width="9.59765625" style="12" customWidth="1"/>
    <col min="59" max="61" width="8.19921875" style="51" customWidth="1"/>
    <col min="62" max="62" width="9.59765625" style="12" customWidth="1"/>
    <col min="63" max="64" width="8.19921875" style="51" customWidth="1"/>
    <col min="65" max="65" width="9.59765625" style="12" customWidth="1"/>
    <col min="66" max="68" width="8.19921875" style="51" customWidth="1"/>
    <col min="69" max="69" width="9.59765625" style="12" customWidth="1"/>
    <col min="70" max="71" width="8.19921875" style="51" customWidth="1"/>
    <col min="72" max="72" width="9.59765625" style="12" customWidth="1"/>
    <col min="73" max="75" width="8.19921875" style="51" customWidth="1"/>
    <col min="76" max="76" width="9.59765625" style="12" customWidth="1"/>
    <col min="77" max="78" width="8.19921875" style="51" customWidth="1"/>
    <col min="79" max="79" width="9.59765625" style="12" customWidth="1"/>
    <col min="80" max="81" width="8.19921875" style="51" customWidth="1"/>
    <col min="82" max="82" width="9.59765625" style="12" customWidth="1"/>
    <col min="83" max="16384" width="11" style="51"/>
  </cols>
  <sheetData>
    <row r="1" spans="1:82" s="127" customFormat="1" ht="28.2" customHeight="1" x14ac:dyDescent="0.3">
      <c r="A1" s="153"/>
      <c r="B1" s="133"/>
      <c r="C1" s="120"/>
      <c r="D1" s="161" t="s">
        <v>218</v>
      </c>
      <c r="E1" s="161"/>
      <c r="F1" s="161"/>
      <c r="G1" s="123"/>
      <c r="H1" s="161" t="s">
        <v>219</v>
      </c>
      <c r="I1" s="161"/>
      <c r="J1" s="161"/>
      <c r="K1" s="161"/>
      <c r="L1" s="161"/>
      <c r="M1" s="131"/>
      <c r="N1" s="161" t="s">
        <v>220</v>
      </c>
      <c r="O1" s="161"/>
      <c r="P1" s="161"/>
      <c r="Q1" s="161"/>
      <c r="R1" s="161"/>
      <c r="S1" s="120"/>
      <c r="T1" s="161" t="s">
        <v>221</v>
      </c>
      <c r="U1" s="161"/>
      <c r="V1" s="161"/>
      <c r="W1" s="161"/>
      <c r="X1" s="161"/>
      <c r="Y1" s="161" t="s">
        <v>222</v>
      </c>
      <c r="Z1" s="161"/>
      <c r="AA1" s="161"/>
      <c r="AB1" s="161"/>
      <c r="AC1" s="161"/>
      <c r="AD1" s="120"/>
      <c r="AE1" s="161" t="s">
        <v>223</v>
      </c>
      <c r="AF1" s="161"/>
      <c r="AG1" s="161"/>
      <c r="AH1" s="161" t="s">
        <v>224</v>
      </c>
      <c r="AI1" s="161"/>
      <c r="AJ1" s="161"/>
      <c r="AK1" s="161" t="s">
        <v>225</v>
      </c>
      <c r="AL1" s="161"/>
      <c r="AM1" s="161"/>
      <c r="AN1" s="120"/>
      <c r="AO1" s="161" t="s">
        <v>226</v>
      </c>
      <c r="AP1" s="161"/>
      <c r="AQ1" s="161"/>
      <c r="AR1" s="161" t="s">
        <v>227</v>
      </c>
      <c r="AS1" s="161"/>
      <c r="AT1" s="161"/>
      <c r="AU1" s="120"/>
      <c r="AV1" s="161" t="s">
        <v>228</v>
      </c>
      <c r="AW1" s="161"/>
      <c r="AX1" s="161"/>
      <c r="AY1" s="120"/>
      <c r="AZ1" s="161" t="s">
        <v>229</v>
      </c>
      <c r="BA1" s="161"/>
      <c r="BB1" s="161"/>
      <c r="BC1" s="131"/>
      <c r="BD1" s="161" t="s">
        <v>236</v>
      </c>
      <c r="BE1" s="161"/>
      <c r="BF1" s="161"/>
      <c r="BG1" s="120"/>
      <c r="BH1" s="161" t="s">
        <v>230</v>
      </c>
      <c r="BI1" s="161"/>
      <c r="BJ1" s="161"/>
      <c r="BK1" s="161" t="s">
        <v>231</v>
      </c>
      <c r="BL1" s="161"/>
      <c r="BM1" s="161"/>
      <c r="BN1" s="120"/>
      <c r="BO1" s="161" t="s">
        <v>232</v>
      </c>
      <c r="BP1" s="161"/>
      <c r="BQ1" s="161"/>
      <c r="BR1" s="161" t="s">
        <v>233</v>
      </c>
      <c r="BS1" s="161"/>
      <c r="BT1" s="161"/>
      <c r="BU1" s="120"/>
      <c r="BV1" s="161" t="s">
        <v>234</v>
      </c>
      <c r="BW1" s="161"/>
      <c r="BX1" s="161"/>
      <c r="BY1" s="161" t="s">
        <v>235</v>
      </c>
      <c r="BZ1" s="161"/>
      <c r="CA1" s="161"/>
      <c r="CB1" s="161" t="s">
        <v>237</v>
      </c>
      <c r="CC1" s="161"/>
      <c r="CD1" s="161"/>
    </row>
    <row r="2" spans="1:82" hidden="1" x14ac:dyDescent="0.3">
      <c r="A2" s="153"/>
      <c r="B2" s="56"/>
      <c r="C2" s="117"/>
      <c r="D2" s="115">
        <v>1890</v>
      </c>
      <c r="E2" s="115"/>
      <c r="F2" s="115"/>
      <c r="G2" s="114"/>
      <c r="H2" s="160">
        <v>1891</v>
      </c>
      <c r="I2" s="160"/>
      <c r="J2" s="53"/>
      <c r="K2" s="53"/>
      <c r="L2" s="115"/>
      <c r="M2" s="51"/>
      <c r="N2" s="160">
        <v>1892</v>
      </c>
      <c r="O2" s="160"/>
      <c r="P2" s="54"/>
      <c r="Q2" s="54"/>
      <c r="R2" s="115"/>
      <c r="S2" s="117"/>
      <c r="T2" s="158">
        <v>1893</v>
      </c>
      <c r="U2" s="158"/>
      <c r="V2" s="55"/>
      <c r="W2" s="55"/>
      <c r="X2" s="115"/>
      <c r="Y2" s="158">
        <v>1894</v>
      </c>
      <c r="Z2" s="158"/>
      <c r="AA2" s="55"/>
      <c r="AB2" s="55"/>
      <c r="AC2" s="115"/>
      <c r="AD2" s="117"/>
      <c r="AE2" s="158">
        <v>1895</v>
      </c>
      <c r="AF2" s="158"/>
      <c r="AG2" s="115"/>
      <c r="AH2" s="158">
        <v>1896</v>
      </c>
      <c r="AI2" s="158"/>
      <c r="AJ2" s="115"/>
      <c r="AK2" s="158">
        <v>1897</v>
      </c>
      <c r="AL2" s="158"/>
      <c r="AM2" s="115"/>
      <c r="AN2" s="117"/>
      <c r="AO2" s="158">
        <v>1898</v>
      </c>
      <c r="AP2" s="158"/>
      <c r="AQ2" s="115"/>
      <c r="AR2" s="158">
        <v>1899</v>
      </c>
      <c r="AS2" s="158"/>
      <c r="AT2" s="115"/>
      <c r="AU2" s="117"/>
      <c r="AV2" s="158">
        <v>1900</v>
      </c>
      <c r="AW2" s="158"/>
      <c r="AX2" s="115"/>
      <c r="AY2" s="117"/>
      <c r="AZ2" s="159">
        <v>1901</v>
      </c>
      <c r="BA2" s="159"/>
      <c r="BB2" s="115"/>
      <c r="BD2" s="159">
        <v>1902</v>
      </c>
      <c r="BE2" s="159"/>
      <c r="BF2" s="115"/>
      <c r="BG2" s="117"/>
      <c r="BH2" s="158">
        <v>1906</v>
      </c>
      <c r="BI2" s="158"/>
      <c r="BJ2" s="115"/>
      <c r="BK2" s="158">
        <v>1907</v>
      </c>
      <c r="BL2" s="158"/>
      <c r="BM2" s="115"/>
      <c r="BN2" s="117"/>
      <c r="BO2" s="158">
        <v>1908</v>
      </c>
      <c r="BP2" s="158"/>
      <c r="BQ2" s="115"/>
      <c r="BR2" s="158">
        <v>1909</v>
      </c>
      <c r="BS2" s="158"/>
      <c r="BT2" s="115"/>
      <c r="BU2" s="117"/>
      <c r="BV2" s="158">
        <v>1910</v>
      </c>
      <c r="BW2" s="158"/>
      <c r="BX2" s="115"/>
      <c r="BY2" s="158">
        <v>1911</v>
      </c>
      <c r="BZ2" s="158"/>
      <c r="CA2" s="115"/>
      <c r="CB2" s="158">
        <v>1912</v>
      </c>
      <c r="CC2" s="158"/>
      <c r="CD2" s="115"/>
    </row>
    <row r="3" spans="1:82" s="131" customFormat="1" ht="30.6" customHeight="1" x14ac:dyDescent="0.3">
      <c r="A3" s="128" t="s">
        <v>0</v>
      </c>
      <c r="B3" s="128"/>
      <c r="C3" s="126" t="s">
        <v>27</v>
      </c>
      <c r="D3" s="121" t="s">
        <v>1</v>
      </c>
      <c r="E3" s="122" t="s">
        <v>238</v>
      </c>
      <c r="F3" s="122" t="s">
        <v>300</v>
      </c>
      <c r="G3" s="130" t="s">
        <v>27</v>
      </c>
      <c r="H3" s="124" t="s">
        <v>1</v>
      </c>
      <c r="I3" s="122" t="s">
        <v>295</v>
      </c>
      <c r="J3" s="125" t="s">
        <v>298</v>
      </c>
      <c r="K3" s="122" t="s">
        <v>238</v>
      </c>
      <c r="L3" s="122" t="s">
        <v>300</v>
      </c>
      <c r="M3" s="126" t="s">
        <v>27</v>
      </c>
      <c r="N3" s="124" t="s">
        <v>1</v>
      </c>
      <c r="O3" s="122" t="s">
        <v>295</v>
      </c>
      <c r="P3" s="125" t="s">
        <v>298</v>
      </c>
      <c r="Q3" s="122" t="s">
        <v>238</v>
      </c>
      <c r="R3" s="122" t="s">
        <v>300</v>
      </c>
      <c r="S3" s="126" t="s">
        <v>27</v>
      </c>
      <c r="T3" s="121" t="s">
        <v>1</v>
      </c>
      <c r="U3" s="122" t="s">
        <v>295</v>
      </c>
      <c r="V3" s="125" t="s">
        <v>298</v>
      </c>
      <c r="W3" s="122" t="s">
        <v>238</v>
      </c>
      <c r="X3" s="122" t="s">
        <v>300</v>
      </c>
      <c r="Y3" s="121" t="s">
        <v>1</v>
      </c>
      <c r="Z3" s="122" t="s">
        <v>295</v>
      </c>
      <c r="AA3" s="125" t="s">
        <v>298</v>
      </c>
      <c r="AB3" s="122" t="s">
        <v>238</v>
      </c>
      <c r="AC3" s="122" t="s">
        <v>300</v>
      </c>
      <c r="AD3" s="126" t="s">
        <v>27</v>
      </c>
      <c r="AE3" s="121" t="s">
        <v>1</v>
      </c>
      <c r="AF3" s="122" t="s">
        <v>238</v>
      </c>
      <c r="AG3" s="122" t="s">
        <v>300</v>
      </c>
      <c r="AH3" s="121" t="s">
        <v>1</v>
      </c>
      <c r="AI3" s="122" t="s">
        <v>238</v>
      </c>
      <c r="AJ3" s="122" t="s">
        <v>300</v>
      </c>
      <c r="AK3" s="121" t="s">
        <v>1</v>
      </c>
      <c r="AL3" s="122" t="s">
        <v>238</v>
      </c>
      <c r="AM3" s="122" t="s">
        <v>300</v>
      </c>
      <c r="AN3" s="126" t="s">
        <v>27</v>
      </c>
      <c r="AO3" s="121" t="s">
        <v>1</v>
      </c>
      <c r="AP3" s="122" t="s">
        <v>238</v>
      </c>
      <c r="AQ3" s="122" t="s">
        <v>300</v>
      </c>
      <c r="AR3" s="126" t="s">
        <v>1</v>
      </c>
      <c r="AS3" s="122" t="s">
        <v>238</v>
      </c>
      <c r="AT3" s="122" t="s">
        <v>300</v>
      </c>
      <c r="AU3" s="126" t="s">
        <v>27</v>
      </c>
      <c r="AV3" s="126" t="s">
        <v>1</v>
      </c>
      <c r="AW3" s="122" t="s">
        <v>238</v>
      </c>
      <c r="AX3" s="122" t="s">
        <v>300</v>
      </c>
      <c r="AY3" s="126" t="s">
        <v>27</v>
      </c>
      <c r="AZ3" s="126" t="s">
        <v>1</v>
      </c>
      <c r="BA3" s="122" t="s">
        <v>238</v>
      </c>
      <c r="BB3" s="122" t="s">
        <v>300</v>
      </c>
      <c r="BC3" s="126" t="s">
        <v>27</v>
      </c>
      <c r="BD3" s="126" t="s">
        <v>1</v>
      </c>
      <c r="BE3" s="122" t="s">
        <v>238</v>
      </c>
      <c r="BF3" s="122" t="s">
        <v>300</v>
      </c>
      <c r="BG3" s="126" t="s">
        <v>27</v>
      </c>
      <c r="BH3" s="126" t="s">
        <v>1</v>
      </c>
      <c r="BI3" s="122" t="s">
        <v>238</v>
      </c>
      <c r="BJ3" s="122" t="s">
        <v>300</v>
      </c>
      <c r="BK3" s="126" t="s">
        <v>1</v>
      </c>
      <c r="BL3" s="122" t="s">
        <v>238</v>
      </c>
      <c r="BM3" s="122" t="s">
        <v>300</v>
      </c>
      <c r="BN3" s="126" t="s">
        <v>27</v>
      </c>
      <c r="BO3" s="126" t="s">
        <v>1</v>
      </c>
      <c r="BP3" s="122" t="s">
        <v>238</v>
      </c>
      <c r="BQ3" s="122" t="s">
        <v>300</v>
      </c>
      <c r="BR3" s="126" t="s">
        <v>1</v>
      </c>
      <c r="BS3" s="122" t="s">
        <v>238</v>
      </c>
      <c r="BT3" s="122" t="s">
        <v>300</v>
      </c>
      <c r="BU3" s="126" t="s">
        <v>27</v>
      </c>
      <c r="BV3" s="126" t="s">
        <v>1</v>
      </c>
      <c r="BW3" s="122" t="s">
        <v>238</v>
      </c>
      <c r="BX3" s="122" t="s">
        <v>300</v>
      </c>
      <c r="BY3" s="126" t="s">
        <v>1</v>
      </c>
      <c r="BZ3" s="122" t="s">
        <v>238</v>
      </c>
      <c r="CA3" s="122" t="s">
        <v>300</v>
      </c>
      <c r="CB3" s="126" t="s">
        <v>1</v>
      </c>
      <c r="CC3" s="122" t="s">
        <v>238</v>
      </c>
      <c r="CD3" s="122" t="s">
        <v>300</v>
      </c>
    </row>
    <row r="4" spans="1:82" x14ac:dyDescent="0.3">
      <c r="A4" s="17" t="s">
        <v>45</v>
      </c>
      <c r="B4" s="9" t="s">
        <v>314</v>
      </c>
      <c r="C4" s="17" t="s">
        <v>41</v>
      </c>
      <c r="D4" s="57">
        <v>80</v>
      </c>
      <c r="E4" s="57">
        <v>121</v>
      </c>
      <c r="F4" s="138">
        <f>IFERROR(E4/D4,"")</f>
        <v>1.5125</v>
      </c>
      <c r="G4" s="58" t="s">
        <v>8</v>
      </c>
      <c r="H4" s="59">
        <v>87</v>
      </c>
      <c r="I4" s="59">
        <v>130</v>
      </c>
      <c r="J4" s="60">
        <v>0</v>
      </c>
      <c r="K4" s="60">
        <f>I4+(J4/$D$187)</f>
        <v>130</v>
      </c>
      <c r="L4" s="138">
        <f>IFERROR(K4/H4,"")</f>
        <v>1.4942528735632183</v>
      </c>
      <c r="M4" s="17" t="s">
        <v>41</v>
      </c>
      <c r="N4" s="57">
        <v>136</v>
      </c>
      <c r="O4" s="59">
        <v>194</v>
      </c>
      <c r="P4" s="60">
        <v>0</v>
      </c>
      <c r="Q4" s="60">
        <f>O4+(P4/$D$187)</f>
        <v>194</v>
      </c>
      <c r="R4" s="138">
        <f>IFERROR(Q4/N4,"")</f>
        <v>1.4264705882352942</v>
      </c>
      <c r="X4" s="138" t="str">
        <f>IFERROR(W4/T4,"")</f>
        <v/>
      </c>
      <c r="AC4" s="138" t="str">
        <f>IFERROR(AB4/Y4,"")</f>
        <v/>
      </c>
      <c r="AG4" s="138" t="str">
        <f>IFERROR(AF4/AE4,"")</f>
        <v/>
      </c>
      <c r="AJ4" s="138" t="str">
        <f>IFERROR(AI4/AH4,"")</f>
        <v/>
      </c>
      <c r="AM4" s="138" t="str">
        <f>IFERROR(AL4/AK4,"")</f>
        <v/>
      </c>
      <c r="AQ4" s="138" t="str">
        <f>IFERROR(AP4/AO4,"")</f>
        <v/>
      </c>
      <c r="AT4" s="138" t="str">
        <f>IFERROR(AS4/AR4,"")</f>
        <v/>
      </c>
      <c r="AX4" s="138" t="str">
        <f>IFERROR(AW4/AV4,"")</f>
        <v/>
      </c>
      <c r="BB4" s="138" t="str">
        <f>IFERROR(BA4/AZ4,"")</f>
        <v/>
      </c>
      <c r="BF4" s="138" t="str">
        <f>IFERROR(BE4/BD4,"")</f>
        <v/>
      </c>
      <c r="BJ4" s="138" t="str">
        <f>IFERROR(BI4/BH4,"")</f>
        <v/>
      </c>
      <c r="BM4" s="138" t="str">
        <f>IFERROR(BL4/BK4,"")</f>
        <v/>
      </c>
      <c r="BQ4" s="138" t="str">
        <f>IFERROR(BP4/BO4,"")</f>
        <v/>
      </c>
      <c r="BT4" s="138" t="str">
        <f>IFERROR(BS4/BR4,"")</f>
        <v/>
      </c>
      <c r="BV4" s="61"/>
      <c r="BW4" s="61"/>
      <c r="BX4" s="138" t="str">
        <f>IFERROR(BW4/BV4,"")</f>
        <v/>
      </c>
      <c r="BY4" s="61"/>
      <c r="BZ4" s="61"/>
      <c r="CA4" s="138" t="str">
        <f>IFERROR(BZ4/BY4,"")</f>
        <v/>
      </c>
      <c r="CB4" s="61"/>
      <c r="CC4" s="61"/>
      <c r="CD4" s="138" t="str">
        <f>IFERROR(CC4/CB4,"")</f>
        <v/>
      </c>
    </row>
    <row r="5" spans="1:82" x14ac:dyDescent="0.3">
      <c r="A5" s="17" t="s">
        <v>258</v>
      </c>
      <c r="B5" s="9" t="s">
        <v>312</v>
      </c>
      <c r="C5" s="17" t="s">
        <v>25</v>
      </c>
      <c r="D5" s="57"/>
      <c r="E5" s="57"/>
      <c r="F5" s="138" t="str">
        <f t="shared" ref="F5:F65" si="0">IFERROR(E5/D5,"")</f>
        <v/>
      </c>
      <c r="G5" s="58"/>
      <c r="H5" s="59"/>
      <c r="I5" s="59"/>
      <c r="J5" s="60"/>
      <c r="K5" s="60"/>
      <c r="L5" s="138" t="str">
        <f t="shared" ref="L5:L65" si="1">IFERROR(K5/H5,"")</f>
        <v/>
      </c>
      <c r="M5" s="17"/>
      <c r="N5" s="57"/>
      <c r="O5" s="59"/>
      <c r="P5" s="60"/>
      <c r="Q5" s="60"/>
      <c r="R5" s="138" t="str">
        <f t="shared" ref="R5:R65" si="2">IFERROR(Q5/N5,"")</f>
        <v/>
      </c>
      <c r="S5" s="51" t="s">
        <v>25</v>
      </c>
      <c r="W5" s="60"/>
      <c r="X5" s="138" t="str">
        <f t="shared" ref="X5:X65" si="3">IFERROR(W5/T5,"")</f>
        <v/>
      </c>
      <c r="Y5" s="51">
        <v>20</v>
      </c>
      <c r="Z5" s="51">
        <v>300</v>
      </c>
      <c r="AA5" s="51">
        <v>0</v>
      </c>
      <c r="AB5" s="60">
        <f>Z5+(AA5/$D$187)</f>
        <v>300</v>
      </c>
      <c r="AC5" s="138">
        <f t="shared" ref="AC5:AC65" si="4">IFERROR(AB5/Y5,"")</f>
        <v>15</v>
      </c>
      <c r="AG5" s="138" t="str">
        <f t="shared" ref="AG5:AG65" si="5">IFERROR(AF5/AE5,"")</f>
        <v/>
      </c>
      <c r="AJ5" s="138" t="str">
        <f t="shared" ref="AJ5:AJ65" si="6">IFERROR(AI5/AH5,"")</f>
        <v/>
      </c>
      <c r="AM5" s="138" t="str">
        <f t="shared" ref="AM5:AM65" si="7">IFERROR(AL5/AK5,"")</f>
        <v/>
      </c>
      <c r="AQ5" s="138" t="str">
        <f t="shared" ref="AQ5:AQ65" si="8">IFERROR(AP5/AO5,"")</f>
        <v/>
      </c>
      <c r="AT5" s="138" t="str">
        <f t="shared" ref="AT5:AT65" si="9">IFERROR(AS5/AR5,"")</f>
        <v/>
      </c>
      <c r="AX5" s="138" t="str">
        <f t="shared" ref="AX5:AX65" si="10">IFERROR(AW5/AV5,"")</f>
        <v/>
      </c>
      <c r="BB5" s="138" t="str">
        <f t="shared" ref="BB5:BB65" si="11">IFERROR(BA5/AZ5,"")</f>
        <v/>
      </c>
      <c r="BF5" s="138" t="str">
        <f t="shared" ref="BF5:BF65" si="12">IFERROR(BE5/BD5,"")</f>
        <v/>
      </c>
      <c r="BJ5" s="138" t="str">
        <f t="shared" ref="BJ5:BJ65" si="13">IFERROR(BI5/BH5,"")</f>
        <v/>
      </c>
      <c r="BM5" s="138" t="str">
        <f t="shared" ref="BM5:BM65" si="14">IFERROR(BL5/BK5,"")</f>
        <v/>
      </c>
      <c r="BQ5" s="138" t="str">
        <f t="shared" ref="BQ5:BQ65" si="15">IFERROR(BP5/BO5,"")</f>
        <v/>
      </c>
      <c r="BT5" s="138" t="str">
        <f t="shared" ref="BT5:BT65" si="16">IFERROR(BS5/BR5,"")</f>
        <v/>
      </c>
      <c r="BV5" s="61"/>
      <c r="BW5" s="61"/>
      <c r="BX5" s="138" t="str">
        <f t="shared" ref="BX5:BX65" si="17">IFERROR(BW5/BV5,"")</f>
        <v/>
      </c>
      <c r="BY5" s="61"/>
      <c r="BZ5" s="61"/>
      <c r="CA5" s="138" t="str">
        <f t="shared" ref="CA5:CA65" si="18">IFERROR(BZ5/BY5,"")</f>
        <v/>
      </c>
      <c r="CB5" s="61"/>
      <c r="CC5" s="61"/>
      <c r="CD5" s="138" t="str">
        <f t="shared" ref="CD5:CD65" si="19">IFERROR(CC5/CB5,"")</f>
        <v/>
      </c>
    </row>
    <row r="6" spans="1:82" x14ac:dyDescent="0.3">
      <c r="A6" s="9" t="s">
        <v>59</v>
      </c>
      <c r="B6" s="9" t="s">
        <v>315</v>
      </c>
      <c r="C6" s="17" t="s">
        <v>8</v>
      </c>
      <c r="D6" s="57">
        <v>71</v>
      </c>
      <c r="E6" s="57">
        <v>140</v>
      </c>
      <c r="F6" s="138">
        <f t="shared" si="0"/>
        <v>1.971830985915493</v>
      </c>
      <c r="G6" s="12"/>
      <c r="J6" s="59"/>
      <c r="K6" s="59"/>
      <c r="L6" s="138" t="str">
        <f t="shared" si="1"/>
        <v/>
      </c>
      <c r="M6" s="17"/>
      <c r="N6" s="57"/>
      <c r="O6" s="59"/>
      <c r="P6" s="59"/>
      <c r="Q6" s="59"/>
      <c r="R6" s="138" t="str">
        <f t="shared" si="2"/>
        <v/>
      </c>
      <c r="X6" s="138" t="str">
        <f t="shared" si="3"/>
        <v/>
      </c>
      <c r="AC6" s="138" t="str">
        <f t="shared" si="4"/>
        <v/>
      </c>
      <c r="AG6" s="138" t="str">
        <f t="shared" si="5"/>
        <v/>
      </c>
      <c r="AJ6" s="138" t="str">
        <f t="shared" si="6"/>
        <v/>
      </c>
      <c r="AM6" s="138" t="str">
        <f t="shared" si="7"/>
        <v/>
      </c>
      <c r="AQ6" s="138" t="str">
        <f t="shared" si="8"/>
        <v/>
      </c>
      <c r="AT6" s="138" t="str">
        <f t="shared" si="9"/>
        <v/>
      </c>
      <c r="AX6" s="138" t="str">
        <f t="shared" si="10"/>
        <v/>
      </c>
      <c r="BB6" s="138" t="str">
        <f t="shared" si="11"/>
        <v/>
      </c>
      <c r="BF6" s="138" t="str">
        <f t="shared" si="12"/>
        <v/>
      </c>
      <c r="BJ6" s="138" t="str">
        <f t="shared" si="13"/>
        <v/>
      </c>
      <c r="BM6" s="138" t="str">
        <f t="shared" si="14"/>
        <v/>
      </c>
      <c r="BQ6" s="138" t="str">
        <f t="shared" si="15"/>
        <v/>
      </c>
      <c r="BT6" s="138" t="str">
        <f t="shared" si="16"/>
        <v/>
      </c>
      <c r="BV6" s="61"/>
      <c r="BW6" s="61"/>
      <c r="BX6" s="138" t="str">
        <f t="shared" si="17"/>
        <v/>
      </c>
      <c r="BY6" s="61"/>
      <c r="BZ6" s="61"/>
      <c r="CA6" s="138" t="str">
        <f t="shared" si="18"/>
        <v/>
      </c>
      <c r="CB6" s="61"/>
      <c r="CC6" s="61"/>
      <c r="CD6" s="138" t="str">
        <f t="shared" si="19"/>
        <v/>
      </c>
    </row>
    <row r="7" spans="1:82" x14ac:dyDescent="0.3">
      <c r="A7" s="17" t="s">
        <v>259</v>
      </c>
      <c r="B7" s="9" t="s">
        <v>314</v>
      </c>
      <c r="C7" s="62" t="s">
        <v>41</v>
      </c>
      <c r="D7" s="2"/>
      <c r="E7" s="2"/>
      <c r="F7" s="138" t="str">
        <f t="shared" si="0"/>
        <v/>
      </c>
      <c r="G7" s="62" t="s">
        <v>41</v>
      </c>
      <c r="H7" s="59">
        <v>148</v>
      </c>
      <c r="I7" s="59">
        <v>222</v>
      </c>
      <c r="J7" s="2">
        <v>0</v>
      </c>
      <c r="K7" s="60">
        <f>I7+(J7/$D$187)</f>
        <v>222</v>
      </c>
      <c r="L7" s="138">
        <f t="shared" si="1"/>
        <v>1.5</v>
      </c>
      <c r="M7" s="17" t="s">
        <v>41</v>
      </c>
      <c r="N7" s="57"/>
      <c r="O7" s="59"/>
      <c r="P7" s="59"/>
      <c r="Q7" s="59"/>
      <c r="R7" s="138" t="str">
        <f t="shared" si="2"/>
        <v/>
      </c>
      <c r="X7" s="138" t="str">
        <f t="shared" si="3"/>
        <v/>
      </c>
      <c r="AC7" s="138" t="str">
        <f t="shared" si="4"/>
        <v/>
      </c>
      <c r="AG7" s="138" t="str">
        <f t="shared" si="5"/>
        <v/>
      </c>
      <c r="AJ7" s="138" t="str">
        <f t="shared" si="6"/>
        <v/>
      </c>
      <c r="AM7" s="138" t="str">
        <f t="shared" si="7"/>
        <v/>
      </c>
      <c r="AQ7" s="138" t="str">
        <f t="shared" si="8"/>
        <v/>
      </c>
      <c r="AT7" s="138" t="str">
        <f t="shared" si="9"/>
        <v/>
      </c>
      <c r="AX7" s="138" t="str">
        <f t="shared" si="10"/>
        <v/>
      </c>
      <c r="BB7" s="138" t="str">
        <f t="shared" si="11"/>
        <v/>
      </c>
      <c r="BF7" s="138" t="str">
        <f t="shared" si="12"/>
        <v/>
      </c>
      <c r="BJ7" s="138" t="str">
        <f t="shared" si="13"/>
        <v/>
      </c>
      <c r="BM7" s="138" t="str">
        <f t="shared" si="14"/>
        <v/>
      </c>
      <c r="BQ7" s="138" t="str">
        <f t="shared" si="15"/>
        <v/>
      </c>
      <c r="BT7" s="138" t="str">
        <f t="shared" si="16"/>
        <v/>
      </c>
      <c r="BV7" s="61"/>
      <c r="BW7" s="61"/>
      <c r="BX7" s="138" t="str">
        <f t="shared" si="17"/>
        <v/>
      </c>
      <c r="BY7" s="61"/>
      <c r="BZ7" s="61"/>
      <c r="CA7" s="138" t="str">
        <f t="shared" si="18"/>
        <v/>
      </c>
      <c r="CB7" s="61"/>
      <c r="CC7" s="61"/>
      <c r="CD7" s="138" t="str">
        <f t="shared" si="19"/>
        <v/>
      </c>
    </row>
    <row r="8" spans="1:82" x14ac:dyDescent="0.3">
      <c r="A8" s="17" t="s">
        <v>64</v>
      </c>
      <c r="B8" s="9" t="s">
        <v>316</v>
      </c>
      <c r="C8" s="51" t="s">
        <v>2</v>
      </c>
      <c r="D8" s="2"/>
      <c r="E8" s="9"/>
      <c r="F8" s="138" t="str">
        <f t="shared" si="0"/>
        <v/>
      </c>
      <c r="G8" s="12"/>
      <c r="J8" s="2"/>
      <c r="K8" s="2"/>
      <c r="L8" s="138" t="str">
        <f t="shared" si="1"/>
        <v/>
      </c>
      <c r="M8" s="51"/>
      <c r="P8" s="2"/>
      <c r="Q8" s="2"/>
      <c r="R8" s="138" t="str">
        <f t="shared" si="2"/>
        <v/>
      </c>
      <c r="X8" s="138" t="str">
        <f t="shared" si="3"/>
        <v/>
      </c>
      <c r="AC8" s="138" t="str">
        <f t="shared" si="4"/>
        <v/>
      </c>
      <c r="AG8" s="138" t="str">
        <f t="shared" si="5"/>
        <v/>
      </c>
      <c r="AJ8" s="138" t="str">
        <f t="shared" si="6"/>
        <v/>
      </c>
      <c r="AM8" s="138" t="str">
        <f t="shared" si="7"/>
        <v/>
      </c>
      <c r="AQ8" s="138" t="str">
        <f t="shared" si="8"/>
        <v/>
      </c>
      <c r="AT8" s="138" t="str">
        <f t="shared" si="9"/>
        <v/>
      </c>
      <c r="AX8" s="138" t="str">
        <f t="shared" si="10"/>
        <v/>
      </c>
      <c r="BB8" s="138" t="str">
        <f t="shared" si="11"/>
        <v/>
      </c>
      <c r="BF8" s="138" t="str">
        <f t="shared" si="12"/>
        <v/>
      </c>
      <c r="BG8" s="17"/>
      <c r="BH8" s="63"/>
      <c r="BI8" s="17"/>
      <c r="BJ8" s="138" t="str">
        <f t="shared" si="13"/>
        <v/>
      </c>
      <c r="BK8" s="63"/>
      <c r="BL8" s="63"/>
      <c r="BM8" s="138" t="str">
        <f t="shared" si="14"/>
        <v/>
      </c>
      <c r="BN8" s="17"/>
      <c r="BO8" s="17"/>
      <c r="BP8" s="17"/>
      <c r="BQ8" s="138" t="str">
        <f t="shared" si="15"/>
        <v/>
      </c>
      <c r="BR8" s="17"/>
      <c r="BS8" s="17"/>
      <c r="BT8" s="138" t="str">
        <f t="shared" si="16"/>
        <v/>
      </c>
      <c r="BU8" s="17" t="s">
        <v>2</v>
      </c>
      <c r="BV8" s="61"/>
      <c r="BW8" s="61"/>
      <c r="BX8" s="138" t="str">
        <f t="shared" si="17"/>
        <v/>
      </c>
      <c r="BY8" s="61"/>
      <c r="BZ8" s="61"/>
      <c r="CA8" s="138" t="str">
        <f t="shared" si="18"/>
        <v/>
      </c>
      <c r="CB8" s="61">
        <v>79</v>
      </c>
      <c r="CC8" s="61">
        <v>5340</v>
      </c>
      <c r="CD8" s="138">
        <f t="shared" si="19"/>
        <v>67.594936708860757</v>
      </c>
    </row>
    <row r="9" spans="1:82" x14ac:dyDescent="0.3">
      <c r="A9" s="17" t="s">
        <v>46</v>
      </c>
      <c r="B9" s="9" t="s">
        <v>315</v>
      </c>
      <c r="C9" s="17" t="s">
        <v>8</v>
      </c>
      <c r="D9" s="57">
        <v>177</v>
      </c>
      <c r="E9" s="57">
        <v>270</v>
      </c>
      <c r="F9" s="138">
        <f t="shared" si="0"/>
        <v>1.5254237288135593</v>
      </c>
      <c r="G9" s="12" t="s">
        <v>8</v>
      </c>
      <c r="H9" s="59">
        <v>213</v>
      </c>
      <c r="I9" s="59">
        <v>195</v>
      </c>
      <c r="J9" s="60">
        <v>0</v>
      </c>
      <c r="K9" s="60">
        <f>I9+(J9/$D$187)</f>
        <v>195</v>
      </c>
      <c r="L9" s="138">
        <f t="shared" si="1"/>
        <v>0.91549295774647887</v>
      </c>
      <c r="M9" s="17" t="s">
        <v>8</v>
      </c>
      <c r="N9" s="57">
        <v>126</v>
      </c>
      <c r="O9" s="59">
        <v>90</v>
      </c>
      <c r="P9" s="60">
        <v>0</v>
      </c>
      <c r="Q9" s="60">
        <f>O9+(P9/$D$187)</f>
        <v>90</v>
      </c>
      <c r="R9" s="138">
        <f t="shared" si="2"/>
        <v>0.7142857142857143</v>
      </c>
      <c r="X9" s="138" t="str">
        <f t="shared" si="3"/>
        <v/>
      </c>
      <c r="AC9" s="138" t="str">
        <f t="shared" si="4"/>
        <v/>
      </c>
      <c r="AG9" s="138" t="str">
        <f t="shared" si="5"/>
        <v/>
      </c>
      <c r="AJ9" s="138" t="str">
        <f t="shared" si="6"/>
        <v/>
      </c>
      <c r="AM9" s="138" t="str">
        <f t="shared" si="7"/>
        <v/>
      </c>
      <c r="AQ9" s="138" t="str">
        <f t="shared" si="8"/>
        <v/>
      </c>
      <c r="AT9" s="138" t="str">
        <f t="shared" si="9"/>
        <v/>
      </c>
      <c r="AX9" s="138" t="str">
        <f t="shared" si="10"/>
        <v/>
      </c>
      <c r="BB9" s="138" t="str">
        <f t="shared" si="11"/>
        <v/>
      </c>
      <c r="BF9" s="138" t="str">
        <f t="shared" si="12"/>
        <v/>
      </c>
      <c r="BJ9" s="138" t="str">
        <f t="shared" si="13"/>
        <v/>
      </c>
      <c r="BM9" s="138" t="str">
        <f t="shared" si="14"/>
        <v/>
      </c>
      <c r="BO9" s="2"/>
      <c r="BP9" s="2"/>
      <c r="BQ9" s="138" t="str">
        <f t="shared" si="15"/>
        <v/>
      </c>
      <c r="BR9" s="2"/>
      <c r="BS9" s="2"/>
      <c r="BT9" s="138" t="str">
        <f t="shared" si="16"/>
        <v/>
      </c>
      <c r="BV9" s="61"/>
      <c r="BW9" s="61"/>
      <c r="BX9" s="138" t="str">
        <f t="shared" si="17"/>
        <v/>
      </c>
      <c r="BY9" s="61"/>
      <c r="BZ9" s="61"/>
      <c r="CA9" s="138" t="str">
        <f t="shared" si="18"/>
        <v/>
      </c>
      <c r="CB9" s="61"/>
      <c r="CC9" s="61"/>
      <c r="CD9" s="138" t="str">
        <f t="shared" si="19"/>
        <v/>
      </c>
    </row>
    <row r="10" spans="1:82" x14ac:dyDescent="0.3">
      <c r="A10" s="17" t="s">
        <v>63</v>
      </c>
      <c r="B10" s="9" t="s">
        <v>316</v>
      </c>
      <c r="C10" s="51" t="s">
        <v>2</v>
      </c>
      <c r="D10" s="2"/>
      <c r="E10" s="2"/>
      <c r="F10" s="138" t="str">
        <f t="shared" si="0"/>
        <v/>
      </c>
      <c r="G10" s="12"/>
      <c r="J10" s="2"/>
      <c r="K10" s="2"/>
      <c r="L10" s="138" t="str">
        <f t="shared" si="1"/>
        <v/>
      </c>
      <c r="M10" s="51"/>
      <c r="P10" s="2"/>
      <c r="Q10" s="2"/>
      <c r="R10" s="138" t="str">
        <f t="shared" si="2"/>
        <v/>
      </c>
      <c r="T10" s="2"/>
      <c r="U10" s="2"/>
      <c r="V10" s="9"/>
      <c r="W10" s="9"/>
      <c r="X10" s="138" t="str">
        <f t="shared" si="3"/>
        <v/>
      </c>
      <c r="Y10" s="2"/>
      <c r="Z10" s="2"/>
      <c r="AA10" s="2"/>
      <c r="AB10" s="2"/>
      <c r="AC10" s="138" t="str">
        <f t="shared" si="4"/>
        <v/>
      </c>
      <c r="AD10" s="17"/>
      <c r="AE10" s="64"/>
      <c r="AF10" s="64"/>
      <c r="AG10" s="138" t="str">
        <f t="shared" si="5"/>
        <v/>
      </c>
      <c r="AH10" s="17"/>
      <c r="AI10" s="17"/>
      <c r="AJ10" s="138" t="str">
        <f t="shared" si="6"/>
        <v/>
      </c>
      <c r="AK10" s="17"/>
      <c r="AL10" s="63"/>
      <c r="AM10" s="138" t="str">
        <f t="shared" si="7"/>
        <v/>
      </c>
      <c r="AN10" s="17"/>
      <c r="AO10" s="63"/>
      <c r="AP10" s="17"/>
      <c r="AQ10" s="138" t="str">
        <f t="shared" si="8"/>
        <v/>
      </c>
      <c r="AR10" s="17"/>
      <c r="AS10" s="17"/>
      <c r="AT10" s="138" t="str">
        <f t="shared" si="9"/>
        <v/>
      </c>
      <c r="AU10" s="17"/>
      <c r="AV10" s="17"/>
      <c r="AW10" s="63"/>
      <c r="AX10" s="138" t="str">
        <f t="shared" si="10"/>
        <v/>
      </c>
      <c r="AY10" s="17"/>
      <c r="AZ10" s="65"/>
      <c r="BA10" s="65"/>
      <c r="BB10" s="138" t="str">
        <f t="shared" si="11"/>
        <v/>
      </c>
      <c r="BC10" s="17"/>
      <c r="BD10" s="65"/>
      <c r="BE10" s="65"/>
      <c r="BF10" s="138" t="str">
        <f t="shared" si="12"/>
        <v/>
      </c>
      <c r="BG10" s="17" t="s">
        <v>2</v>
      </c>
      <c r="BH10" s="9">
        <v>84</v>
      </c>
      <c r="BI10" s="9">
        <v>271</v>
      </c>
      <c r="BJ10" s="138">
        <f t="shared" si="13"/>
        <v>3.2261904761904763</v>
      </c>
      <c r="BK10" s="17">
        <v>144</v>
      </c>
      <c r="BL10" s="17">
        <v>949</v>
      </c>
      <c r="BM10" s="138">
        <f t="shared" si="14"/>
        <v>6.5902777777777777</v>
      </c>
      <c r="BN10" s="17" t="s">
        <v>32</v>
      </c>
      <c r="BO10" s="9">
        <v>506</v>
      </c>
      <c r="BP10" s="9">
        <v>1144</v>
      </c>
      <c r="BQ10" s="138">
        <f t="shared" si="15"/>
        <v>2.2608695652173911</v>
      </c>
      <c r="BR10" s="9"/>
      <c r="BS10" s="9"/>
      <c r="BT10" s="138" t="str">
        <f t="shared" si="16"/>
        <v/>
      </c>
      <c r="BU10" s="17" t="s">
        <v>2</v>
      </c>
      <c r="BV10" s="61">
        <v>71</v>
      </c>
      <c r="BW10" s="61">
        <v>2362</v>
      </c>
      <c r="BX10" s="138">
        <f t="shared" si="17"/>
        <v>33.267605633802816</v>
      </c>
      <c r="BY10" s="61"/>
      <c r="BZ10" s="61"/>
      <c r="CA10" s="138" t="str">
        <f t="shared" si="18"/>
        <v/>
      </c>
      <c r="CB10" s="61">
        <v>5242</v>
      </c>
      <c r="CC10" s="61">
        <v>4085</v>
      </c>
      <c r="CD10" s="138">
        <f t="shared" si="19"/>
        <v>0.77928271652041203</v>
      </c>
    </row>
    <row r="11" spans="1:82" x14ac:dyDescent="0.3">
      <c r="A11" s="17" t="s">
        <v>77</v>
      </c>
      <c r="B11" s="9" t="s">
        <v>306</v>
      </c>
      <c r="C11" s="51" t="s">
        <v>4</v>
      </c>
      <c r="D11" s="2"/>
      <c r="E11" s="2"/>
      <c r="F11" s="138" t="str">
        <f t="shared" si="0"/>
        <v/>
      </c>
      <c r="G11" s="12"/>
      <c r="J11" s="2"/>
      <c r="K11" s="2"/>
      <c r="L11" s="138" t="str">
        <f t="shared" si="1"/>
        <v/>
      </c>
      <c r="M11" s="51"/>
      <c r="P11" s="2"/>
      <c r="Q11" s="2"/>
      <c r="R11" s="138" t="str">
        <f t="shared" si="2"/>
        <v/>
      </c>
      <c r="T11" s="2"/>
      <c r="U11" s="2"/>
      <c r="V11" s="2"/>
      <c r="W11" s="2"/>
      <c r="X11" s="138" t="str">
        <f t="shared" si="3"/>
        <v/>
      </c>
      <c r="Y11" s="2"/>
      <c r="Z11" s="2"/>
      <c r="AA11" s="2"/>
      <c r="AB11" s="2"/>
      <c r="AC11" s="138" t="str">
        <f t="shared" si="4"/>
        <v/>
      </c>
      <c r="AG11" s="138" t="str">
        <f t="shared" si="5"/>
        <v/>
      </c>
      <c r="AJ11" s="138" t="str">
        <f t="shared" si="6"/>
        <v/>
      </c>
      <c r="AM11" s="138" t="str">
        <f t="shared" si="7"/>
        <v/>
      </c>
      <c r="AQ11" s="138" t="str">
        <f t="shared" si="8"/>
        <v/>
      </c>
      <c r="AT11" s="138" t="str">
        <f t="shared" si="9"/>
        <v/>
      </c>
      <c r="AX11" s="138" t="str">
        <f t="shared" si="10"/>
        <v/>
      </c>
      <c r="BB11" s="138" t="str">
        <f t="shared" si="11"/>
        <v/>
      </c>
      <c r="BF11" s="138" t="str">
        <f t="shared" si="12"/>
        <v/>
      </c>
      <c r="BG11" s="17" t="s">
        <v>32</v>
      </c>
      <c r="BH11" s="9">
        <v>330</v>
      </c>
      <c r="BI11" s="9">
        <v>407</v>
      </c>
      <c r="BJ11" s="138">
        <f t="shared" si="13"/>
        <v>1.2333333333333334</v>
      </c>
      <c r="BK11" s="17">
        <v>384</v>
      </c>
      <c r="BL11" s="17">
        <v>881</v>
      </c>
      <c r="BM11" s="138">
        <f t="shared" si="14"/>
        <v>2.2942708333333335</v>
      </c>
      <c r="BN11" s="17" t="s">
        <v>32</v>
      </c>
      <c r="BO11" s="9">
        <v>217</v>
      </c>
      <c r="BP11" s="9">
        <v>255</v>
      </c>
      <c r="BQ11" s="138">
        <f t="shared" si="15"/>
        <v>1.1751152073732718</v>
      </c>
      <c r="BR11" s="9">
        <v>146</v>
      </c>
      <c r="BS11" s="9">
        <v>188</v>
      </c>
      <c r="BT11" s="138">
        <f t="shared" si="16"/>
        <v>1.2876712328767124</v>
      </c>
      <c r="BU11" s="17" t="s">
        <v>32</v>
      </c>
      <c r="BV11" s="61">
        <f>$D$101*30</f>
        <v>600</v>
      </c>
      <c r="BW11" s="61">
        <v>498</v>
      </c>
      <c r="BX11" s="138">
        <f t="shared" si="17"/>
        <v>0.83</v>
      </c>
      <c r="BY11" s="61">
        <f>$D$101*68</f>
        <v>1360</v>
      </c>
      <c r="BZ11" s="61">
        <v>1295</v>
      </c>
      <c r="CA11" s="138">
        <f t="shared" si="18"/>
        <v>0.95220588235294112</v>
      </c>
      <c r="CB11" s="61">
        <f>$D$101*853</f>
        <v>17060</v>
      </c>
      <c r="CC11" s="61">
        <v>6555</v>
      </c>
      <c r="CD11" s="138">
        <f t="shared" si="19"/>
        <v>0.38423212192262601</v>
      </c>
    </row>
    <row r="12" spans="1:82" x14ac:dyDescent="0.3">
      <c r="A12" s="17" t="s">
        <v>47</v>
      </c>
      <c r="B12" s="9" t="s">
        <v>315</v>
      </c>
      <c r="C12" s="12" t="s">
        <v>8</v>
      </c>
      <c r="D12" s="9"/>
      <c r="E12" s="9"/>
      <c r="F12" s="138" t="str">
        <f t="shared" si="0"/>
        <v/>
      </c>
      <c r="G12" s="12" t="s">
        <v>8</v>
      </c>
      <c r="H12" s="59">
        <v>5</v>
      </c>
      <c r="I12" s="59">
        <v>275</v>
      </c>
      <c r="J12" s="60">
        <v>0</v>
      </c>
      <c r="K12" s="60">
        <f>I12+(J12/$D$187)</f>
        <v>275</v>
      </c>
      <c r="L12" s="138">
        <f t="shared" si="1"/>
        <v>55</v>
      </c>
      <c r="M12" s="17" t="s">
        <v>8</v>
      </c>
      <c r="N12" s="57">
        <v>11</v>
      </c>
      <c r="O12" s="59">
        <v>600</v>
      </c>
      <c r="P12" s="60">
        <v>0</v>
      </c>
      <c r="Q12" s="60">
        <f>O12+(P12/$D$187)</f>
        <v>600</v>
      </c>
      <c r="R12" s="138">
        <f t="shared" si="2"/>
        <v>54.545454545454547</v>
      </c>
      <c r="T12" s="2"/>
      <c r="U12" s="2"/>
      <c r="V12" s="2"/>
      <c r="W12" s="2"/>
      <c r="X12" s="138" t="str">
        <f t="shared" si="3"/>
        <v/>
      </c>
      <c r="Y12" s="2"/>
      <c r="Z12" s="2"/>
      <c r="AA12" s="2"/>
      <c r="AB12" s="2"/>
      <c r="AC12" s="138" t="str">
        <f t="shared" si="4"/>
        <v/>
      </c>
      <c r="AG12" s="138" t="str">
        <f t="shared" si="5"/>
        <v/>
      </c>
      <c r="AJ12" s="138" t="str">
        <f t="shared" si="6"/>
        <v/>
      </c>
      <c r="AM12" s="138" t="str">
        <f t="shared" si="7"/>
        <v/>
      </c>
      <c r="AQ12" s="138" t="str">
        <f t="shared" si="8"/>
        <v/>
      </c>
      <c r="AT12" s="138" t="str">
        <f t="shared" si="9"/>
        <v/>
      </c>
      <c r="AX12" s="138" t="str">
        <f t="shared" si="10"/>
        <v/>
      </c>
      <c r="BB12" s="138" t="str">
        <f t="shared" si="11"/>
        <v/>
      </c>
      <c r="BF12" s="138" t="str">
        <f t="shared" si="12"/>
        <v/>
      </c>
      <c r="BH12" s="2"/>
      <c r="BI12" s="2"/>
      <c r="BJ12" s="138" t="str">
        <f t="shared" si="13"/>
        <v/>
      </c>
      <c r="BM12" s="138" t="str">
        <f t="shared" si="14"/>
        <v/>
      </c>
      <c r="BO12" s="2"/>
      <c r="BP12" s="2"/>
      <c r="BQ12" s="138" t="str">
        <f t="shared" si="15"/>
        <v/>
      </c>
      <c r="BR12" s="2"/>
      <c r="BS12" s="2"/>
      <c r="BT12" s="138" t="str">
        <f t="shared" si="16"/>
        <v/>
      </c>
      <c r="BV12" s="61"/>
      <c r="BW12" s="61"/>
      <c r="BX12" s="138" t="str">
        <f t="shared" si="17"/>
        <v/>
      </c>
      <c r="BY12" s="61"/>
      <c r="BZ12" s="61"/>
      <c r="CA12" s="138" t="str">
        <f t="shared" si="18"/>
        <v/>
      </c>
      <c r="CB12" s="61"/>
      <c r="CC12" s="61"/>
      <c r="CD12" s="138" t="str">
        <f t="shared" si="19"/>
        <v/>
      </c>
    </row>
    <row r="13" spans="1:82" x14ac:dyDescent="0.3">
      <c r="A13" s="17" t="s">
        <v>66</v>
      </c>
      <c r="B13" s="9" t="s">
        <v>306</v>
      </c>
      <c r="C13" s="51" t="s">
        <v>4</v>
      </c>
      <c r="D13" s="2"/>
      <c r="E13" s="2"/>
      <c r="F13" s="138" t="str">
        <f t="shared" si="0"/>
        <v/>
      </c>
      <c r="G13" s="12"/>
      <c r="J13" s="2"/>
      <c r="K13" s="2"/>
      <c r="L13" s="138" t="str">
        <f t="shared" si="1"/>
        <v/>
      </c>
      <c r="M13" s="51"/>
      <c r="P13" s="2"/>
      <c r="Q13" s="2"/>
      <c r="R13" s="138" t="str">
        <f t="shared" si="2"/>
        <v/>
      </c>
      <c r="T13" s="2"/>
      <c r="U13" s="2"/>
      <c r="V13" s="2"/>
      <c r="W13" s="2"/>
      <c r="X13" s="138" t="str">
        <f t="shared" si="3"/>
        <v/>
      </c>
      <c r="Y13" s="2"/>
      <c r="Z13" s="2"/>
      <c r="AA13" s="2"/>
      <c r="AB13" s="2"/>
      <c r="AC13" s="138" t="str">
        <f t="shared" si="4"/>
        <v/>
      </c>
      <c r="AG13" s="138" t="str">
        <f t="shared" si="5"/>
        <v/>
      </c>
      <c r="AJ13" s="138" t="str">
        <f t="shared" si="6"/>
        <v/>
      </c>
      <c r="AM13" s="138" t="str">
        <f t="shared" si="7"/>
        <v/>
      </c>
      <c r="AQ13" s="138" t="str">
        <f t="shared" si="8"/>
        <v/>
      </c>
      <c r="AT13" s="138" t="str">
        <f t="shared" si="9"/>
        <v/>
      </c>
      <c r="AX13" s="138" t="str">
        <f t="shared" si="10"/>
        <v/>
      </c>
      <c r="BB13" s="138" t="str">
        <f t="shared" si="11"/>
        <v/>
      </c>
      <c r="BF13" s="138" t="str">
        <f t="shared" si="12"/>
        <v/>
      </c>
      <c r="BG13" s="17"/>
      <c r="BH13" s="9"/>
      <c r="BI13" s="9"/>
      <c r="BJ13" s="138" t="str">
        <f t="shared" si="13"/>
        <v/>
      </c>
      <c r="BK13" s="63"/>
      <c r="BL13" s="17"/>
      <c r="BM13" s="138" t="str">
        <f t="shared" si="14"/>
        <v/>
      </c>
      <c r="BN13" s="17" t="s">
        <v>32</v>
      </c>
      <c r="BO13" s="9">
        <v>85</v>
      </c>
      <c r="BP13" s="9">
        <v>1104</v>
      </c>
      <c r="BQ13" s="138">
        <f t="shared" si="15"/>
        <v>12.988235294117647</v>
      </c>
      <c r="BR13" s="9">
        <v>60</v>
      </c>
      <c r="BS13" s="9">
        <v>1406</v>
      </c>
      <c r="BT13" s="138">
        <f t="shared" si="16"/>
        <v>23.433333333333334</v>
      </c>
      <c r="BU13" s="17" t="s">
        <v>32</v>
      </c>
      <c r="BV13" s="61">
        <f>$D$101*9</f>
        <v>180</v>
      </c>
      <c r="BW13" s="61">
        <v>2520</v>
      </c>
      <c r="BX13" s="138">
        <f t="shared" si="17"/>
        <v>14</v>
      </c>
      <c r="BY13" s="61">
        <f>$D$101*7</f>
        <v>140</v>
      </c>
      <c r="BZ13" s="61">
        <v>1836</v>
      </c>
      <c r="CA13" s="138">
        <f t="shared" si="18"/>
        <v>13.114285714285714</v>
      </c>
      <c r="CB13" s="61">
        <f>$D$101*22</f>
        <v>440</v>
      </c>
      <c r="CC13" s="61">
        <v>3918</v>
      </c>
      <c r="CD13" s="138">
        <f t="shared" si="19"/>
        <v>8.9045454545454543</v>
      </c>
    </row>
    <row r="14" spans="1:82" x14ac:dyDescent="0.3">
      <c r="A14" s="17" t="s">
        <v>62</v>
      </c>
      <c r="B14" s="9" t="s">
        <v>316</v>
      </c>
      <c r="C14" s="51" t="s">
        <v>2</v>
      </c>
      <c r="D14" s="2"/>
      <c r="E14" s="2"/>
      <c r="F14" s="138" t="str">
        <f t="shared" si="0"/>
        <v/>
      </c>
      <c r="G14" s="62" t="s">
        <v>2</v>
      </c>
      <c r="H14" s="59">
        <v>452</v>
      </c>
      <c r="I14" s="59">
        <v>900</v>
      </c>
      <c r="J14" s="60">
        <v>0</v>
      </c>
      <c r="K14" s="60">
        <f>I14+(J14/$D$187)</f>
        <v>900</v>
      </c>
      <c r="L14" s="138">
        <f t="shared" si="1"/>
        <v>1.9911504424778761</v>
      </c>
      <c r="M14" s="17" t="s">
        <v>2</v>
      </c>
      <c r="N14" s="57">
        <v>200</v>
      </c>
      <c r="O14" s="59">
        <v>350</v>
      </c>
      <c r="P14" s="59">
        <v>0</v>
      </c>
      <c r="Q14" s="60">
        <f>O14+(P14/$D$187)</f>
        <v>350</v>
      </c>
      <c r="R14" s="138">
        <f t="shared" si="2"/>
        <v>1.75</v>
      </c>
      <c r="S14" s="17" t="s">
        <v>2</v>
      </c>
      <c r="T14" s="9">
        <v>125</v>
      </c>
      <c r="U14" s="9">
        <v>199</v>
      </c>
      <c r="V14" s="9">
        <v>0</v>
      </c>
      <c r="W14" s="60">
        <f>U14+(V14/$D$187)</f>
        <v>199</v>
      </c>
      <c r="X14" s="138">
        <f t="shared" si="3"/>
        <v>1.5920000000000001</v>
      </c>
      <c r="Y14" s="66">
        <v>340</v>
      </c>
      <c r="Z14" s="66">
        <v>510</v>
      </c>
      <c r="AA14" s="9">
        <v>0</v>
      </c>
      <c r="AB14" s="60">
        <f>Z14+(AA14/$D$187)</f>
        <v>510</v>
      </c>
      <c r="AC14" s="138">
        <f t="shared" si="4"/>
        <v>1.5</v>
      </c>
      <c r="AD14" s="63" t="s">
        <v>2</v>
      </c>
      <c r="AE14" s="64">
        <v>350</v>
      </c>
      <c r="AF14" s="64">
        <v>425</v>
      </c>
      <c r="AG14" s="138">
        <f t="shared" si="5"/>
        <v>1.2142857142857142</v>
      </c>
      <c r="AH14" s="67">
        <v>273.5</v>
      </c>
      <c r="AI14" s="17">
        <v>409</v>
      </c>
      <c r="AJ14" s="138">
        <f t="shared" si="6"/>
        <v>1.4954296160877514</v>
      </c>
      <c r="AK14" s="63">
        <v>688</v>
      </c>
      <c r="AL14" s="63">
        <v>1240</v>
      </c>
      <c r="AM14" s="138">
        <f t="shared" si="7"/>
        <v>1.8023255813953489</v>
      </c>
      <c r="AN14" s="63" t="s">
        <v>2</v>
      </c>
      <c r="AO14" s="63">
        <v>526</v>
      </c>
      <c r="AP14" s="17">
        <v>789</v>
      </c>
      <c r="AQ14" s="138">
        <f t="shared" si="8"/>
        <v>1.5</v>
      </c>
      <c r="AR14" s="17">
        <v>450</v>
      </c>
      <c r="AS14" s="17">
        <v>825</v>
      </c>
      <c r="AT14" s="138">
        <f t="shared" si="9"/>
        <v>1.8333333333333333</v>
      </c>
      <c r="AU14" s="17" t="s">
        <v>2</v>
      </c>
      <c r="AV14" s="17">
        <v>250</v>
      </c>
      <c r="AW14" s="17">
        <v>625</v>
      </c>
      <c r="AX14" s="138">
        <f t="shared" si="10"/>
        <v>2.5</v>
      </c>
      <c r="AY14" s="17" t="s">
        <v>2</v>
      </c>
      <c r="AZ14" s="64">
        <v>344</v>
      </c>
      <c r="BA14" s="64">
        <v>360</v>
      </c>
      <c r="BB14" s="138">
        <f t="shared" si="11"/>
        <v>1.0465116279069768</v>
      </c>
      <c r="BC14" s="17" t="s">
        <v>2</v>
      </c>
      <c r="BD14" s="64">
        <v>375</v>
      </c>
      <c r="BE14" s="64">
        <v>750</v>
      </c>
      <c r="BF14" s="138">
        <f t="shared" si="12"/>
        <v>2</v>
      </c>
      <c r="BG14" s="17" t="s">
        <v>2</v>
      </c>
      <c r="BH14" s="61"/>
      <c r="BI14" s="61"/>
      <c r="BJ14" s="138" t="str">
        <f t="shared" si="13"/>
        <v/>
      </c>
      <c r="BK14" s="17">
        <v>500</v>
      </c>
      <c r="BL14" s="17">
        <v>480</v>
      </c>
      <c r="BM14" s="138">
        <f t="shared" si="14"/>
        <v>0.96</v>
      </c>
      <c r="BN14" s="17" t="s">
        <v>2</v>
      </c>
      <c r="BO14" s="9">
        <v>752</v>
      </c>
      <c r="BP14" s="9">
        <v>1770</v>
      </c>
      <c r="BQ14" s="138">
        <f t="shared" si="15"/>
        <v>2.353723404255319</v>
      </c>
      <c r="BR14" s="9">
        <v>1250</v>
      </c>
      <c r="BS14" s="9">
        <v>2919</v>
      </c>
      <c r="BT14" s="138">
        <f t="shared" si="16"/>
        <v>2.3351999999999999</v>
      </c>
      <c r="BU14" s="17" t="s">
        <v>2</v>
      </c>
      <c r="BV14" s="61"/>
      <c r="BW14" s="61"/>
      <c r="BX14" s="138" t="str">
        <f t="shared" si="17"/>
        <v/>
      </c>
      <c r="BY14" s="61">
        <v>209</v>
      </c>
      <c r="BZ14" s="61">
        <v>8192</v>
      </c>
      <c r="CA14" s="138">
        <f t="shared" si="18"/>
        <v>39.196172248803826</v>
      </c>
      <c r="CB14" s="61"/>
      <c r="CC14" s="61"/>
      <c r="CD14" s="138" t="str">
        <f t="shared" si="19"/>
        <v/>
      </c>
    </row>
    <row r="15" spans="1:82" s="2" customFormat="1" x14ac:dyDescent="0.3">
      <c r="A15" s="9" t="s">
        <v>3</v>
      </c>
      <c r="B15" s="140" t="s">
        <v>306</v>
      </c>
      <c r="C15" s="145" t="s">
        <v>4</v>
      </c>
      <c r="D15" s="68">
        <f>$D$133*1639</f>
        <v>2458.5</v>
      </c>
      <c r="E15" s="68">
        <v>10182</v>
      </c>
      <c r="F15" s="138">
        <f t="shared" si="0"/>
        <v>4.141549725442343</v>
      </c>
      <c r="G15" s="68" t="s">
        <v>4</v>
      </c>
      <c r="H15" s="70">
        <f>$D$133*1924</f>
        <v>2886</v>
      </c>
      <c r="I15" s="70">
        <v>13468</v>
      </c>
      <c r="J15" s="70">
        <v>0</v>
      </c>
      <c r="K15" s="60">
        <f>I15+(J15/$D$187)</f>
        <v>13468</v>
      </c>
      <c r="L15" s="138">
        <f t="shared" si="1"/>
        <v>4.666666666666667</v>
      </c>
      <c r="M15" s="68" t="s">
        <v>4</v>
      </c>
      <c r="N15" s="71">
        <f>$D$133*2227</f>
        <v>3340.5</v>
      </c>
      <c r="O15" s="70">
        <v>13920</v>
      </c>
      <c r="P15" s="70">
        <v>0</v>
      </c>
      <c r="Q15" s="60">
        <f>O15+(P15/$D$187)</f>
        <v>13920</v>
      </c>
      <c r="R15" s="138">
        <f t="shared" si="2"/>
        <v>4.1670408621463855</v>
      </c>
      <c r="S15" s="68" t="s">
        <v>4</v>
      </c>
      <c r="T15" s="68">
        <f>$D$133*1970</f>
        <v>2955</v>
      </c>
      <c r="U15" s="68">
        <v>11820</v>
      </c>
      <c r="V15" s="68">
        <v>0</v>
      </c>
      <c r="W15" s="60">
        <f>U15+(V15/$D$187)</f>
        <v>11820</v>
      </c>
      <c r="X15" s="138">
        <f t="shared" si="3"/>
        <v>4</v>
      </c>
      <c r="Y15" s="141" t="s">
        <v>301</v>
      </c>
      <c r="Z15" s="68">
        <f>6977+912</f>
        <v>7889</v>
      </c>
      <c r="AA15" s="68">
        <v>0</v>
      </c>
      <c r="AB15" s="60">
        <f>Z15+(AA15/$D$187)</f>
        <v>7889</v>
      </c>
      <c r="AC15" s="138" t="str">
        <f t="shared" si="4"/>
        <v/>
      </c>
      <c r="AD15" s="68" t="s">
        <v>4</v>
      </c>
      <c r="AE15" s="72">
        <v>3482</v>
      </c>
      <c r="AF15" s="72">
        <v>15196</v>
      </c>
      <c r="AG15" s="138">
        <f t="shared" si="5"/>
        <v>4.3641585295807008</v>
      </c>
      <c r="AH15" s="73">
        <v>3039</v>
      </c>
      <c r="AI15" s="73">
        <v>30390</v>
      </c>
      <c r="AJ15" s="138">
        <f t="shared" si="6"/>
        <v>10</v>
      </c>
      <c r="AK15" s="73">
        <v>2559</v>
      </c>
      <c r="AL15" s="73">
        <v>11942</v>
      </c>
      <c r="AM15" s="138">
        <f t="shared" si="7"/>
        <v>4.666666666666667</v>
      </c>
      <c r="AN15" s="68" t="s">
        <v>4</v>
      </c>
      <c r="AO15" s="73">
        <v>1293</v>
      </c>
      <c r="AP15" s="73">
        <v>6034</v>
      </c>
      <c r="AQ15" s="138">
        <f t="shared" si="8"/>
        <v>4.666666666666667</v>
      </c>
      <c r="AR15" s="73">
        <v>1323</v>
      </c>
      <c r="AS15" s="73">
        <v>6349</v>
      </c>
      <c r="AT15" s="138">
        <f t="shared" si="9"/>
        <v>4.7989417989417991</v>
      </c>
      <c r="AU15" s="68" t="s">
        <v>4</v>
      </c>
      <c r="AV15" s="73">
        <v>1959</v>
      </c>
      <c r="AW15" s="73">
        <v>9680</v>
      </c>
      <c r="AX15" s="138">
        <f t="shared" si="10"/>
        <v>4.9412965798876982</v>
      </c>
      <c r="AY15" s="68" t="s">
        <v>4</v>
      </c>
      <c r="AZ15" s="71">
        <v>3192</v>
      </c>
      <c r="BA15" s="71">
        <v>15960</v>
      </c>
      <c r="BB15" s="138">
        <f t="shared" si="11"/>
        <v>5</v>
      </c>
      <c r="BC15" s="68" t="s">
        <v>4</v>
      </c>
      <c r="BD15" s="71">
        <v>410</v>
      </c>
      <c r="BE15" s="71">
        <v>1332</v>
      </c>
      <c r="BF15" s="138">
        <f t="shared" si="12"/>
        <v>3.2487804878048783</v>
      </c>
      <c r="BJ15" s="138" t="str">
        <f t="shared" si="13"/>
        <v/>
      </c>
      <c r="BM15" s="138" t="str">
        <f t="shared" si="14"/>
        <v/>
      </c>
      <c r="BQ15" s="138" t="str">
        <f t="shared" si="15"/>
        <v/>
      </c>
      <c r="BT15" s="138" t="str">
        <f t="shared" si="16"/>
        <v/>
      </c>
      <c r="BV15" s="61"/>
      <c r="BW15" s="61"/>
      <c r="BX15" s="138" t="str">
        <f t="shared" si="17"/>
        <v/>
      </c>
      <c r="BY15" s="61"/>
      <c r="BZ15" s="61"/>
      <c r="CA15" s="138" t="str">
        <f t="shared" si="18"/>
        <v/>
      </c>
      <c r="CB15" s="61"/>
      <c r="CC15" s="61"/>
      <c r="CD15" s="138" t="str">
        <f t="shared" si="19"/>
        <v/>
      </c>
    </row>
    <row r="16" spans="1:82" x14ac:dyDescent="0.3">
      <c r="A16" s="9" t="s">
        <v>6</v>
      </c>
      <c r="B16" s="140" t="s">
        <v>306</v>
      </c>
      <c r="C16" s="68" t="s">
        <v>4</v>
      </c>
      <c r="D16" s="9"/>
      <c r="E16" s="9"/>
      <c r="F16" s="138" t="str">
        <f t="shared" si="0"/>
        <v/>
      </c>
      <c r="G16" s="9" t="s">
        <v>48</v>
      </c>
      <c r="H16" s="59">
        <v>2600</v>
      </c>
      <c r="I16" s="59">
        <v>2500</v>
      </c>
      <c r="J16" s="60">
        <v>0</v>
      </c>
      <c r="K16" s="60">
        <f>I16+(J16/$D$187)</f>
        <v>2500</v>
      </c>
      <c r="L16" s="138">
        <f t="shared" si="1"/>
        <v>0.96153846153846156</v>
      </c>
      <c r="M16" s="9" t="s">
        <v>48</v>
      </c>
      <c r="N16" s="57">
        <v>2894</v>
      </c>
      <c r="O16" s="59">
        <v>2782</v>
      </c>
      <c r="P16" s="60">
        <v>0</v>
      </c>
      <c r="Q16" s="60">
        <f>O16+(P16/$D$187)</f>
        <v>2782</v>
      </c>
      <c r="R16" s="138">
        <f t="shared" si="2"/>
        <v>0.96129923980649623</v>
      </c>
      <c r="S16" s="9" t="s">
        <v>4</v>
      </c>
      <c r="T16" s="9">
        <v>1992</v>
      </c>
      <c r="U16" s="9">
        <v>3395</v>
      </c>
      <c r="V16" s="9">
        <v>0</v>
      </c>
      <c r="W16" s="60">
        <f>U16+(V16/$D$187)</f>
        <v>3395</v>
      </c>
      <c r="X16" s="138">
        <f t="shared" si="3"/>
        <v>1.7043172690763053</v>
      </c>
      <c r="Y16" s="57">
        <v>1205</v>
      </c>
      <c r="Z16" s="57">
        <v>2102</v>
      </c>
      <c r="AA16" s="9">
        <v>0</v>
      </c>
      <c r="AB16" s="60">
        <f>Z16+(AA16/$D$187)</f>
        <v>2102</v>
      </c>
      <c r="AC16" s="138">
        <f t="shared" si="4"/>
        <v>1.7443983402489627</v>
      </c>
      <c r="AD16" s="17" t="s">
        <v>4</v>
      </c>
      <c r="AE16" s="74">
        <v>1103</v>
      </c>
      <c r="AF16" s="74">
        <v>5492</v>
      </c>
      <c r="AG16" s="138">
        <f t="shared" si="5"/>
        <v>4.9791477787851317</v>
      </c>
      <c r="AH16" s="17">
        <v>158</v>
      </c>
      <c r="AI16" s="17">
        <v>462</v>
      </c>
      <c r="AJ16" s="138">
        <f t="shared" si="6"/>
        <v>2.9240506329113924</v>
      </c>
      <c r="AK16" s="63">
        <v>408</v>
      </c>
      <c r="AL16" s="63">
        <v>816</v>
      </c>
      <c r="AM16" s="138">
        <f t="shared" si="7"/>
        <v>2</v>
      </c>
      <c r="AN16" s="17" t="s">
        <v>4</v>
      </c>
      <c r="AO16" s="63">
        <v>671</v>
      </c>
      <c r="AP16" s="63">
        <v>1342</v>
      </c>
      <c r="AQ16" s="138">
        <f t="shared" si="8"/>
        <v>2</v>
      </c>
      <c r="AR16" s="17">
        <v>508</v>
      </c>
      <c r="AS16" s="63">
        <v>1016</v>
      </c>
      <c r="AT16" s="138">
        <f t="shared" si="9"/>
        <v>2</v>
      </c>
      <c r="AU16" s="51" t="s">
        <v>4</v>
      </c>
      <c r="AV16" s="73">
        <v>952</v>
      </c>
      <c r="AW16" s="51">
        <v>2756</v>
      </c>
      <c r="AX16" s="138">
        <f t="shared" si="10"/>
        <v>2.8949579831932772</v>
      </c>
      <c r="AY16" s="17" t="s">
        <v>4</v>
      </c>
      <c r="AZ16" s="65">
        <v>477</v>
      </c>
      <c r="BA16" s="65">
        <v>1431</v>
      </c>
      <c r="BB16" s="138">
        <f t="shared" si="11"/>
        <v>3</v>
      </c>
      <c r="BC16" s="17" t="s">
        <v>4</v>
      </c>
      <c r="BD16" s="65">
        <v>275</v>
      </c>
      <c r="BE16" s="65">
        <v>1650</v>
      </c>
      <c r="BF16" s="138">
        <f t="shared" si="12"/>
        <v>6</v>
      </c>
      <c r="BH16" s="2"/>
      <c r="BI16" s="2"/>
      <c r="BJ16" s="138" t="str">
        <f t="shared" si="13"/>
        <v/>
      </c>
      <c r="BM16" s="138" t="str">
        <f t="shared" si="14"/>
        <v/>
      </c>
      <c r="BO16" s="2"/>
      <c r="BP16" s="2"/>
      <c r="BQ16" s="138" t="str">
        <f t="shared" si="15"/>
        <v/>
      </c>
      <c r="BR16" s="2"/>
      <c r="BS16" s="2"/>
      <c r="BT16" s="138" t="str">
        <f t="shared" si="16"/>
        <v/>
      </c>
      <c r="BV16" s="61"/>
      <c r="BW16" s="61"/>
      <c r="BX16" s="138" t="str">
        <f t="shared" si="17"/>
        <v/>
      </c>
      <c r="BY16" s="61"/>
      <c r="BZ16" s="61"/>
      <c r="CA16" s="138" t="str">
        <f t="shared" si="18"/>
        <v/>
      </c>
      <c r="CB16" s="61"/>
      <c r="CC16" s="61"/>
      <c r="CD16" s="138" t="str">
        <f t="shared" si="19"/>
        <v/>
      </c>
    </row>
    <row r="17" spans="1:82" x14ac:dyDescent="0.3">
      <c r="A17" s="9" t="s">
        <v>190</v>
      </c>
      <c r="B17" s="140" t="s">
        <v>306</v>
      </c>
      <c r="C17" s="68" t="s">
        <v>4</v>
      </c>
      <c r="D17" s="66"/>
      <c r="E17" s="66"/>
      <c r="F17" s="138" t="str">
        <f t="shared" si="0"/>
        <v/>
      </c>
      <c r="G17" s="62"/>
      <c r="H17" s="59"/>
      <c r="I17" s="60"/>
      <c r="J17" s="60"/>
      <c r="K17" s="60"/>
      <c r="L17" s="138" t="str">
        <f t="shared" si="1"/>
        <v/>
      </c>
      <c r="M17" s="17"/>
      <c r="N17" s="57"/>
      <c r="O17" s="59"/>
      <c r="P17" s="60"/>
      <c r="Q17" s="60"/>
      <c r="R17" s="138" t="str">
        <f t="shared" si="2"/>
        <v/>
      </c>
      <c r="T17" s="2"/>
      <c r="U17" s="2"/>
      <c r="V17" s="2"/>
      <c r="W17" s="2"/>
      <c r="X17" s="138" t="str">
        <f t="shared" si="3"/>
        <v/>
      </c>
      <c r="Y17" s="2"/>
      <c r="Z17" s="2"/>
      <c r="AA17" s="2"/>
      <c r="AB17" s="2"/>
      <c r="AC17" s="138" t="str">
        <f t="shared" si="4"/>
        <v/>
      </c>
      <c r="AD17" s="17" t="s">
        <v>26</v>
      </c>
      <c r="AE17" s="74">
        <v>5773</v>
      </c>
      <c r="AF17" s="74">
        <v>68221</v>
      </c>
      <c r="AG17" s="138">
        <f t="shared" si="5"/>
        <v>11.817252728217564</v>
      </c>
      <c r="AH17" s="63">
        <v>3931</v>
      </c>
      <c r="AI17" s="63">
        <v>77289</v>
      </c>
      <c r="AJ17" s="138">
        <f t="shared" si="6"/>
        <v>19.661409310607986</v>
      </c>
      <c r="AK17" s="63">
        <v>7323</v>
      </c>
      <c r="AL17" s="63">
        <v>60594</v>
      </c>
      <c r="AM17" s="138">
        <f t="shared" si="7"/>
        <v>8.2744776730848013</v>
      </c>
      <c r="AN17" s="17"/>
      <c r="AO17" s="17"/>
      <c r="AP17" s="63"/>
      <c r="AQ17" s="138" t="str">
        <f t="shared" si="8"/>
        <v/>
      </c>
      <c r="AR17" s="17"/>
      <c r="AS17" s="63"/>
      <c r="AT17" s="138" t="str">
        <f t="shared" si="9"/>
        <v/>
      </c>
      <c r="AU17" s="51" t="s">
        <v>4</v>
      </c>
      <c r="AV17" s="73">
        <f>$F$162*6517</f>
        <v>19551</v>
      </c>
      <c r="AW17" s="63">
        <v>218593</v>
      </c>
      <c r="AX17" s="138">
        <f t="shared" si="10"/>
        <v>11.18065572093499</v>
      </c>
      <c r="AY17" s="51" t="s">
        <v>4</v>
      </c>
      <c r="AZ17" s="65">
        <f>$F$162*1342</f>
        <v>4026</v>
      </c>
      <c r="BA17" s="65">
        <v>69706</v>
      </c>
      <c r="BB17" s="138">
        <f t="shared" si="11"/>
        <v>17.313959264778937</v>
      </c>
      <c r="BC17" s="51" t="s">
        <v>4</v>
      </c>
      <c r="BD17" s="65">
        <f>$F$162*739</f>
        <v>2217</v>
      </c>
      <c r="BE17" s="65">
        <v>37957</v>
      </c>
      <c r="BF17" s="138">
        <f t="shared" si="12"/>
        <v>17.120884077582318</v>
      </c>
      <c r="BG17" s="17"/>
      <c r="BH17" s="9"/>
      <c r="BI17" s="9"/>
      <c r="BJ17" s="138" t="str">
        <f t="shared" si="13"/>
        <v/>
      </c>
      <c r="BK17" s="63"/>
      <c r="BL17" s="17"/>
      <c r="BM17" s="138" t="str">
        <f t="shared" si="14"/>
        <v/>
      </c>
      <c r="BN17" s="17"/>
      <c r="BO17" s="9"/>
      <c r="BP17" s="9"/>
      <c r="BQ17" s="138" t="str">
        <f t="shared" si="15"/>
        <v/>
      </c>
      <c r="BR17" s="9"/>
      <c r="BS17" s="9"/>
      <c r="BT17" s="138" t="str">
        <f t="shared" si="16"/>
        <v/>
      </c>
      <c r="BU17" s="17"/>
      <c r="BV17" s="61"/>
      <c r="BW17" s="61"/>
      <c r="BX17" s="138" t="str">
        <f t="shared" si="17"/>
        <v/>
      </c>
      <c r="BY17" s="61"/>
      <c r="BZ17" s="61"/>
      <c r="CA17" s="138" t="str">
        <f t="shared" si="18"/>
        <v/>
      </c>
      <c r="CB17" s="61"/>
      <c r="CC17" s="61"/>
      <c r="CD17" s="138" t="str">
        <f t="shared" si="19"/>
        <v/>
      </c>
    </row>
    <row r="18" spans="1:82" x14ac:dyDescent="0.3">
      <c r="A18" s="9" t="s">
        <v>190</v>
      </c>
      <c r="B18" s="140" t="s">
        <v>313</v>
      </c>
      <c r="C18" s="68" t="s">
        <v>26</v>
      </c>
      <c r="D18" s="66"/>
      <c r="E18" s="66"/>
      <c r="F18" s="138" t="str">
        <f t="shared" si="0"/>
        <v/>
      </c>
      <c r="G18" s="62"/>
      <c r="H18" s="59"/>
      <c r="I18" s="60"/>
      <c r="J18" s="60"/>
      <c r="K18" s="60"/>
      <c r="L18" s="138" t="str">
        <f t="shared" si="1"/>
        <v/>
      </c>
      <c r="M18" s="17"/>
      <c r="N18" s="57"/>
      <c r="O18" s="59"/>
      <c r="P18" s="60"/>
      <c r="Q18" s="60"/>
      <c r="R18" s="138" t="str">
        <f t="shared" si="2"/>
        <v/>
      </c>
      <c r="T18" s="2"/>
      <c r="U18" s="2"/>
      <c r="V18" s="2"/>
      <c r="W18" s="2"/>
      <c r="X18" s="138" t="str">
        <f t="shared" si="3"/>
        <v/>
      </c>
      <c r="Y18" s="2"/>
      <c r="Z18" s="2"/>
      <c r="AA18" s="2"/>
      <c r="AB18" s="2"/>
      <c r="AC18" s="138" t="str">
        <f t="shared" si="4"/>
        <v/>
      </c>
      <c r="AD18" s="17"/>
      <c r="AE18" s="74"/>
      <c r="AF18" s="74"/>
      <c r="AG18" s="138" t="str">
        <f t="shared" si="5"/>
        <v/>
      </c>
      <c r="AH18" s="63"/>
      <c r="AI18" s="63"/>
      <c r="AJ18" s="138" t="str">
        <f t="shared" si="6"/>
        <v/>
      </c>
      <c r="AK18" s="63"/>
      <c r="AL18" s="63"/>
      <c r="AM18" s="138" t="str">
        <f t="shared" si="7"/>
        <v/>
      </c>
      <c r="AN18" s="17"/>
      <c r="AO18" s="17"/>
      <c r="AP18" s="63"/>
      <c r="AQ18" s="138" t="str">
        <f t="shared" si="8"/>
        <v/>
      </c>
      <c r="AR18" s="17"/>
      <c r="AS18" s="63"/>
      <c r="AT18" s="138" t="str">
        <f t="shared" si="9"/>
        <v/>
      </c>
      <c r="AU18" s="17"/>
      <c r="AV18" s="73"/>
      <c r="AW18" s="63"/>
      <c r="AX18" s="138" t="str">
        <f t="shared" si="10"/>
        <v/>
      </c>
      <c r="AY18" s="9" t="s">
        <v>26</v>
      </c>
      <c r="AZ18" s="65">
        <v>3785</v>
      </c>
      <c r="BA18" s="65">
        <v>64695</v>
      </c>
      <c r="BB18" s="138">
        <f t="shared" si="11"/>
        <v>17.092470277410833</v>
      </c>
      <c r="BC18" s="9" t="s">
        <v>26</v>
      </c>
      <c r="BD18" s="65">
        <v>1760</v>
      </c>
      <c r="BE18" s="65">
        <v>21789</v>
      </c>
      <c r="BF18" s="138">
        <f t="shared" si="12"/>
        <v>12.380113636363637</v>
      </c>
      <c r="BG18" s="17"/>
      <c r="BH18" s="9"/>
      <c r="BI18" s="9"/>
      <c r="BJ18" s="138" t="str">
        <f t="shared" si="13"/>
        <v/>
      </c>
      <c r="BK18" s="63"/>
      <c r="BL18" s="17"/>
      <c r="BM18" s="138" t="str">
        <f t="shared" si="14"/>
        <v/>
      </c>
      <c r="BN18" s="17"/>
      <c r="BO18" s="9"/>
      <c r="BP18" s="9"/>
      <c r="BQ18" s="138" t="str">
        <f t="shared" si="15"/>
        <v/>
      </c>
      <c r="BR18" s="9"/>
      <c r="BS18" s="9"/>
      <c r="BT18" s="138" t="str">
        <f t="shared" si="16"/>
        <v/>
      </c>
      <c r="BU18" s="17"/>
      <c r="BV18" s="61"/>
      <c r="BW18" s="61"/>
      <c r="BX18" s="138" t="str">
        <f t="shared" si="17"/>
        <v/>
      </c>
      <c r="BY18" s="61"/>
      <c r="BZ18" s="61"/>
      <c r="CA18" s="138" t="str">
        <f t="shared" si="18"/>
        <v/>
      </c>
      <c r="CB18" s="61"/>
      <c r="CC18" s="61"/>
      <c r="CD18" s="138" t="str">
        <f t="shared" si="19"/>
        <v/>
      </c>
    </row>
    <row r="19" spans="1:82" x14ac:dyDescent="0.3">
      <c r="A19" s="9" t="s">
        <v>190</v>
      </c>
      <c r="B19" s="140" t="s">
        <v>315</v>
      </c>
      <c r="C19" s="68" t="s">
        <v>8</v>
      </c>
      <c r="D19" s="66"/>
      <c r="E19" s="66"/>
      <c r="F19" s="138" t="str">
        <f t="shared" si="0"/>
        <v/>
      </c>
      <c r="G19" s="62"/>
      <c r="H19" s="59"/>
      <c r="I19" s="60"/>
      <c r="J19" s="60"/>
      <c r="K19" s="60"/>
      <c r="L19" s="138" t="str">
        <f t="shared" si="1"/>
        <v/>
      </c>
      <c r="M19" s="17"/>
      <c r="N19" s="57"/>
      <c r="O19" s="59"/>
      <c r="P19" s="60"/>
      <c r="Q19" s="60"/>
      <c r="R19" s="138" t="str">
        <f t="shared" si="2"/>
        <v/>
      </c>
      <c r="T19" s="2"/>
      <c r="U19" s="2"/>
      <c r="V19" s="2"/>
      <c r="W19" s="2"/>
      <c r="X19" s="138" t="str">
        <f t="shared" si="3"/>
        <v/>
      </c>
      <c r="Y19" s="2"/>
      <c r="Z19" s="2"/>
      <c r="AA19" s="2"/>
      <c r="AB19" s="2"/>
      <c r="AC19" s="138" t="str">
        <f t="shared" si="4"/>
        <v/>
      </c>
      <c r="AD19" s="17"/>
      <c r="AE19" s="74"/>
      <c r="AF19" s="74"/>
      <c r="AG19" s="138" t="str">
        <f t="shared" si="5"/>
        <v/>
      </c>
      <c r="AH19" s="63"/>
      <c r="AI19" s="63"/>
      <c r="AJ19" s="138" t="str">
        <f t="shared" si="6"/>
        <v/>
      </c>
      <c r="AK19" s="63"/>
      <c r="AL19" s="63"/>
      <c r="AM19" s="138" t="str">
        <f t="shared" si="7"/>
        <v/>
      </c>
      <c r="AN19" s="17"/>
      <c r="AO19" s="17"/>
      <c r="AP19" s="63"/>
      <c r="AQ19" s="138" t="str">
        <f t="shared" si="8"/>
        <v/>
      </c>
      <c r="AR19" s="17"/>
      <c r="AS19" s="63"/>
      <c r="AT19" s="138" t="str">
        <f t="shared" si="9"/>
        <v/>
      </c>
      <c r="AU19" s="17"/>
      <c r="AV19" s="73"/>
      <c r="AW19" s="63"/>
      <c r="AX19" s="138" t="str">
        <f t="shared" si="10"/>
        <v/>
      </c>
      <c r="AY19" s="9"/>
      <c r="AZ19" s="65"/>
      <c r="BA19" s="65"/>
      <c r="BB19" s="138" t="str">
        <f t="shared" si="11"/>
        <v/>
      </c>
      <c r="BC19" s="9" t="s">
        <v>8</v>
      </c>
      <c r="BD19" s="65">
        <v>10</v>
      </c>
      <c r="BE19" s="65">
        <v>500</v>
      </c>
      <c r="BF19" s="138">
        <f t="shared" si="12"/>
        <v>50</v>
      </c>
      <c r="BG19" s="17"/>
      <c r="BH19" s="9"/>
      <c r="BI19" s="9"/>
      <c r="BJ19" s="138" t="str">
        <f t="shared" si="13"/>
        <v/>
      </c>
      <c r="BK19" s="63"/>
      <c r="BL19" s="17"/>
      <c r="BM19" s="138" t="str">
        <f t="shared" si="14"/>
        <v/>
      </c>
      <c r="BN19" s="17"/>
      <c r="BO19" s="9"/>
      <c r="BP19" s="9"/>
      <c r="BQ19" s="138" t="str">
        <f t="shared" si="15"/>
        <v/>
      </c>
      <c r="BR19" s="9"/>
      <c r="BS19" s="9"/>
      <c r="BT19" s="138" t="str">
        <f t="shared" si="16"/>
        <v/>
      </c>
      <c r="BU19" s="17"/>
      <c r="BV19" s="61"/>
      <c r="BW19" s="61"/>
      <c r="BX19" s="138" t="str">
        <f t="shared" si="17"/>
        <v/>
      </c>
      <c r="BY19" s="61"/>
      <c r="BZ19" s="61"/>
      <c r="CA19" s="138" t="str">
        <f t="shared" si="18"/>
        <v/>
      </c>
      <c r="CB19" s="61"/>
      <c r="CC19" s="61"/>
      <c r="CD19" s="138" t="str">
        <f t="shared" si="19"/>
        <v/>
      </c>
    </row>
    <row r="20" spans="1:82" x14ac:dyDescent="0.3">
      <c r="A20" s="17" t="s">
        <v>260</v>
      </c>
      <c r="B20" s="140" t="s">
        <v>306</v>
      </c>
      <c r="C20" s="68" t="s">
        <v>4</v>
      </c>
      <c r="D20" s="57"/>
      <c r="E20" s="66"/>
      <c r="F20" s="138" t="str">
        <f t="shared" si="0"/>
        <v/>
      </c>
      <c r="G20" s="58"/>
      <c r="H20" s="59"/>
      <c r="I20" s="59"/>
      <c r="J20" s="59"/>
      <c r="K20" s="59"/>
      <c r="L20" s="138" t="str">
        <f t="shared" si="1"/>
        <v/>
      </c>
      <c r="M20" s="17"/>
      <c r="N20" s="57"/>
      <c r="O20" s="59"/>
      <c r="P20" s="59"/>
      <c r="Q20" s="59"/>
      <c r="R20" s="138" t="str">
        <f t="shared" si="2"/>
        <v/>
      </c>
      <c r="T20" s="2"/>
      <c r="U20" s="2"/>
      <c r="V20" s="2"/>
      <c r="W20" s="2"/>
      <c r="X20" s="138" t="str">
        <f t="shared" si="3"/>
        <v/>
      </c>
      <c r="Y20" s="2"/>
      <c r="Z20" s="2"/>
      <c r="AA20" s="2"/>
      <c r="AB20" s="2"/>
      <c r="AC20" s="138" t="str">
        <f t="shared" si="4"/>
        <v/>
      </c>
      <c r="AD20" s="75"/>
      <c r="AG20" s="138" t="str">
        <f t="shared" si="5"/>
        <v/>
      </c>
      <c r="AJ20" s="138" t="str">
        <f t="shared" si="6"/>
        <v/>
      </c>
      <c r="AM20" s="138" t="str">
        <f t="shared" si="7"/>
        <v/>
      </c>
      <c r="AN20" s="75"/>
      <c r="AQ20" s="138" t="str">
        <f t="shared" si="8"/>
        <v/>
      </c>
      <c r="AT20" s="138" t="str">
        <f t="shared" si="9"/>
        <v/>
      </c>
      <c r="AU20" s="17"/>
      <c r="AV20" s="73"/>
      <c r="AX20" s="138" t="str">
        <f t="shared" si="10"/>
        <v/>
      </c>
      <c r="AY20" s="17"/>
      <c r="BA20" s="65"/>
      <c r="BB20" s="138" t="str">
        <f t="shared" si="11"/>
        <v/>
      </c>
      <c r="BC20" s="17"/>
      <c r="BE20" s="65"/>
      <c r="BF20" s="138" t="str">
        <f t="shared" si="12"/>
        <v/>
      </c>
      <c r="BG20" s="17" t="s">
        <v>32</v>
      </c>
      <c r="BH20" s="61">
        <v>1368</v>
      </c>
      <c r="BI20" s="9">
        <v>27</v>
      </c>
      <c r="BJ20" s="138">
        <f t="shared" si="13"/>
        <v>1.9736842105263157E-2</v>
      </c>
      <c r="BK20" s="63">
        <v>2076</v>
      </c>
      <c r="BL20" s="63">
        <v>9552</v>
      </c>
      <c r="BM20" s="138">
        <f t="shared" si="14"/>
        <v>4.601156069364162</v>
      </c>
      <c r="BN20" s="17" t="s">
        <v>32</v>
      </c>
      <c r="BO20" s="61">
        <v>1627</v>
      </c>
      <c r="BP20" s="61">
        <v>7256</v>
      </c>
      <c r="BQ20" s="138">
        <f t="shared" si="15"/>
        <v>4.459741856177013</v>
      </c>
      <c r="BR20" s="61">
        <v>4163</v>
      </c>
      <c r="BS20" s="61">
        <v>20140</v>
      </c>
      <c r="BT20" s="138">
        <f t="shared" si="16"/>
        <v>4.8378573144367039</v>
      </c>
      <c r="BU20" s="17" t="s">
        <v>32</v>
      </c>
      <c r="BV20" s="61">
        <f>$D$101*268</f>
        <v>5360</v>
      </c>
      <c r="BW20" s="61">
        <v>26430</v>
      </c>
      <c r="BX20" s="138">
        <f t="shared" si="17"/>
        <v>4.9309701492537314</v>
      </c>
      <c r="BY20" s="61"/>
      <c r="BZ20" s="61"/>
      <c r="CA20" s="138" t="str">
        <f t="shared" si="18"/>
        <v/>
      </c>
      <c r="CB20" s="61">
        <f>$D$101*205</f>
        <v>4100</v>
      </c>
      <c r="CC20" s="61">
        <v>24989</v>
      </c>
      <c r="CD20" s="138">
        <f t="shared" si="19"/>
        <v>6.0948780487804877</v>
      </c>
    </row>
    <row r="21" spans="1:82" x14ac:dyDescent="0.3">
      <c r="A21" s="17" t="s">
        <v>261</v>
      </c>
      <c r="B21" s="9" t="s">
        <v>315</v>
      </c>
      <c r="C21" s="68" t="s">
        <v>8</v>
      </c>
      <c r="D21" s="9"/>
      <c r="E21" s="9"/>
      <c r="F21" s="138" t="str">
        <f t="shared" si="0"/>
        <v/>
      </c>
      <c r="G21" s="12" t="s">
        <v>8</v>
      </c>
      <c r="H21" s="59">
        <v>137</v>
      </c>
      <c r="I21" s="59">
        <v>193</v>
      </c>
      <c r="J21" s="60">
        <v>0</v>
      </c>
      <c r="K21" s="60">
        <f>I21+(J21/$D$187)</f>
        <v>193</v>
      </c>
      <c r="L21" s="138">
        <f t="shared" si="1"/>
        <v>1.4087591240875912</v>
      </c>
      <c r="M21" s="17" t="s">
        <v>8</v>
      </c>
      <c r="N21" s="57">
        <v>103</v>
      </c>
      <c r="O21" s="59">
        <v>263</v>
      </c>
      <c r="P21" s="60">
        <v>0</v>
      </c>
      <c r="Q21" s="60">
        <f>O21+(P21/$D$187)</f>
        <v>263</v>
      </c>
      <c r="R21" s="138">
        <f t="shared" si="2"/>
        <v>2.5533980582524274</v>
      </c>
      <c r="T21" s="2"/>
      <c r="U21" s="2"/>
      <c r="V21" s="2"/>
      <c r="W21" s="2"/>
      <c r="X21" s="138" t="str">
        <f t="shared" si="3"/>
        <v/>
      </c>
      <c r="Y21" s="2"/>
      <c r="Z21" s="2"/>
      <c r="AA21" s="2"/>
      <c r="AB21" s="2"/>
      <c r="AC21" s="138" t="str">
        <f t="shared" si="4"/>
        <v/>
      </c>
      <c r="AG21" s="138" t="str">
        <f t="shared" si="5"/>
        <v/>
      </c>
      <c r="AJ21" s="138" t="str">
        <f t="shared" si="6"/>
        <v/>
      </c>
      <c r="AM21" s="138" t="str">
        <f t="shared" si="7"/>
        <v/>
      </c>
      <c r="AQ21" s="138" t="str">
        <f t="shared" si="8"/>
        <v/>
      </c>
      <c r="AT21" s="138" t="str">
        <f t="shared" si="9"/>
        <v/>
      </c>
      <c r="AV21" s="73"/>
      <c r="AX21" s="138" t="str">
        <f t="shared" si="10"/>
        <v/>
      </c>
      <c r="BB21" s="138" t="str">
        <f t="shared" si="11"/>
        <v/>
      </c>
      <c r="BF21" s="138" t="str">
        <f t="shared" si="12"/>
        <v/>
      </c>
      <c r="BH21" s="2"/>
      <c r="BI21" s="2"/>
      <c r="BJ21" s="138" t="str">
        <f t="shared" si="13"/>
        <v/>
      </c>
      <c r="BM21" s="138" t="str">
        <f t="shared" si="14"/>
        <v/>
      </c>
      <c r="BO21" s="2"/>
      <c r="BP21" s="2"/>
      <c r="BQ21" s="138" t="str">
        <f t="shared" si="15"/>
        <v/>
      </c>
      <c r="BR21" s="2"/>
      <c r="BS21" s="2"/>
      <c r="BT21" s="138" t="str">
        <f t="shared" si="16"/>
        <v/>
      </c>
      <c r="BV21" s="61"/>
      <c r="BW21" s="61"/>
      <c r="BX21" s="138" t="str">
        <f t="shared" si="17"/>
        <v/>
      </c>
      <c r="BY21" s="61"/>
      <c r="BZ21" s="61"/>
      <c r="CA21" s="138" t="str">
        <f t="shared" si="18"/>
        <v/>
      </c>
      <c r="CB21" s="61"/>
      <c r="CC21" s="61"/>
      <c r="CD21" s="138" t="str">
        <f t="shared" si="19"/>
        <v/>
      </c>
    </row>
    <row r="22" spans="1:82" x14ac:dyDescent="0.3">
      <c r="A22" s="17" t="s">
        <v>292</v>
      </c>
      <c r="B22" s="140" t="s">
        <v>313</v>
      </c>
      <c r="C22" s="68" t="s">
        <v>26</v>
      </c>
      <c r="D22" s="2"/>
      <c r="E22" s="2"/>
      <c r="F22" s="138" t="str">
        <f t="shared" si="0"/>
        <v/>
      </c>
      <c r="G22" s="12"/>
      <c r="J22" s="2"/>
      <c r="K22" s="2"/>
      <c r="L22" s="138" t="str">
        <f t="shared" si="1"/>
        <v/>
      </c>
      <c r="M22" s="17"/>
      <c r="N22" s="57"/>
      <c r="O22" s="59"/>
      <c r="P22" s="59"/>
      <c r="Q22" s="59"/>
      <c r="R22" s="138" t="str">
        <f t="shared" si="2"/>
        <v/>
      </c>
      <c r="S22" s="17"/>
      <c r="T22" s="9"/>
      <c r="U22" s="9"/>
      <c r="V22" s="9"/>
      <c r="W22" s="9"/>
      <c r="X22" s="138" t="str">
        <f t="shared" si="3"/>
        <v/>
      </c>
      <c r="Y22" s="57"/>
      <c r="Z22" s="57"/>
      <c r="AA22" s="9"/>
      <c r="AB22" s="9"/>
      <c r="AC22" s="138" t="str">
        <f t="shared" si="4"/>
        <v/>
      </c>
      <c r="AG22" s="138" t="str">
        <f t="shared" si="5"/>
        <v/>
      </c>
      <c r="AJ22" s="138" t="str">
        <f t="shared" si="6"/>
        <v/>
      </c>
      <c r="AM22" s="138" t="str">
        <f t="shared" si="7"/>
        <v/>
      </c>
      <c r="AN22" s="51" t="s">
        <v>26</v>
      </c>
      <c r="AQ22" s="138" t="str">
        <f t="shared" si="8"/>
        <v/>
      </c>
      <c r="AR22" s="63">
        <v>6994</v>
      </c>
      <c r="AS22" s="63">
        <v>5025</v>
      </c>
      <c r="AT22" s="138">
        <f t="shared" si="9"/>
        <v>0.71847297683728906</v>
      </c>
      <c r="AU22" s="17" t="s">
        <v>26</v>
      </c>
      <c r="AV22" s="63">
        <v>5115</v>
      </c>
      <c r="AW22" s="63">
        <v>3822</v>
      </c>
      <c r="AX22" s="138">
        <f t="shared" si="10"/>
        <v>0.74721407624633429</v>
      </c>
      <c r="AY22" s="17"/>
      <c r="AZ22" s="64"/>
      <c r="BA22" s="64"/>
      <c r="BB22" s="138" t="str">
        <f t="shared" si="11"/>
        <v/>
      </c>
      <c r="BC22" s="17" t="s">
        <v>26</v>
      </c>
      <c r="BD22" s="64">
        <v>3600</v>
      </c>
      <c r="BE22" s="64">
        <v>2700</v>
      </c>
      <c r="BF22" s="138">
        <f t="shared" si="12"/>
        <v>0.75</v>
      </c>
      <c r="BH22" s="2"/>
      <c r="BI22" s="2"/>
      <c r="BJ22" s="138" t="str">
        <f t="shared" si="13"/>
        <v/>
      </c>
      <c r="BM22" s="138" t="str">
        <f t="shared" si="14"/>
        <v/>
      </c>
      <c r="BO22" s="2"/>
      <c r="BP22" s="2"/>
      <c r="BQ22" s="138" t="str">
        <f t="shared" si="15"/>
        <v/>
      </c>
      <c r="BR22" s="2"/>
      <c r="BS22" s="2"/>
      <c r="BT22" s="138" t="str">
        <f t="shared" si="16"/>
        <v/>
      </c>
      <c r="BV22" s="61"/>
      <c r="BW22" s="61"/>
      <c r="BX22" s="138" t="str">
        <f t="shared" si="17"/>
        <v/>
      </c>
      <c r="BY22" s="61"/>
      <c r="BZ22" s="61"/>
      <c r="CA22" s="138" t="str">
        <f t="shared" si="18"/>
        <v/>
      </c>
      <c r="CB22" s="61"/>
      <c r="CC22" s="61"/>
      <c r="CD22" s="138" t="str">
        <f t="shared" si="19"/>
        <v/>
      </c>
    </row>
    <row r="23" spans="1:82" x14ac:dyDescent="0.3">
      <c r="A23" s="9" t="s">
        <v>14</v>
      </c>
      <c r="B23" s="140" t="s">
        <v>306</v>
      </c>
      <c r="C23" s="68" t="s">
        <v>4</v>
      </c>
      <c r="D23" s="57"/>
      <c r="E23" s="57"/>
      <c r="F23" s="138" t="str">
        <f t="shared" si="0"/>
        <v/>
      </c>
      <c r="G23" s="62"/>
      <c r="H23" s="59"/>
      <c r="I23" s="59"/>
      <c r="J23" s="59"/>
      <c r="K23" s="59"/>
      <c r="L23" s="138" t="str">
        <f t="shared" si="1"/>
        <v/>
      </c>
      <c r="M23" s="17"/>
      <c r="N23" s="57"/>
      <c r="O23" s="59"/>
      <c r="P23" s="59"/>
      <c r="Q23" s="59"/>
      <c r="R23" s="138" t="str">
        <f t="shared" si="2"/>
        <v/>
      </c>
      <c r="S23" s="17"/>
      <c r="T23" s="9"/>
      <c r="U23" s="9"/>
      <c r="V23" s="9"/>
      <c r="W23" s="9"/>
      <c r="X23" s="138" t="str">
        <f t="shared" si="3"/>
        <v/>
      </c>
      <c r="Y23" s="57"/>
      <c r="Z23" s="57"/>
      <c r="AA23" s="9"/>
      <c r="AB23" s="9"/>
      <c r="AC23" s="138" t="str">
        <f t="shared" si="4"/>
        <v/>
      </c>
      <c r="AD23" s="63"/>
      <c r="AE23" s="74"/>
      <c r="AF23" s="64"/>
      <c r="AG23" s="138" t="str">
        <f t="shared" si="5"/>
        <v/>
      </c>
      <c r="AH23" s="63"/>
      <c r="AI23" s="63"/>
      <c r="AJ23" s="138" t="str">
        <f t="shared" si="6"/>
        <v/>
      </c>
      <c r="AK23" s="63"/>
      <c r="AL23" s="63"/>
      <c r="AM23" s="138" t="str">
        <f t="shared" si="7"/>
        <v/>
      </c>
      <c r="AN23" s="63"/>
      <c r="AO23" s="63"/>
      <c r="AP23" s="63"/>
      <c r="AQ23" s="138" t="str">
        <f t="shared" si="8"/>
        <v/>
      </c>
      <c r="AR23" s="63"/>
      <c r="AS23" s="63"/>
      <c r="AT23" s="138" t="str">
        <f t="shared" si="9"/>
        <v/>
      </c>
      <c r="AU23" s="17"/>
      <c r="AV23" s="63"/>
      <c r="AW23" s="63"/>
      <c r="AX23" s="138" t="str">
        <f t="shared" si="10"/>
        <v/>
      </c>
      <c r="AY23" s="17"/>
      <c r="AZ23" s="64"/>
      <c r="BA23" s="64"/>
      <c r="BB23" s="138" t="str">
        <f t="shared" si="11"/>
        <v/>
      </c>
      <c r="BC23" s="17"/>
      <c r="BD23" s="64"/>
      <c r="BE23" s="64"/>
      <c r="BF23" s="138" t="str">
        <f t="shared" si="12"/>
        <v/>
      </c>
      <c r="BG23" s="17" t="s">
        <v>32</v>
      </c>
      <c r="BH23" s="61">
        <v>1317</v>
      </c>
      <c r="BI23" s="9">
        <v>256</v>
      </c>
      <c r="BJ23" s="138">
        <f t="shared" si="13"/>
        <v>0.19438116932422173</v>
      </c>
      <c r="BK23" s="63">
        <v>3053</v>
      </c>
      <c r="BL23" s="17">
        <v>790</v>
      </c>
      <c r="BM23" s="138">
        <f t="shared" si="14"/>
        <v>0.25876187356698327</v>
      </c>
      <c r="BN23" s="17" t="s">
        <v>32</v>
      </c>
      <c r="BO23" s="9">
        <v>3608</v>
      </c>
      <c r="BP23" s="9">
        <v>611</v>
      </c>
      <c r="BQ23" s="138">
        <f t="shared" si="15"/>
        <v>0.16934589800443459</v>
      </c>
      <c r="BR23" s="9">
        <v>419</v>
      </c>
      <c r="BS23" s="9">
        <v>288</v>
      </c>
      <c r="BT23" s="138">
        <f t="shared" si="16"/>
        <v>0.68735083532219565</v>
      </c>
      <c r="BU23" s="17" t="s">
        <v>32</v>
      </c>
      <c r="BV23" s="61">
        <f>$D$101*44</f>
        <v>880</v>
      </c>
      <c r="BW23" s="61">
        <v>141</v>
      </c>
      <c r="BX23" s="138">
        <f t="shared" si="17"/>
        <v>0.16022727272727272</v>
      </c>
      <c r="BY23" s="61"/>
      <c r="BZ23" s="61"/>
      <c r="CA23" s="138" t="str">
        <f t="shared" si="18"/>
        <v/>
      </c>
      <c r="CB23" s="61"/>
      <c r="CC23" s="61"/>
      <c r="CD23" s="138" t="str">
        <f t="shared" si="19"/>
        <v/>
      </c>
    </row>
    <row r="24" spans="1:82" x14ac:dyDescent="0.3">
      <c r="A24" s="17" t="s">
        <v>7</v>
      </c>
      <c r="B24" s="140" t="s">
        <v>306</v>
      </c>
      <c r="C24" s="68" t="s">
        <v>4</v>
      </c>
      <c r="D24" s="57"/>
      <c r="E24" s="57"/>
      <c r="F24" s="138" t="str">
        <f t="shared" si="0"/>
        <v/>
      </c>
      <c r="G24" s="62"/>
      <c r="H24" s="59"/>
      <c r="I24" s="59"/>
      <c r="J24" s="60"/>
      <c r="K24" s="60"/>
      <c r="L24" s="138" t="str">
        <f t="shared" si="1"/>
        <v/>
      </c>
      <c r="M24" s="17"/>
      <c r="N24" s="57"/>
      <c r="O24" s="59"/>
      <c r="P24" s="60"/>
      <c r="Q24" s="60"/>
      <c r="R24" s="138" t="str">
        <f t="shared" si="2"/>
        <v/>
      </c>
      <c r="S24" s="143" t="s">
        <v>4</v>
      </c>
      <c r="T24" s="9">
        <f>$D$177*400</f>
        <v>959.9</v>
      </c>
      <c r="U24" s="9">
        <v>924</v>
      </c>
      <c r="V24" s="9">
        <v>0</v>
      </c>
      <c r="W24" s="60">
        <f>U24+(V24/$D$187)</f>
        <v>924</v>
      </c>
      <c r="X24" s="138">
        <f t="shared" si="3"/>
        <v>0.96260027086154809</v>
      </c>
      <c r="Y24" s="142">
        <f>$D$177*203</f>
        <v>487.14924999999999</v>
      </c>
      <c r="Z24" s="57">
        <v>210</v>
      </c>
      <c r="AA24" s="9">
        <v>0</v>
      </c>
      <c r="AB24" s="60">
        <f>Z24+(AA24/$D$187)</f>
        <v>210</v>
      </c>
      <c r="AC24" s="138">
        <f t="shared" si="4"/>
        <v>0.43107938686141878</v>
      </c>
      <c r="AD24" s="17" t="s">
        <v>4</v>
      </c>
      <c r="AE24" s="64">
        <v>619</v>
      </c>
      <c r="AF24" s="64">
        <v>419</v>
      </c>
      <c r="AG24" s="138">
        <f t="shared" si="5"/>
        <v>0.67689822294022617</v>
      </c>
      <c r="AH24" s="17"/>
      <c r="AI24" s="17"/>
      <c r="AJ24" s="138" t="str">
        <f t="shared" si="6"/>
        <v/>
      </c>
      <c r="AK24" s="17"/>
      <c r="AL24" s="63"/>
      <c r="AM24" s="138" t="str">
        <f t="shared" si="7"/>
        <v/>
      </c>
      <c r="AN24" s="17"/>
      <c r="AO24" s="63"/>
      <c r="AP24" s="17"/>
      <c r="AQ24" s="138" t="str">
        <f t="shared" si="8"/>
        <v/>
      </c>
      <c r="AR24" s="17"/>
      <c r="AS24" s="17"/>
      <c r="AT24" s="138" t="str">
        <f t="shared" si="9"/>
        <v/>
      </c>
      <c r="AU24" s="17"/>
      <c r="AV24" s="17"/>
      <c r="AW24" s="63"/>
      <c r="AX24" s="138" t="str">
        <f t="shared" si="10"/>
        <v/>
      </c>
      <c r="AY24" s="17"/>
      <c r="AZ24" s="65"/>
      <c r="BA24" s="65"/>
      <c r="BB24" s="138" t="str">
        <f t="shared" si="11"/>
        <v/>
      </c>
      <c r="BC24" s="17"/>
      <c r="BD24" s="65"/>
      <c r="BE24" s="65"/>
      <c r="BF24" s="138" t="str">
        <f t="shared" si="12"/>
        <v/>
      </c>
      <c r="BG24" s="17" t="s">
        <v>32</v>
      </c>
      <c r="BH24" s="61">
        <v>7475</v>
      </c>
      <c r="BI24" s="61">
        <v>3831</v>
      </c>
      <c r="BJ24" s="138">
        <f t="shared" si="13"/>
        <v>0.51250836120401333</v>
      </c>
      <c r="BK24" s="63">
        <v>4096</v>
      </c>
      <c r="BL24" s="63">
        <v>3815</v>
      </c>
      <c r="BM24" s="138">
        <f t="shared" si="14"/>
        <v>0.931396484375</v>
      </c>
      <c r="BN24" s="17" t="s">
        <v>32</v>
      </c>
      <c r="BO24" s="9">
        <v>7094</v>
      </c>
      <c r="BP24" s="9">
        <v>3670</v>
      </c>
      <c r="BQ24" s="138">
        <f t="shared" si="15"/>
        <v>0.51733859599661691</v>
      </c>
      <c r="BR24" s="9">
        <v>4574</v>
      </c>
      <c r="BS24" s="9">
        <v>4149</v>
      </c>
      <c r="BT24" s="138">
        <f t="shared" si="16"/>
        <v>0.90708351552251854</v>
      </c>
      <c r="BU24" s="17" t="s">
        <v>32</v>
      </c>
      <c r="BV24" s="61">
        <f>$D$101*518</f>
        <v>10360</v>
      </c>
      <c r="BW24" s="61">
        <v>7071</v>
      </c>
      <c r="BX24" s="138">
        <f t="shared" si="17"/>
        <v>0.68252895752895748</v>
      </c>
      <c r="BY24" s="61">
        <f>$D$101*415</f>
        <v>8300</v>
      </c>
      <c r="BZ24" s="61">
        <v>4303</v>
      </c>
      <c r="CA24" s="138">
        <f t="shared" si="18"/>
        <v>0.51843373493975908</v>
      </c>
      <c r="CB24" s="61">
        <f>$D$101*625</f>
        <v>12500</v>
      </c>
      <c r="CC24" s="61">
        <v>5599</v>
      </c>
      <c r="CD24" s="138">
        <f t="shared" si="19"/>
        <v>0.44791999999999998</v>
      </c>
    </row>
    <row r="25" spans="1:82" x14ac:dyDescent="0.3">
      <c r="A25" s="76" t="s">
        <v>262</v>
      </c>
      <c r="B25" s="140" t="s">
        <v>317</v>
      </c>
      <c r="C25" s="68" t="s">
        <v>44</v>
      </c>
      <c r="D25" s="2"/>
      <c r="E25" s="2"/>
      <c r="F25" s="138" t="str">
        <f t="shared" si="0"/>
        <v/>
      </c>
      <c r="G25" s="12"/>
      <c r="J25" s="2"/>
      <c r="K25" s="2"/>
      <c r="L25" s="138" t="str">
        <f t="shared" si="1"/>
        <v/>
      </c>
      <c r="M25" s="17" t="s">
        <v>21</v>
      </c>
      <c r="N25" s="57">
        <v>83</v>
      </c>
      <c r="O25" s="59">
        <v>249</v>
      </c>
      <c r="P25" s="59">
        <v>0</v>
      </c>
      <c r="Q25" s="60">
        <f>O25+(P25/$D$187)</f>
        <v>249</v>
      </c>
      <c r="R25" s="138">
        <f t="shared" si="2"/>
        <v>3</v>
      </c>
      <c r="S25" s="148" t="s">
        <v>21</v>
      </c>
      <c r="T25" s="9">
        <v>53</v>
      </c>
      <c r="U25" s="9">
        <v>174</v>
      </c>
      <c r="V25" s="9">
        <v>0</v>
      </c>
      <c r="W25" s="60">
        <f>U25+(V25/$D$187)</f>
        <v>174</v>
      </c>
      <c r="X25" s="138">
        <f t="shared" si="3"/>
        <v>3.2830188679245285</v>
      </c>
      <c r="Y25" s="57">
        <v>47</v>
      </c>
      <c r="Z25" s="57">
        <v>141</v>
      </c>
      <c r="AA25" s="9">
        <v>0</v>
      </c>
      <c r="AB25" s="60">
        <f>Z25+(AA25/$D$187)</f>
        <v>141</v>
      </c>
      <c r="AC25" s="138">
        <f t="shared" si="4"/>
        <v>3</v>
      </c>
      <c r="AG25" s="138" t="str">
        <f t="shared" si="5"/>
        <v/>
      </c>
      <c r="AJ25" s="138" t="str">
        <f t="shared" si="6"/>
        <v/>
      </c>
      <c r="AM25" s="138" t="str">
        <f t="shared" si="7"/>
        <v/>
      </c>
      <c r="AQ25" s="138" t="str">
        <f t="shared" si="8"/>
        <v/>
      </c>
      <c r="AT25" s="138" t="str">
        <f t="shared" si="9"/>
        <v/>
      </c>
      <c r="AX25" s="138" t="str">
        <f t="shared" si="10"/>
        <v/>
      </c>
      <c r="BB25" s="138" t="str">
        <f t="shared" si="11"/>
        <v/>
      </c>
      <c r="BF25" s="138" t="str">
        <f t="shared" si="12"/>
        <v/>
      </c>
      <c r="BH25" s="2"/>
      <c r="BI25" s="2"/>
      <c r="BJ25" s="138" t="str">
        <f t="shared" si="13"/>
        <v/>
      </c>
      <c r="BM25" s="138" t="str">
        <f t="shared" si="14"/>
        <v/>
      </c>
      <c r="BO25" s="2"/>
      <c r="BP25" s="2"/>
      <c r="BQ25" s="138" t="str">
        <f t="shared" si="15"/>
        <v/>
      </c>
      <c r="BR25" s="2"/>
      <c r="BS25" s="2"/>
      <c r="BT25" s="138" t="str">
        <f t="shared" si="16"/>
        <v/>
      </c>
      <c r="BV25" s="61"/>
      <c r="BW25" s="61"/>
      <c r="BX25" s="138" t="str">
        <f t="shared" si="17"/>
        <v/>
      </c>
      <c r="BY25" s="61"/>
      <c r="BZ25" s="61"/>
      <c r="CA25" s="138" t="str">
        <f t="shared" si="18"/>
        <v/>
      </c>
      <c r="CB25" s="61"/>
      <c r="CC25" s="61"/>
      <c r="CD25" s="138" t="str">
        <f t="shared" si="19"/>
        <v/>
      </c>
    </row>
    <row r="26" spans="1:82" x14ac:dyDescent="0.3">
      <c r="A26" s="17" t="s">
        <v>68</v>
      </c>
      <c r="B26" s="140" t="s">
        <v>306</v>
      </c>
      <c r="C26" s="68" t="s">
        <v>4</v>
      </c>
      <c r="D26" s="2"/>
      <c r="E26" s="2"/>
      <c r="F26" s="138" t="str">
        <f t="shared" si="0"/>
        <v/>
      </c>
      <c r="G26" s="12"/>
      <c r="J26" s="2"/>
      <c r="K26" s="2"/>
      <c r="L26" s="138" t="str">
        <f t="shared" si="1"/>
        <v/>
      </c>
      <c r="M26" s="51"/>
      <c r="P26" s="2"/>
      <c r="Q26" s="2"/>
      <c r="R26" s="138" t="str">
        <f t="shared" si="2"/>
        <v/>
      </c>
      <c r="T26" s="2"/>
      <c r="U26" s="2"/>
      <c r="V26" s="2"/>
      <c r="W26" s="2"/>
      <c r="X26" s="138" t="str">
        <f t="shared" si="3"/>
        <v/>
      </c>
      <c r="Y26" s="2"/>
      <c r="Z26" s="2"/>
      <c r="AA26" s="2"/>
      <c r="AB26" s="2"/>
      <c r="AC26" s="138" t="str">
        <f t="shared" si="4"/>
        <v/>
      </c>
      <c r="AG26" s="138" t="str">
        <f t="shared" si="5"/>
        <v/>
      </c>
      <c r="AJ26" s="138" t="str">
        <f t="shared" si="6"/>
        <v/>
      </c>
      <c r="AM26" s="138" t="str">
        <f t="shared" si="7"/>
        <v/>
      </c>
      <c r="AQ26" s="138" t="str">
        <f t="shared" si="8"/>
        <v/>
      </c>
      <c r="AT26" s="138" t="str">
        <f t="shared" si="9"/>
        <v/>
      </c>
      <c r="AX26" s="138" t="str">
        <f t="shared" si="10"/>
        <v/>
      </c>
      <c r="BB26" s="138" t="str">
        <f t="shared" si="11"/>
        <v/>
      </c>
      <c r="BF26" s="138" t="str">
        <f t="shared" si="12"/>
        <v/>
      </c>
      <c r="BG26" s="17"/>
      <c r="BH26" s="9"/>
      <c r="BI26" s="61"/>
      <c r="BJ26" s="138" t="str">
        <f t="shared" si="13"/>
        <v/>
      </c>
      <c r="BK26" s="17"/>
      <c r="BL26" s="63"/>
      <c r="BM26" s="138" t="str">
        <f t="shared" si="14"/>
        <v/>
      </c>
      <c r="BN26" s="17"/>
      <c r="BO26" s="9"/>
      <c r="BP26" s="9"/>
      <c r="BQ26" s="138" t="str">
        <f t="shared" si="15"/>
        <v/>
      </c>
      <c r="BR26" s="9"/>
      <c r="BS26" s="9"/>
      <c r="BT26" s="138" t="str">
        <f t="shared" si="16"/>
        <v/>
      </c>
      <c r="BU26" s="17" t="s">
        <v>32</v>
      </c>
      <c r="BV26" s="61">
        <f>$D$101*11</f>
        <v>220</v>
      </c>
      <c r="BW26" s="61">
        <v>581</v>
      </c>
      <c r="BX26" s="138">
        <f t="shared" si="17"/>
        <v>2.6409090909090911</v>
      </c>
      <c r="BY26" s="61">
        <f>$D$101*549</f>
        <v>10980</v>
      </c>
      <c r="BZ26" s="61">
        <v>2308</v>
      </c>
      <c r="CA26" s="138">
        <f t="shared" si="18"/>
        <v>0.21020036429872496</v>
      </c>
      <c r="CB26" s="61">
        <f>$D$101*41</f>
        <v>820</v>
      </c>
      <c r="CC26" s="61">
        <v>2741</v>
      </c>
      <c r="CD26" s="138">
        <f t="shared" si="19"/>
        <v>3.3426829268292684</v>
      </c>
    </row>
    <row r="27" spans="1:82" x14ac:dyDescent="0.3">
      <c r="A27" s="17" t="s">
        <v>73</v>
      </c>
      <c r="B27" s="140" t="s">
        <v>306</v>
      </c>
      <c r="C27" s="68" t="s">
        <v>4</v>
      </c>
      <c r="D27" s="2"/>
      <c r="E27" s="2"/>
      <c r="F27" s="138" t="str">
        <f t="shared" si="0"/>
        <v/>
      </c>
      <c r="G27" s="12"/>
      <c r="J27" s="2"/>
      <c r="K27" s="2"/>
      <c r="L27" s="138" t="str">
        <f t="shared" si="1"/>
        <v/>
      </c>
      <c r="M27" s="51"/>
      <c r="P27" s="2"/>
      <c r="Q27" s="2"/>
      <c r="R27" s="138" t="str">
        <f t="shared" si="2"/>
        <v/>
      </c>
      <c r="T27" s="2"/>
      <c r="U27" s="2"/>
      <c r="V27" s="2"/>
      <c r="W27" s="2"/>
      <c r="X27" s="138" t="str">
        <f t="shared" si="3"/>
        <v/>
      </c>
      <c r="Y27" s="2"/>
      <c r="Z27" s="2"/>
      <c r="AA27" s="2"/>
      <c r="AB27" s="2"/>
      <c r="AC27" s="138" t="str">
        <f t="shared" si="4"/>
        <v/>
      </c>
      <c r="AG27" s="138" t="str">
        <f t="shared" si="5"/>
        <v/>
      </c>
      <c r="AJ27" s="138" t="str">
        <f t="shared" si="6"/>
        <v/>
      </c>
      <c r="AM27" s="138" t="str">
        <f t="shared" si="7"/>
        <v/>
      </c>
      <c r="AQ27" s="138" t="str">
        <f t="shared" si="8"/>
        <v/>
      </c>
      <c r="AT27" s="138" t="str">
        <f t="shared" si="9"/>
        <v/>
      </c>
      <c r="AX27" s="138" t="str">
        <f t="shared" si="10"/>
        <v/>
      </c>
      <c r="BB27" s="138" t="str">
        <f t="shared" si="11"/>
        <v/>
      </c>
      <c r="BF27" s="138" t="str">
        <f t="shared" si="12"/>
        <v/>
      </c>
      <c r="BG27" s="17"/>
      <c r="BH27" s="9"/>
      <c r="BI27" s="61"/>
      <c r="BJ27" s="138" t="str">
        <f t="shared" si="13"/>
        <v/>
      </c>
      <c r="BK27" s="17"/>
      <c r="BL27" s="63"/>
      <c r="BM27" s="138" t="str">
        <f t="shared" si="14"/>
        <v/>
      </c>
      <c r="BN27" s="17" t="s">
        <v>32</v>
      </c>
      <c r="BO27" s="9">
        <v>467</v>
      </c>
      <c r="BP27" s="9">
        <v>1396</v>
      </c>
      <c r="BQ27" s="138">
        <f t="shared" si="15"/>
        <v>2.9892933618843682</v>
      </c>
      <c r="BR27" s="9">
        <v>803</v>
      </c>
      <c r="BS27" s="9">
        <v>3491</v>
      </c>
      <c r="BT27" s="138">
        <f t="shared" si="16"/>
        <v>4.3474470734744708</v>
      </c>
      <c r="BU27" s="17" t="s">
        <v>32</v>
      </c>
      <c r="BV27" s="61">
        <f>$D$101*21</f>
        <v>420</v>
      </c>
      <c r="BW27" s="61">
        <v>2753</v>
      </c>
      <c r="BX27" s="138">
        <f t="shared" si="17"/>
        <v>6.5547619047619046</v>
      </c>
      <c r="BY27" s="61">
        <f>$D$101*69</f>
        <v>1380</v>
      </c>
      <c r="BZ27" s="61">
        <v>4246</v>
      </c>
      <c r="CA27" s="138">
        <f t="shared" si="18"/>
        <v>3.0768115942028986</v>
      </c>
      <c r="CB27" s="61">
        <f>$D$101*57</f>
        <v>1140</v>
      </c>
      <c r="CC27" s="61">
        <v>4705</v>
      </c>
      <c r="CD27" s="138">
        <f t="shared" si="19"/>
        <v>4.1271929824561404</v>
      </c>
    </row>
    <row r="28" spans="1:82" x14ac:dyDescent="0.3">
      <c r="A28" s="17" t="s">
        <v>263</v>
      </c>
      <c r="B28" s="9" t="s">
        <v>306</v>
      </c>
      <c r="C28" s="68" t="s">
        <v>4</v>
      </c>
      <c r="D28" s="2"/>
      <c r="E28" s="2"/>
      <c r="F28" s="138" t="str">
        <f t="shared" si="0"/>
        <v/>
      </c>
      <c r="G28" s="68" t="s">
        <v>4</v>
      </c>
      <c r="H28" s="142">
        <f>$F$178*150</f>
        <v>999.99910714285716</v>
      </c>
      <c r="I28" s="59">
        <v>300</v>
      </c>
      <c r="J28" s="60">
        <v>0</v>
      </c>
      <c r="K28" s="60">
        <f>I28+(J28/$D$187)</f>
        <v>300</v>
      </c>
      <c r="L28" s="138">
        <f t="shared" si="1"/>
        <v>0.30000026785738199</v>
      </c>
      <c r="M28" s="68" t="s">
        <v>4</v>
      </c>
      <c r="N28" s="142">
        <f>$F$178*260</f>
        <v>1733.3317857142858</v>
      </c>
      <c r="O28" s="59">
        <v>488</v>
      </c>
      <c r="P28" s="60">
        <v>0</v>
      </c>
      <c r="Q28" s="60">
        <f>O28+(P28/$D$187)</f>
        <v>488</v>
      </c>
      <c r="R28" s="138">
        <f t="shared" si="2"/>
        <v>0.28153871291231231</v>
      </c>
      <c r="T28" s="2"/>
      <c r="U28" s="2"/>
      <c r="V28" s="2"/>
      <c r="W28" s="2"/>
      <c r="X28" s="138" t="str">
        <f t="shared" si="3"/>
        <v/>
      </c>
      <c r="Y28" s="2"/>
      <c r="Z28" s="2"/>
      <c r="AA28" s="2"/>
      <c r="AB28" s="2"/>
      <c r="AC28" s="138" t="str">
        <f t="shared" si="4"/>
        <v/>
      </c>
      <c r="AG28" s="138" t="str">
        <f t="shared" si="5"/>
        <v/>
      </c>
      <c r="AJ28" s="138" t="str">
        <f t="shared" si="6"/>
        <v/>
      </c>
      <c r="AM28" s="138" t="str">
        <f t="shared" si="7"/>
        <v/>
      </c>
      <c r="AQ28" s="138" t="str">
        <f t="shared" si="8"/>
        <v/>
      </c>
      <c r="AT28" s="138" t="str">
        <f t="shared" si="9"/>
        <v/>
      </c>
      <c r="AX28" s="138" t="str">
        <f t="shared" si="10"/>
        <v/>
      </c>
      <c r="BB28" s="138" t="str">
        <f t="shared" si="11"/>
        <v/>
      </c>
      <c r="BF28" s="138" t="str">
        <f t="shared" si="12"/>
        <v/>
      </c>
      <c r="BH28" s="2"/>
      <c r="BI28" s="2"/>
      <c r="BJ28" s="138" t="str">
        <f t="shared" si="13"/>
        <v/>
      </c>
      <c r="BM28" s="138" t="str">
        <f t="shared" si="14"/>
        <v/>
      </c>
      <c r="BO28" s="2"/>
      <c r="BP28" s="2"/>
      <c r="BQ28" s="138" t="str">
        <f t="shared" si="15"/>
        <v/>
      </c>
      <c r="BR28" s="2"/>
      <c r="BS28" s="2"/>
      <c r="BT28" s="138" t="str">
        <f t="shared" si="16"/>
        <v/>
      </c>
      <c r="BV28" s="61"/>
      <c r="BW28" s="61"/>
      <c r="BX28" s="138" t="str">
        <f t="shared" si="17"/>
        <v/>
      </c>
      <c r="BY28" s="61"/>
      <c r="BZ28" s="61"/>
      <c r="CA28" s="138" t="str">
        <f t="shared" si="18"/>
        <v/>
      </c>
      <c r="CB28" s="61"/>
      <c r="CC28" s="61"/>
      <c r="CD28" s="138" t="str">
        <f t="shared" si="19"/>
        <v/>
      </c>
    </row>
    <row r="29" spans="1:82" x14ac:dyDescent="0.3">
      <c r="A29" s="17" t="s">
        <v>264</v>
      </c>
      <c r="B29" s="140" t="s">
        <v>306</v>
      </c>
      <c r="C29" s="68" t="s">
        <v>4</v>
      </c>
      <c r="D29" s="2"/>
      <c r="E29" s="2"/>
      <c r="F29" s="138" t="str">
        <f t="shared" si="0"/>
        <v/>
      </c>
      <c r="G29" s="12"/>
      <c r="J29" s="2"/>
      <c r="K29" s="2"/>
      <c r="L29" s="138" t="str">
        <f t="shared" si="1"/>
        <v/>
      </c>
      <c r="M29" s="51"/>
      <c r="P29" s="2"/>
      <c r="Q29" s="2"/>
      <c r="R29" s="138" t="str">
        <f t="shared" si="2"/>
        <v/>
      </c>
      <c r="T29" s="9"/>
      <c r="U29" s="9"/>
      <c r="V29" s="9"/>
      <c r="W29" s="9"/>
      <c r="X29" s="138" t="str">
        <f t="shared" si="3"/>
        <v/>
      </c>
      <c r="Y29" s="2"/>
      <c r="Z29" s="9"/>
      <c r="AA29" s="9"/>
      <c r="AB29" s="9"/>
      <c r="AC29" s="138" t="str">
        <f t="shared" si="4"/>
        <v/>
      </c>
      <c r="AG29" s="138" t="str">
        <f t="shared" si="5"/>
        <v/>
      </c>
      <c r="AJ29" s="138" t="str">
        <f t="shared" si="6"/>
        <v/>
      </c>
      <c r="AM29" s="138" t="str">
        <f t="shared" si="7"/>
        <v/>
      </c>
      <c r="AQ29" s="138" t="str">
        <f t="shared" si="8"/>
        <v/>
      </c>
      <c r="AT29" s="138" t="str">
        <f t="shared" si="9"/>
        <v/>
      </c>
      <c r="AX29" s="138" t="str">
        <f t="shared" si="10"/>
        <v/>
      </c>
      <c r="BB29" s="138" t="str">
        <f t="shared" si="11"/>
        <v/>
      </c>
      <c r="BF29" s="138" t="str">
        <f t="shared" si="12"/>
        <v/>
      </c>
      <c r="BG29" s="17"/>
      <c r="BH29" s="9"/>
      <c r="BI29" s="61"/>
      <c r="BJ29" s="138" t="str">
        <f t="shared" si="13"/>
        <v/>
      </c>
      <c r="BK29" s="17"/>
      <c r="BL29" s="63"/>
      <c r="BM29" s="138" t="str">
        <f t="shared" si="14"/>
        <v/>
      </c>
      <c r="BN29" s="17" t="s">
        <v>32</v>
      </c>
      <c r="BO29" s="9">
        <v>359</v>
      </c>
      <c r="BP29" s="9">
        <v>584</v>
      </c>
      <c r="BQ29" s="138">
        <f t="shared" si="15"/>
        <v>1.626740947075209</v>
      </c>
      <c r="BR29" s="9">
        <v>348</v>
      </c>
      <c r="BS29" s="9">
        <v>578</v>
      </c>
      <c r="BT29" s="138">
        <f t="shared" si="16"/>
        <v>1.6609195402298851</v>
      </c>
      <c r="BU29" s="17" t="s">
        <v>32</v>
      </c>
      <c r="BV29" s="61">
        <f>$D$101*48</f>
        <v>960</v>
      </c>
      <c r="BW29" s="61">
        <v>1335</v>
      </c>
      <c r="BX29" s="138">
        <f t="shared" si="17"/>
        <v>1.390625</v>
      </c>
      <c r="BY29" s="61">
        <f>$D$101*75</f>
        <v>1500</v>
      </c>
      <c r="BZ29" s="61">
        <v>2645</v>
      </c>
      <c r="CA29" s="138">
        <f t="shared" si="18"/>
        <v>1.7633333333333334</v>
      </c>
      <c r="CB29" s="61">
        <f>$D$101*17</f>
        <v>340</v>
      </c>
      <c r="CC29" s="61">
        <v>1029</v>
      </c>
      <c r="CD29" s="138">
        <f t="shared" si="19"/>
        <v>3.026470588235294</v>
      </c>
    </row>
    <row r="30" spans="1:82" x14ac:dyDescent="0.3">
      <c r="A30" s="17" t="s">
        <v>191</v>
      </c>
      <c r="B30" s="9" t="s">
        <v>315</v>
      </c>
      <c r="C30" s="51" t="s">
        <v>8</v>
      </c>
      <c r="D30" s="2"/>
      <c r="E30" s="2"/>
      <c r="F30" s="138" t="str">
        <f t="shared" si="0"/>
        <v/>
      </c>
      <c r="G30" s="12"/>
      <c r="J30" s="2"/>
      <c r="K30" s="2"/>
      <c r="L30" s="138" t="str">
        <f t="shared" si="1"/>
        <v/>
      </c>
      <c r="M30" s="17"/>
      <c r="N30" s="57"/>
      <c r="O30" s="59"/>
      <c r="P30" s="59"/>
      <c r="Q30" s="59"/>
      <c r="R30" s="138" t="str">
        <f t="shared" si="2"/>
        <v/>
      </c>
      <c r="S30" s="17" t="s">
        <v>8</v>
      </c>
      <c r="T30" s="2"/>
      <c r="U30" s="2"/>
      <c r="V30" s="2"/>
      <c r="W30" s="2"/>
      <c r="X30" s="138" t="str">
        <f t="shared" si="3"/>
        <v/>
      </c>
      <c r="Y30" s="66">
        <v>2</v>
      </c>
      <c r="Z30" s="66">
        <v>316</v>
      </c>
      <c r="AA30" s="9">
        <v>0</v>
      </c>
      <c r="AB30" s="60">
        <f>Z30+(AA30/$D$187)</f>
        <v>316</v>
      </c>
      <c r="AC30" s="138">
        <f t="shared" si="4"/>
        <v>158</v>
      </c>
      <c r="AD30" s="17"/>
      <c r="AG30" s="138" t="str">
        <f t="shared" si="5"/>
        <v/>
      </c>
      <c r="AJ30" s="138" t="str">
        <f t="shared" si="6"/>
        <v/>
      </c>
      <c r="AK30" s="17"/>
      <c r="AL30" s="16"/>
      <c r="AM30" s="138" t="str">
        <f t="shared" si="7"/>
        <v/>
      </c>
      <c r="AN30" s="17"/>
      <c r="AO30" s="17"/>
      <c r="AP30" s="17"/>
      <c r="AQ30" s="138" t="str">
        <f t="shared" si="8"/>
        <v/>
      </c>
      <c r="AR30" s="17"/>
      <c r="AS30" s="17"/>
      <c r="AT30" s="138" t="str">
        <f t="shared" si="9"/>
        <v/>
      </c>
      <c r="AU30" s="17"/>
      <c r="AV30" s="17"/>
      <c r="AW30" s="17"/>
      <c r="AX30" s="138" t="str">
        <f t="shared" si="10"/>
        <v/>
      </c>
      <c r="AY30" s="17"/>
      <c r="BB30" s="138" t="str">
        <f t="shared" si="11"/>
        <v/>
      </c>
      <c r="BC30" s="17"/>
      <c r="BF30" s="138" t="str">
        <f t="shared" si="12"/>
        <v/>
      </c>
      <c r="BG30" s="17"/>
      <c r="BH30" s="9"/>
      <c r="BI30" s="9"/>
      <c r="BJ30" s="138" t="str">
        <f t="shared" si="13"/>
        <v/>
      </c>
      <c r="BK30" s="17"/>
      <c r="BL30" s="63"/>
      <c r="BM30" s="138" t="str">
        <f t="shared" si="14"/>
        <v/>
      </c>
      <c r="BN30" s="17"/>
      <c r="BO30" s="9"/>
      <c r="BP30" s="9"/>
      <c r="BQ30" s="138" t="str">
        <f t="shared" si="15"/>
        <v/>
      </c>
      <c r="BR30" s="9"/>
      <c r="BS30" s="9"/>
      <c r="BT30" s="138" t="str">
        <f t="shared" si="16"/>
        <v/>
      </c>
      <c r="BU30" s="17"/>
      <c r="BV30" s="61"/>
      <c r="BW30" s="61"/>
      <c r="BX30" s="138" t="str">
        <f t="shared" si="17"/>
        <v/>
      </c>
      <c r="BY30" s="61"/>
      <c r="BZ30" s="61"/>
      <c r="CA30" s="138" t="str">
        <f t="shared" si="18"/>
        <v/>
      </c>
      <c r="CB30" s="61"/>
      <c r="CC30" s="61"/>
      <c r="CD30" s="138" t="str">
        <f t="shared" si="19"/>
        <v/>
      </c>
    </row>
    <row r="31" spans="1:82" x14ac:dyDescent="0.3">
      <c r="A31" s="51" t="s">
        <v>265</v>
      </c>
      <c r="B31" s="9" t="s">
        <v>306</v>
      </c>
      <c r="C31" s="17" t="s">
        <v>4</v>
      </c>
      <c r="D31" s="57">
        <f>F179*112</f>
        <v>250</v>
      </c>
      <c r="E31" s="144">
        <v>400</v>
      </c>
      <c r="F31" s="138">
        <f t="shared" si="0"/>
        <v>1.6</v>
      </c>
      <c r="G31" s="68" t="s">
        <v>4</v>
      </c>
      <c r="H31" s="142">
        <f>$F$179*413</f>
        <v>921.875</v>
      </c>
      <c r="I31" s="59">
        <v>2891</v>
      </c>
      <c r="J31" s="60">
        <v>0</v>
      </c>
      <c r="K31" s="60">
        <f>I31+(J31/$D$187)</f>
        <v>2891</v>
      </c>
      <c r="L31" s="138">
        <f t="shared" si="1"/>
        <v>3.1360000000000001</v>
      </c>
      <c r="M31" s="68" t="s">
        <v>4</v>
      </c>
      <c r="N31" s="142">
        <f>$F$179*110</f>
        <v>245.53571428571431</v>
      </c>
      <c r="O31" s="59">
        <v>660</v>
      </c>
      <c r="P31" s="60">
        <v>0</v>
      </c>
      <c r="Q31" s="60">
        <f>O31+(P31/$D$187)</f>
        <v>660</v>
      </c>
      <c r="R31" s="138">
        <f t="shared" si="2"/>
        <v>2.6879999999999997</v>
      </c>
      <c r="S31" s="68" t="s">
        <v>4</v>
      </c>
      <c r="T31" s="142">
        <f>$F$179*195</f>
        <v>435.26785714285717</v>
      </c>
      <c r="U31" s="9">
        <v>1110</v>
      </c>
      <c r="V31" s="9">
        <v>10</v>
      </c>
      <c r="W31" s="60">
        <f>U31+(V31/$D$187)</f>
        <v>1110.5</v>
      </c>
      <c r="X31" s="138">
        <f t="shared" si="3"/>
        <v>2.551302564102564</v>
      </c>
      <c r="Y31" s="142">
        <f>$F$179*284</f>
        <v>633.92857142857144</v>
      </c>
      <c r="Z31" s="66">
        <v>1177</v>
      </c>
      <c r="AA31" s="9">
        <v>0</v>
      </c>
      <c r="AB31" s="60">
        <f>Z31+(AA31/$D$187)</f>
        <v>1177</v>
      </c>
      <c r="AC31" s="138">
        <f t="shared" si="4"/>
        <v>1.856676056338028</v>
      </c>
      <c r="AD31" s="17" t="s">
        <v>4</v>
      </c>
      <c r="AE31" s="64">
        <v>398</v>
      </c>
      <c r="AF31" s="74">
        <v>1522</v>
      </c>
      <c r="AG31" s="138">
        <f t="shared" si="5"/>
        <v>3.8241206030150754</v>
      </c>
      <c r="AH31" s="63">
        <v>1919</v>
      </c>
      <c r="AI31" s="63">
        <v>3010</v>
      </c>
      <c r="AJ31" s="138">
        <f t="shared" si="6"/>
        <v>1.5685252735799895</v>
      </c>
      <c r="AK31" s="17"/>
      <c r="AL31" s="17"/>
      <c r="AM31" s="138" t="str">
        <f t="shared" si="7"/>
        <v/>
      </c>
      <c r="AN31" s="17"/>
      <c r="AO31" s="17"/>
      <c r="AP31" s="17"/>
      <c r="AQ31" s="138" t="str">
        <f t="shared" si="8"/>
        <v/>
      </c>
      <c r="AR31" s="17"/>
      <c r="AS31" s="63"/>
      <c r="AT31" s="138" t="str">
        <f t="shared" si="9"/>
        <v/>
      </c>
      <c r="AU31" s="17"/>
      <c r="AV31" s="17"/>
      <c r="AW31" s="63"/>
      <c r="AX31" s="138" t="str">
        <f t="shared" si="10"/>
        <v/>
      </c>
      <c r="AY31" s="17"/>
      <c r="AZ31" s="64"/>
      <c r="BA31" s="64"/>
      <c r="BB31" s="138" t="str">
        <f t="shared" si="11"/>
        <v/>
      </c>
      <c r="BC31" s="17"/>
      <c r="BD31" s="65"/>
      <c r="BE31" s="64"/>
      <c r="BF31" s="138" t="str">
        <f t="shared" si="12"/>
        <v/>
      </c>
      <c r="BH31" s="2"/>
      <c r="BI31" s="2"/>
      <c r="BJ31" s="138" t="str">
        <f t="shared" si="13"/>
        <v/>
      </c>
      <c r="BM31" s="138" t="str">
        <f t="shared" si="14"/>
        <v/>
      </c>
      <c r="BO31" s="2"/>
      <c r="BP31" s="2"/>
      <c r="BQ31" s="138" t="str">
        <f t="shared" si="15"/>
        <v/>
      </c>
      <c r="BR31" s="2"/>
      <c r="BS31" s="2"/>
      <c r="BT31" s="138" t="str">
        <f t="shared" si="16"/>
        <v/>
      </c>
      <c r="BV31" s="61"/>
      <c r="BW31" s="61"/>
      <c r="BX31" s="138" t="str">
        <f t="shared" si="17"/>
        <v/>
      </c>
      <c r="BY31" s="61"/>
      <c r="BZ31" s="61"/>
      <c r="CA31" s="138" t="str">
        <f t="shared" si="18"/>
        <v/>
      </c>
      <c r="CB31" s="61"/>
      <c r="CC31" s="61"/>
      <c r="CD31" s="138" t="str">
        <f t="shared" si="19"/>
        <v/>
      </c>
    </row>
    <row r="32" spans="1:82" x14ac:dyDescent="0.3">
      <c r="A32" s="76" t="s">
        <v>43</v>
      </c>
      <c r="B32" s="9" t="s">
        <v>313</v>
      </c>
      <c r="C32" s="17" t="s">
        <v>26</v>
      </c>
      <c r="D32" s="57">
        <v>439</v>
      </c>
      <c r="E32" s="57">
        <v>333</v>
      </c>
      <c r="F32" s="138">
        <f t="shared" si="0"/>
        <v>0.75854214123006836</v>
      </c>
      <c r="G32" s="58" t="s">
        <v>54</v>
      </c>
      <c r="H32" s="59">
        <v>298</v>
      </c>
      <c r="I32" s="59">
        <v>298</v>
      </c>
      <c r="J32" s="59">
        <v>0</v>
      </c>
      <c r="K32" s="60">
        <f>I32+(J32/$D$187)</f>
        <v>298</v>
      </c>
      <c r="L32" s="138">
        <f t="shared" si="1"/>
        <v>1</v>
      </c>
      <c r="M32" s="17"/>
      <c r="N32" s="57"/>
      <c r="O32" s="59"/>
      <c r="P32" s="59"/>
      <c r="Q32" s="59"/>
      <c r="R32" s="138" t="str">
        <f t="shared" si="2"/>
        <v/>
      </c>
      <c r="S32" s="17" t="s">
        <v>26</v>
      </c>
      <c r="T32" s="9">
        <v>315</v>
      </c>
      <c r="U32" s="9">
        <v>336</v>
      </c>
      <c r="V32" s="9">
        <v>0</v>
      </c>
      <c r="W32" s="60">
        <f>U32+(V32/$D$187)</f>
        <v>336</v>
      </c>
      <c r="X32" s="138">
        <f t="shared" si="3"/>
        <v>1.0666666666666667</v>
      </c>
      <c r="Y32" s="57">
        <v>303</v>
      </c>
      <c r="Z32" s="57">
        <v>196</v>
      </c>
      <c r="AA32" s="9">
        <v>10</v>
      </c>
      <c r="AB32" s="60">
        <f>Z32+(AA32/$D$187)</f>
        <v>196.5</v>
      </c>
      <c r="AC32" s="138">
        <f t="shared" si="4"/>
        <v>0.64851485148514854</v>
      </c>
      <c r="AG32" s="138" t="str">
        <f t="shared" si="5"/>
        <v/>
      </c>
      <c r="AJ32" s="138" t="str">
        <f t="shared" si="6"/>
        <v/>
      </c>
      <c r="AM32" s="138" t="str">
        <f t="shared" si="7"/>
        <v/>
      </c>
      <c r="AQ32" s="138" t="str">
        <f t="shared" si="8"/>
        <v/>
      </c>
      <c r="AT32" s="138" t="str">
        <f t="shared" si="9"/>
        <v/>
      </c>
      <c r="AX32" s="138" t="str">
        <f t="shared" si="10"/>
        <v/>
      </c>
      <c r="BB32" s="138" t="str">
        <f t="shared" si="11"/>
        <v/>
      </c>
      <c r="BF32" s="138" t="str">
        <f t="shared" si="12"/>
        <v/>
      </c>
      <c r="BH32" s="2"/>
      <c r="BI32" s="2"/>
      <c r="BJ32" s="138" t="str">
        <f t="shared" si="13"/>
        <v/>
      </c>
      <c r="BM32" s="138" t="str">
        <f t="shared" si="14"/>
        <v/>
      </c>
      <c r="BO32" s="2"/>
      <c r="BP32" s="2"/>
      <c r="BQ32" s="138" t="str">
        <f t="shared" si="15"/>
        <v/>
      </c>
      <c r="BR32" s="2"/>
      <c r="BS32" s="2"/>
      <c r="BT32" s="138" t="str">
        <f t="shared" si="16"/>
        <v/>
      </c>
      <c r="BV32" s="61"/>
      <c r="BW32" s="61"/>
      <c r="BX32" s="138" t="str">
        <f t="shared" si="17"/>
        <v/>
      </c>
      <c r="BY32" s="61"/>
      <c r="BZ32" s="61"/>
      <c r="CA32" s="138" t="str">
        <f t="shared" si="18"/>
        <v/>
      </c>
      <c r="CB32" s="61"/>
      <c r="CC32" s="61"/>
      <c r="CD32" s="138" t="str">
        <f t="shared" si="19"/>
        <v/>
      </c>
    </row>
    <row r="33" spans="1:82" x14ac:dyDescent="0.3">
      <c r="A33" s="17" t="s">
        <v>5</v>
      </c>
      <c r="B33" s="9" t="s">
        <v>306</v>
      </c>
      <c r="C33" s="17" t="s">
        <v>4</v>
      </c>
      <c r="D33" s="66"/>
      <c r="E33" s="78"/>
      <c r="F33" s="138" t="str">
        <f t="shared" si="0"/>
        <v/>
      </c>
      <c r="G33" s="62"/>
      <c r="H33" s="59"/>
      <c r="I33" s="59"/>
      <c r="J33" s="60"/>
      <c r="K33" s="60"/>
      <c r="L33" s="138" t="str">
        <f t="shared" si="1"/>
        <v/>
      </c>
      <c r="M33" s="17"/>
      <c r="N33" s="57"/>
      <c r="O33" s="59"/>
      <c r="P33" s="60"/>
      <c r="Q33" s="60"/>
      <c r="R33" s="138" t="str">
        <f t="shared" si="2"/>
        <v/>
      </c>
      <c r="S33" s="17" t="s">
        <v>4</v>
      </c>
      <c r="T33" s="9">
        <v>1902.5</v>
      </c>
      <c r="U33" s="9">
        <v>1004</v>
      </c>
      <c r="V33" s="9">
        <v>15</v>
      </c>
      <c r="W33" s="60">
        <f>U33+(V33/$D$187)</f>
        <v>1004.75</v>
      </c>
      <c r="X33" s="138">
        <f t="shared" si="3"/>
        <v>0.52812089356110381</v>
      </c>
      <c r="Y33" s="66">
        <v>362</v>
      </c>
      <c r="Z33" s="9">
        <v>187</v>
      </c>
      <c r="AA33" s="9">
        <v>10</v>
      </c>
      <c r="AB33" s="60">
        <f>Z33+(AA33/$D$187)</f>
        <v>187.5</v>
      </c>
      <c r="AC33" s="138">
        <f t="shared" si="4"/>
        <v>0.51795580110497241</v>
      </c>
      <c r="AD33" s="17" t="s">
        <v>4</v>
      </c>
      <c r="AE33" s="74">
        <v>1156</v>
      </c>
      <c r="AF33" s="64">
        <v>506</v>
      </c>
      <c r="AG33" s="138">
        <f t="shared" si="5"/>
        <v>0.43771626297577854</v>
      </c>
      <c r="AH33" s="63">
        <v>1133</v>
      </c>
      <c r="AI33" s="17">
        <v>437</v>
      </c>
      <c r="AJ33" s="138">
        <f t="shared" si="6"/>
        <v>0.38570167696381291</v>
      </c>
      <c r="AK33" s="63">
        <v>1202</v>
      </c>
      <c r="AL33" s="17">
        <v>650</v>
      </c>
      <c r="AM33" s="138">
        <f t="shared" si="7"/>
        <v>0.54076539101497501</v>
      </c>
      <c r="AN33" s="17" t="s">
        <v>4</v>
      </c>
      <c r="AO33" s="63">
        <v>1664</v>
      </c>
      <c r="AP33" s="63">
        <v>1653</v>
      </c>
      <c r="AQ33" s="138">
        <f t="shared" si="8"/>
        <v>0.99338942307692313</v>
      </c>
      <c r="AR33" s="17">
        <v>729</v>
      </c>
      <c r="AS33" s="17">
        <v>727</v>
      </c>
      <c r="AT33" s="138">
        <f t="shared" si="9"/>
        <v>0.99725651577503427</v>
      </c>
      <c r="AU33" s="17" t="s">
        <v>4</v>
      </c>
      <c r="AV33" s="63">
        <v>4132</v>
      </c>
      <c r="AW33" s="63">
        <v>4132</v>
      </c>
      <c r="AX33" s="138">
        <f t="shared" si="10"/>
        <v>1</v>
      </c>
      <c r="AY33" s="17" t="s">
        <v>4</v>
      </c>
      <c r="AZ33" s="65">
        <v>1987</v>
      </c>
      <c r="BA33" s="65">
        <v>2059</v>
      </c>
      <c r="BB33" s="138">
        <f t="shared" si="11"/>
        <v>1.0362355309511826</v>
      </c>
      <c r="BC33" s="17" t="s">
        <v>4</v>
      </c>
      <c r="BD33" s="79">
        <v>328.5</v>
      </c>
      <c r="BE33" s="65">
        <v>355</v>
      </c>
      <c r="BF33" s="138">
        <f t="shared" si="12"/>
        <v>1.0806697108066972</v>
      </c>
      <c r="BH33" s="2"/>
      <c r="BI33" s="2"/>
      <c r="BJ33" s="138" t="str">
        <f t="shared" si="13"/>
        <v/>
      </c>
      <c r="BM33" s="138" t="str">
        <f t="shared" si="14"/>
        <v/>
      </c>
      <c r="BO33" s="2"/>
      <c r="BP33" s="2"/>
      <c r="BQ33" s="138" t="str">
        <f t="shared" si="15"/>
        <v/>
      </c>
      <c r="BR33" s="2"/>
      <c r="BS33" s="2"/>
      <c r="BT33" s="138" t="str">
        <f t="shared" si="16"/>
        <v/>
      </c>
      <c r="BV33" s="2"/>
      <c r="BW33" s="2"/>
      <c r="BX33" s="138" t="str">
        <f t="shared" si="17"/>
        <v/>
      </c>
      <c r="BY33" s="2"/>
      <c r="BZ33" s="2"/>
      <c r="CA33" s="138" t="str">
        <f t="shared" si="18"/>
        <v/>
      </c>
      <c r="CB33" s="2"/>
      <c r="CC33" s="2"/>
      <c r="CD33" s="138" t="str">
        <f t="shared" si="19"/>
        <v/>
      </c>
    </row>
    <row r="34" spans="1:82" x14ac:dyDescent="0.3">
      <c r="A34" s="9" t="s">
        <v>266</v>
      </c>
      <c r="B34" s="140" t="s">
        <v>306</v>
      </c>
      <c r="C34" s="17" t="s">
        <v>4</v>
      </c>
      <c r="D34" s="66"/>
      <c r="E34" s="78"/>
      <c r="F34" s="138" t="str">
        <f t="shared" si="0"/>
        <v/>
      </c>
      <c r="G34" s="62"/>
      <c r="H34" s="59"/>
      <c r="I34" s="59"/>
      <c r="J34" s="60"/>
      <c r="K34" s="60"/>
      <c r="L34" s="138" t="str">
        <f t="shared" si="1"/>
        <v/>
      </c>
      <c r="M34" s="17"/>
      <c r="N34" s="57"/>
      <c r="O34" s="59"/>
      <c r="P34" s="60"/>
      <c r="Q34" s="60"/>
      <c r="R34" s="138" t="str">
        <f t="shared" si="2"/>
        <v/>
      </c>
      <c r="S34" s="17"/>
      <c r="T34" s="9"/>
      <c r="U34" s="9"/>
      <c r="V34" s="9"/>
      <c r="W34" s="9"/>
      <c r="X34" s="138" t="str">
        <f t="shared" si="3"/>
        <v/>
      </c>
      <c r="Y34" s="66"/>
      <c r="Z34" s="9"/>
      <c r="AA34" s="9"/>
      <c r="AB34" s="9"/>
      <c r="AC34" s="138" t="str">
        <f t="shared" si="4"/>
        <v/>
      </c>
      <c r="AD34" s="17"/>
      <c r="AE34" s="74"/>
      <c r="AF34" s="64"/>
      <c r="AG34" s="138" t="str">
        <f t="shared" si="5"/>
        <v/>
      </c>
      <c r="AH34" s="63"/>
      <c r="AI34" s="17"/>
      <c r="AJ34" s="138" t="str">
        <f t="shared" si="6"/>
        <v/>
      </c>
      <c r="AK34" s="63"/>
      <c r="AL34" s="17"/>
      <c r="AM34" s="138" t="str">
        <f t="shared" si="7"/>
        <v/>
      </c>
      <c r="AN34" s="17"/>
      <c r="AO34" s="63"/>
      <c r="AP34" s="63"/>
      <c r="AQ34" s="138" t="str">
        <f t="shared" si="8"/>
        <v/>
      </c>
      <c r="AR34" s="17"/>
      <c r="AS34" s="17"/>
      <c r="AT34" s="138" t="str">
        <f t="shared" si="9"/>
        <v/>
      </c>
      <c r="AU34" s="17"/>
      <c r="AV34" s="63"/>
      <c r="AW34" s="63"/>
      <c r="AX34" s="138" t="str">
        <f t="shared" si="10"/>
        <v/>
      </c>
      <c r="AY34" s="17"/>
      <c r="AZ34" s="65"/>
      <c r="BA34" s="65"/>
      <c r="BB34" s="138" t="str">
        <f t="shared" si="11"/>
        <v/>
      </c>
      <c r="BC34" s="17"/>
      <c r="BD34" s="79"/>
      <c r="BE34" s="65"/>
      <c r="BF34" s="138" t="str">
        <f t="shared" si="12"/>
        <v/>
      </c>
      <c r="BG34" s="17" t="s">
        <v>32</v>
      </c>
      <c r="BH34" s="61">
        <v>7407</v>
      </c>
      <c r="BI34" s="61">
        <v>3389</v>
      </c>
      <c r="BJ34" s="138">
        <f t="shared" si="13"/>
        <v>0.45754016470905901</v>
      </c>
      <c r="BK34" s="63">
        <v>2824</v>
      </c>
      <c r="BL34" s="63">
        <v>2087</v>
      </c>
      <c r="BM34" s="138">
        <f t="shared" si="14"/>
        <v>0.73902266288951846</v>
      </c>
      <c r="BN34" s="17" t="s">
        <v>32</v>
      </c>
      <c r="BO34" s="9">
        <v>4571</v>
      </c>
      <c r="BP34" s="9">
        <v>2641</v>
      </c>
      <c r="BQ34" s="138">
        <f t="shared" si="15"/>
        <v>0.57777291621089477</v>
      </c>
      <c r="BR34" s="9">
        <v>1642</v>
      </c>
      <c r="BS34" s="9">
        <v>1168</v>
      </c>
      <c r="BT34" s="138">
        <f t="shared" si="16"/>
        <v>0.71132764920828262</v>
      </c>
      <c r="BU34" s="17" t="s">
        <v>32</v>
      </c>
      <c r="BV34" s="61">
        <f>$D$101*237</f>
        <v>4740</v>
      </c>
      <c r="BW34" s="61">
        <v>2270</v>
      </c>
      <c r="BX34" s="138">
        <f t="shared" si="17"/>
        <v>0.47890295358649787</v>
      </c>
      <c r="BY34" s="61">
        <f>$D$101*341</f>
        <v>6820</v>
      </c>
      <c r="BZ34" s="61">
        <v>7166</v>
      </c>
      <c r="CA34" s="138">
        <f t="shared" si="18"/>
        <v>1.0507331378299121</v>
      </c>
      <c r="CB34" s="61">
        <f>$D$101*1348</f>
        <v>26960</v>
      </c>
      <c r="CC34" s="61">
        <v>24055</v>
      </c>
      <c r="CD34" s="138">
        <f t="shared" si="19"/>
        <v>0.89224777448071213</v>
      </c>
    </row>
    <row r="35" spans="1:82" x14ac:dyDescent="0.3">
      <c r="A35" s="17" t="s">
        <v>93</v>
      </c>
      <c r="B35" s="140" t="s">
        <v>306</v>
      </c>
      <c r="C35" s="51" t="s">
        <v>4</v>
      </c>
      <c r="D35" s="2"/>
      <c r="E35" s="2"/>
      <c r="F35" s="138" t="str">
        <f t="shared" si="0"/>
        <v/>
      </c>
      <c r="G35" s="12"/>
      <c r="J35" s="2"/>
      <c r="K35" s="2"/>
      <c r="L35" s="138" t="str">
        <f t="shared" si="1"/>
        <v/>
      </c>
      <c r="M35" s="51"/>
      <c r="P35" s="2"/>
      <c r="Q35" s="2"/>
      <c r="R35" s="138" t="str">
        <f t="shared" si="2"/>
        <v/>
      </c>
      <c r="T35" s="2"/>
      <c r="U35" s="2"/>
      <c r="V35" s="2"/>
      <c r="W35" s="2"/>
      <c r="X35" s="138" t="str">
        <f t="shared" si="3"/>
        <v/>
      </c>
      <c r="Y35" s="2"/>
      <c r="Z35" s="2"/>
      <c r="AA35" s="2"/>
      <c r="AB35" s="2"/>
      <c r="AC35" s="138" t="str">
        <f t="shared" si="4"/>
        <v/>
      </c>
      <c r="AG35" s="138" t="str">
        <f t="shared" si="5"/>
        <v/>
      </c>
      <c r="AJ35" s="138" t="str">
        <f t="shared" si="6"/>
        <v/>
      </c>
      <c r="AM35" s="138" t="str">
        <f t="shared" si="7"/>
        <v/>
      </c>
      <c r="AQ35" s="138" t="str">
        <f t="shared" si="8"/>
        <v/>
      </c>
      <c r="AT35" s="138" t="str">
        <f t="shared" si="9"/>
        <v/>
      </c>
      <c r="AX35" s="138" t="str">
        <f t="shared" si="10"/>
        <v/>
      </c>
      <c r="BB35" s="138" t="str">
        <f t="shared" si="11"/>
        <v/>
      </c>
      <c r="BF35" s="138" t="str">
        <f t="shared" si="12"/>
        <v/>
      </c>
      <c r="BG35" s="17" t="s">
        <v>32</v>
      </c>
      <c r="BH35" s="61">
        <v>4530</v>
      </c>
      <c r="BI35" s="61">
        <v>5974</v>
      </c>
      <c r="BJ35" s="138">
        <f t="shared" si="13"/>
        <v>1.3187637969094923</v>
      </c>
      <c r="BK35" s="63">
        <v>2727</v>
      </c>
      <c r="BL35" s="63">
        <v>6678</v>
      </c>
      <c r="BM35" s="138">
        <f t="shared" si="14"/>
        <v>2.4488448844884489</v>
      </c>
      <c r="BN35" s="17" t="s">
        <v>32</v>
      </c>
      <c r="BO35" s="61">
        <v>1082</v>
      </c>
      <c r="BP35" s="61">
        <v>1409</v>
      </c>
      <c r="BQ35" s="138">
        <f t="shared" si="15"/>
        <v>1.3022181146025877</v>
      </c>
      <c r="BR35" s="61">
        <v>313</v>
      </c>
      <c r="BS35" s="61">
        <v>1210</v>
      </c>
      <c r="BT35" s="138">
        <f t="shared" si="16"/>
        <v>3.8658146964856228</v>
      </c>
      <c r="BU35" s="17" t="s">
        <v>32</v>
      </c>
      <c r="BV35" s="61">
        <f>$D$101*230</f>
        <v>4600</v>
      </c>
      <c r="BW35" s="61">
        <v>5936</v>
      </c>
      <c r="BX35" s="138">
        <f t="shared" si="17"/>
        <v>1.2904347826086957</v>
      </c>
      <c r="BY35" s="61">
        <f>$D$101*152</f>
        <v>3040</v>
      </c>
      <c r="BZ35" s="61">
        <v>5773</v>
      </c>
      <c r="CA35" s="138">
        <f t="shared" si="18"/>
        <v>1.8990131578947369</v>
      </c>
      <c r="CB35" s="61">
        <f>$D$101*87</f>
        <v>1740</v>
      </c>
      <c r="CC35" s="61">
        <v>2249</v>
      </c>
      <c r="CD35" s="138">
        <f t="shared" si="19"/>
        <v>1.292528735632184</v>
      </c>
    </row>
    <row r="36" spans="1:82" x14ac:dyDescent="0.3">
      <c r="A36" s="17" t="s">
        <v>67</v>
      </c>
      <c r="B36" s="140" t="s">
        <v>318</v>
      </c>
      <c r="C36" s="143" t="s">
        <v>304</v>
      </c>
      <c r="D36" s="57">
        <f>$D$163*150</f>
        <v>1350</v>
      </c>
      <c r="E36" s="57">
        <v>59</v>
      </c>
      <c r="F36" s="138">
        <f t="shared" si="0"/>
        <v>4.3703703703703703E-2</v>
      </c>
      <c r="G36" s="12"/>
      <c r="J36" s="2"/>
      <c r="K36" s="2"/>
      <c r="L36" s="138" t="str">
        <f t="shared" si="1"/>
        <v/>
      </c>
      <c r="M36" s="17"/>
      <c r="P36" s="2"/>
      <c r="Q36" s="2"/>
      <c r="R36" s="138" t="str">
        <f t="shared" si="2"/>
        <v/>
      </c>
      <c r="T36" s="2"/>
      <c r="U36" s="2"/>
      <c r="V36" s="2"/>
      <c r="W36" s="2"/>
      <c r="X36" s="138" t="str">
        <f t="shared" si="3"/>
        <v/>
      </c>
      <c r="Y36" s="2"/>
      <c r="Z36" s="2"/>
      <c r="AA36" s="2"/>
      <c r="AB36" s="2"/>
      <c r="AC36" s="138" t="str">
        <f t="shared" si="4"/>
        <v/>
      </c>
      <c r="AG36" s="138" t="str">
        <f t="shared" si="5"/>
        <v/>
      </c>
      <c r="AJ36" s="138" t="str">
        <f t="shared" si="6"/>
        <v/>
      </c>
      <c r="AM36" s="138" t="str">
        <f t="shared" si="7"/>
        <v/>
      </c>
      <c r="AN36" s="51" t="s">
        <v>41</v>
      </c>
      <c r="AQ36" s="138" t="str">
        <f t="shared" si="8"/>
        <v/>
      </c>
      <c r="AR36" s="17">
        <f>$D$163*400</f>
        <v>3600</v>
      </c>
      <c r="AS36" s="9">
        <v>136</v>
      </c>
      <c r="AT36" s="138">
        <f t="shared" si="9"/>
        <v>3.7777777777777778E-2</v>
      </c>
      <c r="AU36" s="143" t="s">
        <v>304</v>
      </c>
      <c r="AV36" s="63">
        <f>$D$163*3200</f>
        <v>28800</v>
      </c>
      <c r="AW36" s="63">
        <v>1600</v>
      </c>
      <c r="AX36" s="138">
        <f t="shared" si="10"/>
        <v>5.5555555555555552E-2</v>
      </c>
      <c r="AY36" s="143" t="s">
        <v>304</v>
      </c>
      <c r="AZ36" s="64">
        <f>$D$163*4637</f>
        <v>41733</v>
      </c>
      <c r="BA36" s="64">
        <v>1159</v>
      </c>
      <c r="BB36" s="138">
        <f t="shared" si="11"/>
        <v>2.7771787314595165E-2</v>
      </c>
      <c r="BC36" s="143" t="s">
        <v>304</v>
      </c>
      <c r="BD36" s="64">
        <f>$D$163*4480</f>
        <v>40320</v>
      </c>
      <c r="BE36" s="64">
        <v>1212</v>
      </c>
      <c r="BF36" s="138">
        <f t="shared" si="12"/>
        <v>3.005952380952381E-2</v>
      </c>
      <c r="BG36" s="17" t="s">
        <v>32</v>
      </c>
      <c r="BH36" s="61">
        <v>5263</v>
      </c>
      <c r="BI36" s="61">
        <v>2620</v>
      </c>
      <c r="BJ36" s="138">
        <f t="shared" si="13"/>
        <v>0.49781493444803343</v>
      </c>
      <c r="BK36" s="63">
        <v>8592</v>
      </c>
      <c r="BL36" s="63">
        <v>2190</v>
      </c>
      <c r="BM36" s="138">
        <f t="shared" si="14"/>
        <v>0.25488826815642457</v>
      </c>
      <c r="BN36" s="17" t="s">
        <v>32</v>
      </c>
      <c r="BO36" s="9">
        <v>9162</v>
      </c>
      <c r="BP36" s="9">
        <v>3547</v>
      </c>
      <c r="BQ36" s="138">
        <f t="shared" si="15"/>
        <v>0.38714254529578696</v>
      </c>
      <c r="BR36" s="9">
        <v>1944</v>
      </c>
      <c r="BS36" s="9">
        <v>1260</v>
      </c>
      <c r="BT36" s="138">
        <f t="shared" si="16"/>
        <v>0.64814814814814814</v>
      </c>
      <c r="BU36" s="17" t="s">
        <v>32</v>
      </c>
      <c r="BV36" s="61">
        <f>$D$101*519</f>
        <v>10380</v>
      </c>
      <c r="BW36" s="61">
        <v>4475</v>
      </c>
      <c r="BX36" s="138">
        <f t="shared" si="17"/>
        <v>0.43111753371868977</v>
      </c>
      <c r="BY36" s="61">
        <f>$D$101*548</f>
        <v>10960</v>
      </c>
      <c r="BZ36" s="61">
        <v>5179</v>
      </c>
      <c r="CA36" s="138">
        <f t="shared" si="18"/>
        <v>0.47253649635036499</v>
      </c>
      <c r="CB36" s="61">
        <f>$D$101*380</f>
        <v>7600</v>
      </c>
      <c r="CC36" s="61">
        <v>4524</v>
      </c>
      <c r="CD36" s="138">
        <f t="shared" si="19"/>
        <v>0.59526315789473683</v>
      </c>
    </row>
    <row r="37" spans="1:82" x14ac:dyDescent="0.3">
      <c r="A37" s="17" t="s">
        <v>75</v>
      </c>
      <c r="B37" s="140" t="s">
        <v>306</v>
      </c>
      <c r="C37" s="51" t="s">
        <v>4</v>
      </c>
      <c r="D37" s="2"/>
      <c r="E37" s="2"/>
      <c r="F37" s="138" t="str">
        <f t="shared" si="0"/>
        <v/>
      </c>
      <c r="G37" s="12"/>
      <c r="J37" s="2"/>
      <c r="K37" s="2"/>
      <c r="L37" s="138" t="str">
        <f t="shared" si="1"/>
        <v/>
      </c>
      <c r="M37" s="51"/>
      <c r="P37" s="2"/>
      <c r="Q37" s="2"/>
      <c r="R37" s="138" t="str">
        <f t="shared" si="2"/>
        <v/>
      </c>
      <c r="T37" s="2"/>
      <c r="U37" s="2"/>
      <c r="V37" s="2"/>
      <c r="W37" s="2"/>
      <c r="X37" s="138" t="str">
        <f t="shared" si="3"/>
        <v/>
      </c>
      <c r="Y37" s="2"/>
      <c r="Z37" s="2"/>
      <c r="AA37" s="2"/>
      <c r="AB37" s="2"/>
      <c r="AC37" s="138" t="str">
        <f t="shared" si="4"/>
        <v/>
      </c>
      <c r="AG37" s="138" t="str">
        <f t="shared" si="5"/>
        <v/>
      </c>
      <c r="AJ37" s="138" t="str">
        <f t="shared" si="6"/>
        <v/>
      </c>
      <c r="AM37" s="138" t="str">
        <f t="shared" si="7"/>
        <v/>
      </c>
      <c r="AQ37" s="138" t="str">
        <f t="shared" si="8"/>
        <v/>
      </c>
      <c r="AT37" s="138" t="str">
        <f t="shared" si="9"/>
        <v/>
      </c>
      <c r="AX37" s="138" t="str">
        <f t="shared" si="10"/>
        <v/>
      </c>
      <c r="BB37" s="138" t="str">
        <f t="shared" si="11"/>
        <v/>
      </c>
      <c r="BF37" s="138" t="str">
        <f t="shared" si="12"/>
        <v/>
      </c>
      <c r="BG37" s="17"/>
      <c r="BH37" s="9"/>
      <c r="BI37" s="9"/>
      <c r="BJ37" s="138" t="str">
        <f t="shared" si="13"/>
        <v/>
      </c>
      <c r="BK37" s="17"/>
      <c r="BL37" s="63"/>
      <c r="BM37" s="138" t="str">
        <f t="shared" si="14"/>
        <v/>
      </c>
      <c r="BN37" s="17" t="s">
        <v>32</v>
      </c>
      <c r="BO37" s="61">
        <v>77</v>
      </c>
      <c r="BP37" s="61">
        <v>807</v>
      </c>
      <c r="BQ37" s="138">
        <f t="shared" si="15"/>
        <v>10.480519480519481</v>
      </c>
      <c r="BR37" s="61">
        <v>206</v>
      </c>
      <c r="BS37" s="61">
        <v>1521</v>
      </c>
      <c r="BT37" s="138">
        <f t="shared" si="16"/>
        <v>7.383495145631068</v>
      </c>
      <c r="BU37" s="17" t="s">
        <v>32</v>
      </c>
      <c r="BV37" s="61">
        <f>$D$101*9</f>
        <v>180</v>
      </c>
      <c r="BW37" s="61">
        <v>1308</v>
      </c>
      <c r="BX37" s="138">
        <f t="shared" si="17"/>
        <v>7.2666666666666666</v>
      </c>
      <c r="BY37" s="61">
        <f>$D$101*13</f>
        <v>260</v>
      </c>
      <c r="BZ37" s="61">
        <v>2409</v>
      </c>
      <c r="CA37" s="138">
        <f t="shared" si="18"/>
        <v>9.2653846153846153</v>
      </c>
      <c r="CB37" s="61">
        <f>$D$101*22</f>
        <v>440</v>
      </c>
      <c r="CC37" s="61">
        <v>3178</v>
      </c>
      <c r="CD37" s="138">
        <f t="shared" si="19"/>
        <v>7.2227272727272727</v>
      </c>
    </row>
    <row r="38" spans="1:82" x14ac:dyDescent="0.3">
      <c r="A38" s="17" t="s">
        <v>60</v>
      </c>
      <c r="B38" s="140" t="s">
        <v>306</v>
      </c>
      <c r="C38" s="17" t="s">
        <v>4</v>
      </c>
      <c r="D38" s="57">
        <f>$D$167*37</f>
        <v>55.5</v>
      </c>
      <c r="E38" s="57">
        <v>51</v>
      </c>
      <c r="F38" s="138">
        <f t="shared" si="0"/>
        <v>0.91891891891891897</v>
      </c>
      <c r="G38" s="17" t="s">
        <v>4</v>
      </c>
      <c r="H38" s="57">
        <f>$D$167*54</f>
        <v>81</v>
      </c>
      <c r="I38" s="59">
        <v>162</v>
      </c>
      <c r="J38" s="60">
        <v>0</v>
      </c>
      <c r="K38" s="60">
        <f>I38+(J38/$D$187)</f>
        <v>162</v>
      </c>
      <c r="L38" s="138">
        <f t="shared" si="1"/>
        <v>2</v>
      </c>
      <c r="M38" s="17" t="s">
        <v>4</v>
      </c>
      <c r="N38" s="57">
        <f>$D$167*79</f>
        <v>118.5</v>
      </c>
      <c r="O38" s="59">
        <v>296</v>
      </c>
      <c r="P38" s="60">
        <v>0</v>
      </c>
      <c r="Q38" s="60">
        <f>O38+(P38/$D$187)</f>
        <v>296</v>
      </c>
      <c r="R38" s="138">
        <f t="shared" si="2"/>
        <v>2.4978902953586499</v>
      </c>
      <c r="T38" s="2"/>
      <c r="U38" s="2"/>
      <c r="V38" s="2"/>
      <c r="W38" s="2"/>
      <c r="X38" s="138" t="str">
        <f t="shared" si="3"/>
        <v/>
      </c>
      <c r="Y38" s="2"/>
      <c r="Z38" s="2"/>
      <c r="AA38" s="2"/>
      <c r="AB38" s="2"/>
      <c r="AC38" s="138" t="str">
        <f t="shared" si="4"/>
        <v/>
      </c>
      <c r="AG38" s="138" t="str">
        <f t="shared" si="5"/>
        <v/>
      </c>
      <c r="AJ38" s="138" t="str">
        <f t="shared" si="6"/>
        <v/>
      </c>
      <c r="AM38" s="138" t="str">
        <f t="shared" si="7"/>
        <v/>
      </c>
      <c r="AN38" s="17" t="s">
        <v>32</v>
      </c>
      <c r="AO38" s="9">
        <f>$D$167*116</f>
        <v>174</v>
      </c>
      <c r="AP38" s="9">
        <v>464</v>
      </c>
      <c r="AQ38" s="138">
        <f>IFERROR(AP38/AO38,"")</f>
        <v>2.6666666666666665</v>
      </c>
      <c r="AR38" s="17">
        <f>$D$167*409</f>
        <v>613.5</v>
      </c>
      <c r="AS38" s="63">
        <v>1636</v>
      </c>
      <c r="AT38" s="138">
        <f t="shared" si="9"/>
        <v>2.6666666666666665</v>
      </c>
      <c r="AU38" s="17" t="s">
        <v>32</v>
      </c>
      <c r="AV38" s="17">
        <f>$D$167*189</f>
        <v>283.5</v>
      </c>
      <c r="AW38" s="17">
        <v>756</v>
      </c>
      <c r="AX38" s="138">
        <f t="shared" si="10"/>
        <v>2.6666666666666665</v>
      </c>
      <c r="AY38" s="17" t="s">
        <v>32</v>
      </c>
      <c r="AZ38" s="65">
        <f>$D$167*82</f>
        <v>123</v>
      </c>
      <c r="BA38" s="65">
        <v>328</v>
      </c>
      <c r="BB38" s="138">
        <f t="shared" si="11"/>
        <v>2.6666666666666665</v>
      </c>
      <c r="BC38" s="17" t="s">
        <v>32</v>
      </c>
      <c r="BD38" s="65">
        <f>$D$167*159</f>
        <v>238.5</v>
      </c>
      <c r="BE38" s="65">
        <v>596</v>
      </c>
      <c r="BF38" s="138">
        <f t="shared" si="12"/>
        <v>2.4989517819706499</v>
      </c>
      <c r="BG38" s="17" t="s">
        <v>32</v>
      </c>
      <c r="BH38" s="9">
        <v>708</v>
      </c>
      <c r="BI38" s="61">
        <v>1558</v>
      </c>
      <c r="BJ38" s="138">
        <f t="shared" si="13"/>
        <v>2.2005649717514126</v>
      </c>
      <c r="BK38" s="63">
        <v>1039</v>
      </c>
      <c r="BL38" s="63">
        <v>2266</v>
      </c>
      <c r="BM38" s="138">
        <f t="shared" si="14"/>
        <v>2.1809432146294512</v>
      </c>
      <c r="BN38" s="17" t="s">
        <v>32</v>
      </c>
      <c r="BO38" s="9">
        <v>466</v>
      </c>
      <c r="BP38" s="9">
        <v>961</v>
      </c>
      <c r="BQ38" s="138">
        <f t="shared" si="15"/>
        <v>2.0622317596566524</v>
      </c>
      <c r="BR38" s="9">
        <v>2466</v>
      </c>
      <c r="BS38" s="9">
        <v>5603</v>
      </c>
      <c r="BT38" s="138">
        <f t="shared" si="16"/>
        <v>2.2721005677210058</v>
      </c>
      <c r="BU38" s="17" t="s">
        <v>32</v>
      </c>
      <c r="BV38" s="61">
        <f>$D$101*399</f>
        <v>7980</v>
      </c>
      <c r="BW38" s="61">
        <v>8994</v>
      </c>
      <c r="BX38" s="138">
        <f t="shared" si="17"/>
        <v>1.1270676691729324</v>
      </c>
      <c r="BY38" s="61">
        <f>$D$101*134</f>
        <v>2680</v>
      </c>
      <c r="BZ38" s="61">
        <v>4973</v>
      </c>
      <c r="CA38" s="138">
        <f t="shared" si="18"/>
        <v>1.8555970149253731</v>
      </c>
      <c r="CB38" s="61">
        <f>$D$101*144</f>
        <v>2880</v>
      </c>
      <c r="CC38" s="61">
        <v>5220</v>
      </c>
      <c r="CD38" s="138">
        <f t="shared" si="19"/>
        <v>1.8125</v>
      </c>
    </row>
    <row r="39" spans="1:82" x14ac:dyDescent="0.3">
      <c r="A39" s="17" t="s">
        <v>89</v>
      </c>
      <c r="B39" s="140" t="s">
        <v>306</v>
      </c>
      <c r="C39" s="51" t="s">
        <v>4</v>
      </c>
      <c r="D39" s="2"/>
      <c r="E39" s="2"/>
      <c r="F39" s="138" t="str">
        <f t="shared" si="0"/>
        <v/>
      </c>
      <c r="G39" s="12"/>
      <c r="J39" s="2"/>
      <c r="K39" s="2"/>
      <c r="L39" s="138" t="str">
        <f t="shared" si="1"/>
        <v/>
      </c>
      <c r="M39" s="51"/>
      <c r="P39" s="2"/>
      <c r="Q39" s="2"/>
      <c r="R39" s="138" t="str">
        <f t="shared" si="2"/>
        <v/>
      </c>
      <c r="T39" s="2"/>
      <c r="U39" s="2"/>
      <c r="V39" s="2"/>
      <c r="W39" s="2"/>
      <c r="X39" s="138" t="str">
        <f t="shared" si="3"/>
        <v/>
      </c>
      <c r="Y39" s="2"/>
      <c r="Z39" s="2"/>
      <c r="AA39" s="2"/>
      <c r="AB39" s="2"/>
      <c r="AC39" s="138" t="str">
        <f t="shared" si="4"/>
        <v/>
      </c>
      <c r="AG39" s="138" t="str">
        <f t="shared" si="5"/>
        <v/>
      </c>
      <c r="AJ39" s="138" t="str">
        <f t="shared" si="6"/>
        <v/>
      </c>
      <c r="AM39" s="138" t="str">
        <f t="shared" si="7"/>
        <v/>
      </c>
      <c r="AQ39" s="138" t="str">
        <f t="shared" si="8"/>
        <v/>
      </c>
      <c r="AT39" s="138" t="str">
        <f t="shared" si="9"/>
        <v/>
      </c>
      <c r="AX39" s="138" t="str">
        <f t="shared" si="10"/>
        <v/>
      </c>
      <c r="BB39" s="138" t="str">
        <f t="shared" si="11"/>
        <v/>
      </c>
      <c r="BF39" s="138" t="str">
        <f t="shared" si="12"/>
        <v/>
      </c>
      <c r="BG39" s="17"/>
      <c r="BH39" s="9"/>
      <c r="BI39" s="61"/>
      <c r="BJ39" s="138" t="str">
        <f t="shared" si="13"/>
        <v/>
      </c>
      <c r="BK39" s="17"/>
      <c r="BL39" s="63"/>
      <c r="BM39" s="138" t="str">
        <f t="shared" si="14"/>
        <v/>
      </c>
      <c r="BN39" s="17" t="s">
        <v>32</v>
      </c>
      <c r="BO39" s="9">
        <v>236</v>
      </c>
      <c r="BP39" s="9">
        <v>2107</v>
      </c>
      <c r="BQ39" s="138">
        <f t="shared" si="15"/>
        <v>8.9279661016949152</v>
      </c>
      <c r="BR39" s="9">
        <v>812</v>
      </c>
      <c r="BS39" s="9">
        <v>4446</v>
      </c>
      <c r="BT39" s="138">
        <f t="shared" si="16"/>
        <v>5.4753694581280792</v>
      </c>
      <c r="BU39" s="17" t="s">
        <v>32</v>
      </c>
      <c r="BV39" s="61">
        <f>$D$101*30</f>
        <v>600</v>
      </c>
      <c r="BW39" s="61">
        <v>6102</v>
      </c>
      <c r="BX39" s="138">
        <f t="shared" si="17"/>
        <v>10.17</v>
      </c>
      <c r="BY39" s="61">
        <f>$D$101*35</f>
        <v>700</v>
      </c>
      <c r="BZ39" s="61">
        <v>7003</v>
      </c>
      <c r="CA39" s="138">
        <f t="shared" si="18"/>
        <v>10.004285714285714</v>
      </c>
      <c r="CB39" s="61">
        <f>$D$101*37</f>
        <v>740</v>
      </c>
      <c r="CC39" s="61">
        <v>5582</v>
      </c>
      <c r="CD39" s="138">
        <f t="shared" si="19"/>
        <v>7.5432432432432428</v>
      </c>
    </row>
    <row r="40" spans="1:82" x14ac:dyDescent="0.3">
      <c r="A40" s="17" t="s">
        <v>268</v>
      </c>
      <c r="B40" s="140" t="s">
        <v>306</v>
      </c>
      <c r="C40" s="51" t="s">
        <v>4</v>
      </c>
      <c r="D40" s="66"/>
      <c r="E40" s="78"/>
      <c r="F40" s="138" t="str">
        <f t="shared" si="0"/>
        <v/>
      </c>
      <c r="G40" s="62"/>
      <c r="H40" s="59"/>
      <c r="I40" s="59"/>
      <c r="J40" s="60"/>
      <c r="K40" s="60"/>
      <c r="L40" s="138" t="str">
        <f t="shared" si="1"/>
        <v/>
      </c>
      <c r="M40" s="17"/>
      <c r="N40" s="57"/>
      <c r="O40" s="59"/>
      <c r="P40" s="59"/>
      <c r="Q40" s="59"/>
      <c r="R40" s="138" t="str">
        <f t="shared" si="2"/>
        <v/>
      </c>
      <c r="S40" s="17"/>
      <c r="T40" s="2"/>
      <c r="U40" s="2"/>
      <c r="V40" s="2"/>
      <c r="W40" s="2"/>
      <c r="X40" s="138" t="str">
        <f t="shared" si="3"/>
        <v/>
      </c>
      <c r="Y40" s="2"/>
      <c r="Z40" s="2"/>
      <c r="AA40" s="2"/>
      <c r="AB40" s="2"/>
      <c r="AC40" s="138" t="str">
        <f t="shared" si="4"/>
        <v/>
      </c>
      <c r="AG40" s="138" t="str">
        <f t="shared" si="5"/>
        <v/>
      </c>
      <c r="AJ40" s="138" t="str">
        <f t="shared" si="6"/>
        <v/>
      </c>
      <c r="AM40" s="138" t="str">
        <f t="shared" si="7"/>
        <v/>
      </c>
      <c r="AQ40" s="138" t="str">
        <f t="shared" si="8"/>
        <v/>
      </c>
      <c r="AT40" s="138" t="str">
        <f t="shared" si="9"/>
        <v/>
      </c>
      <c r="AU40" s="17"/>
      <c r="AV40" s="17"/>
      <c r="AW40" s="63"/>
      <c r="AX40" s="138" t="str">
        <f t="shared" si="10"/>
        <v/>
      </c>
      <c r="BB40" s="138" t="str">
        <f t="shared" si="11"/>
        <v/>
      </c>
      <c r="BF40" s="138" t="str">
        <f t="shared" si="12"/>
        <v/>
      </c>
      <c r="BG40" s="17" t="s">
        <v>32</v>
      </c>
      <c r="BH40" s="9">
        <v>814</v>
      </c>
      <c r="BI40" s="61">
        <v>4886</v>
      </c>
      <c r="BJ40" s="138">
        <f t="shared" si="13"/>
        <v>6.0024570024570023</v>
      </c>
      <c r="BK40" s="63">
        <v>1227</v>
      </c>
      <c r="BL40" s="63">
        <v>7306</v>
      </c>
      <c r="BM40" s="138">
        <f t="shared" si="14"/>
        <v>5.9543602281988592</v>
      </c>
      <c r="BN40" s="17" t="s">
        <v>32</v>
      </c>
      <c r="BO40" s="9">
        <v>1255</v>
      </c>
      <c r="BP40" s="9">
        <v>6969</v>
      </c>
      <c r="BQ40" s="138">
        <f t="shared" si="15"/>
        <v>5.552988047808765</v>
      </c>
      <c r="BR40" s="9">
        <v>1794</v>
      </c>
      <c r="BS40" s="9">
        <v>9074</v>
      </c>
      <c r="BT40" s="138">
        <f t="shared" si="16"/>
        <v>5.0579710144927539</v>
      </c>
      <c r="BU40" s="17" t="s">
        <v>32</v>
      </c>
      <c r="BV40" s="61">
        <f>$D$101*197</f>
        <v>3940</v>
      </c>
      <c r="BW40" s="61">
        <v>18506</v>
      </c>
      <c r="BX40" s="138">
        <f t="shared" si="17"/>
        <v>4.6969543147208119</v>
      </c>
      <c r="BY40" s="61">
        <f>$D$101*251</f>
        <v>5020</v>
      </c>
      <c r="BZ40" s="61">
        <v>18440</v>
      </c>
      <c r="CA40" s="138">
        <f t="shared" si="18"/>
        <v>3.6733067729083664</v>
      </c>
      <c r="CB40" s="61">
        <f>$D$101*47</f>
        <v>940</v>
      </c>
      <c r="CC40" s="61">
        <v>3483</v>
      </c>
      <c r="CD40" s="138">
        <f t="shared" si="19"/>
        <v>3.7053191489361703</v>
      </c>
    </row>
    <row r="41" spans="1:82" x14ac:dyDescent="0.3">
      <c r="A41" s="17" t="s">
        <v>192</v>
      </c>
      <c r="B41" s="140" t="s">
        <v>306</v>
      </c>
      <c r="C41" s="51" t="s">
        <v>4</v>
      </c>
      <c r="D41" s="2"/>
      <c r="E41" s="2"/>
      <c r="F41" s="138" t="str">
        <f t="shared" si="0"/>
        <v/>
      </c>
      <c r="G41" s="12"/>
      <c r="J41" s="2"/>
      <c r="K41" s="2"/>
      <c r="L41" s="138" t="str">
        <f t="shared" si="1"/>
        <v/>
      </c>
      <c r="M41" s="51"/>
      <c r="P41" s="2"/>
      <c r="Q41" s="2"/>
      <c r="R41" s="138" t="str">
        <f t="shared" si="2"/>
        <v/>
      </c>
      <c r="S41" s="17" t="s">
        <v>4</v>
      </c>
      <c r="T41" s="9">
        <v>373</v>
      </c>
      <c r="U41" s="9">
        <v>2450</v>
      </c>
      <c r="V41" s="9">
        <v>0</v>
      </c>
      <c r="W41" s="60">
        <f>U41+(V41/$D$187)</f>
        <v>2450</v>
      </c>
      <c r="X41" s="138">
        <f t="shared" si="3"/>
        <v>6.568364611260054</v>
      </c>
      <c r="Y41" s="57">
        <v>422</v>
      </c>
      <c r="Z41" s="9">
        <v>1291</v>
      </c>
      <c r="AA41" s="9">
        <v>0</v>
      </c>
      <c r="AB41" s="60">
        <f>Z41+(AA41/$D$187)</f>
        <v>1291</v>
      </c>
      <c r="AC41" s="138">
        <f t="shared" si="4"/>
        <v>3.0592417061611372</v>
      </c>
      <c r="AD41" s="17" t="s">
        <v>4</v>
      </c>
      <c r="AE41" s="64">
        <v>219</v>
      </c>
      <c r="AF41" s="64">
        <v>395</v>
      </c>
      <c r="AG41" s="138">
        <f t="shared" si="5"/>
        <v>1.8036529680365296</v>
      </c>
      <c r="AH41" s="63">
        <v>1004</v>
      </c>
      <c r="AI41" s="63">
        <v>1395</v>
      </c>
      <c r="AJ41" s="138">
        <f t="shared" si="6"/>
        <v>1.3894422310756973</v>
      </c>
      <c r="AK41" s="67">
        <v>462.5</v>
      </c>
      <c r="AL41" s="63">
        <v>694</v>
      </c>
      <c r="AM41" s="138">
        <f t="shared" si="7"/>
        <v>1.5005405405405405</v>
      </c>
      <c r="AN41" s="17" t="s">
        <v>4</v>
      </c>
      <c r="AO41" s="63">
        <v>188</v>
      </c>
      <c r="AP41" s="17">
        <v>233</v>
      </c>
      <c r="AQ41" s="138">
        <f t="shared" si="8"/>
        <v>1.2393617021276595</v>
      </c>
      <c r="AR41" s="17">
        <v>408</v>
      </c>
      <c r="AS41" s="17">
        <v>382</v>
      </c>
      <c r="AT41" s="138">
        <f t="shared" si="9"/>
        <v>0.93627450980392157</v>
      </c>
      <c r="AU41" s="17" t="s">
        <v>4</v>
      </c>
      <c r="AV41" s="17">
        <v>821</v>
      </c>
      <c r="AW41" s="17">
        <v>1227</v>
      </c>
      <c r="AX41" s="138">
        <f t="shared" si="10"/>
        <v>1.4945188794153472</v>
      </c>
      <c r="AY41" s="17" t="s">
        <v>4</v>
      </c>
      <c r="AZ41" s="65">
        <v>306</v>
      </c>
      <c r="BA41" s="65">
        <v>410</v>
      </c>
      <c r="BB41" s="138">
        <f t="shared" si="11"/>
        <v>1.3398692810457515</v>
      </c>
      <c r="BC41" s="17" t="s">
        <v>4</v>
      </c>
      <c r="BD41" s="65">
        <v>598</v>
      </c>
      <c r="BE41" s="65">
        <v>629</v>
      </c>
      <c r="BF41" s="138">
        <f t="shared" si="12"/>
        <v>1.0518394648829432</v>
      </c>
      <c r="BG41" s="17" t="s">
        <v>32</v>
      </c>
      <c r="BH41" s="9">
        <v>418</v>
      </c>
      <c r="BI41" s="9">
        <v>37</v>
      </c>
      <c r="BJ41" s="138">
        <f t="shared" si="13"/>
        <v>8.8516746411483258E-2</v>
      </c>
      <c r="BK41" s="63">
        <v>1417</v>
      </c>
      <c r="BL41" s="63">
        <v>2758</v>
      </c>
      <c r="BM41" s="138">
        <f t="shared" si="14"/>
        <v>1.9463655610444601</v>
      </c>
      <c r="BN41" s="9" t="s">
        <v>32</v>
      </c>
      <c r="BO41" s="9">
        <v>1820</v>
      </c>
      <c r="BP41" s="9">
        <v>2239</v>
      </c>
      <c r="BQ41" s="138">
        <f t="shared" si="15"/>
        <v>1.2302197802197803</v>
      </c>
      <c r="BR41" s="9">
        <v>819</v>
      </c>
      <c r="BS41" s="9">
        <v>2000</v>
      </c>
      <c r="BT41" s="138">
        <f t="shared" si="16"/>
        <v>2.4420024420024422</v>
      </c>
      <c r="BU41" s="17" t="s">
        <v>32</v>
      </c>
      <c r="BV41" s="61">
        <f>$D$101*4250</f>
        <v>85000</v>
      </c>
      <c r="BW41" s="61">
        <v>10571</v>
      </c>
      <c r="BX41" s="138">
        <f t="shared" si="17"/>
        <v>0.12436470588235295</v>
      </c>
      <c r="BY41" s="61">
        <f>$D$101*2893</f>
        <v>57860</v>
      </c>
      <c r="BZ41" s="61">
        <v>767</v>
      </c>
      <c r="CA41" s="138">
        <f t="shared" si="18"/>
        <v>1.3256135499481507E-2</v>
      </c>
      <c r="CB41" s="61">
        <f>$D$101*2</f>
        <v>40</v>
      </c>
      <c r="CC41" s="61">
        <v>415</v>
      </c>
      <c r="CD41" s="138">
        <f t="shared" si="19"/>
        <v>10.375</v>
      </c>
    </row>
    <row r="42" spans="1:82" x14ac:dyDescent="0.3">
      <c r="A42" s="17" t="s">
        <v>269</v>
      </c>
      <c r="B42" s="140" t="s">
        <v>306</v>
      </c>
      <c r="C42" s="51" t="s">
        <v>4</v>
      </c>
      <c r="D42" s="2"/>
      <c r="E42" s="2"/>
      <c r="F42" s="138" t="str">
        <f t="shared" si="0"/>
        <v/>
      </c>
      <c r="G42" s="62"/>
      <c r="J42" s="2"/>
      <c r="K42" s="2"/>
      <c r="L42" s="138" t="str">
        <f t="shared" si="1"/>
        <v/>
      </c>
      <c r="M42" s="17"/>
      <c r="N42" s="57"/>
      <c r="O42" s="59"/>
      <c r="P42" s="60"/>
      <c r="Q42" s="60"/>
      <c r="R42" s="138" t="str">
        <f t="shared" si="2"/>
        <v/>
      </c>
      <c r="S42" s="17"/>
      <c r="T42" s="9"/>
      <c r="U42" s="9"/>
      <c r="V42" s="9"/>
      <c r="W42" s="9"/>
      <c r="X42" s="138" t="str">
        <f t="shared" si="3"/>
        <v/>
      </c>
      <c r="Y42" s="66"/>
      <c r="Z42" s="9"/>
      <c r="AA42" s="9"/>
      <c r="AB42" s="9"/>
      <c r="AC42" s="138" t="str">
        <f t="shared" si="4"/>
        <v/>
      </c>
      <c r="AD42" s="17"/>
      <c r="AE42" s="64"/>
      <c r="AF42" s="64"/>
      <c r="AG42" s="138" t="str">
        <f t="shared" si="5"/>
        <v/>
      </c>
      <c r="AH42" s="17"/>
      <c r="AI42" s="17"/>
      <c r="AJ42" s="138" t="str">
        <f t="shared" si="6"/>
        <v/>
      </c>
      <c r="AK42" s="17"/>
      <c r="AL42" s="63"/>
      <c r="AM42" s="138" t="str">
        <f t="shared" si="7"/>
        <v/>
      </c>
      <c r="AN42" s="17"/>
      <c r="AO42" s="63"/>
      <c r="AP42" s="17"/>
      <c r="AQ42" s="138" t="str">
        <f t="shared" si="8"/>
        <v/>
      </c>
      <c r="AR42" s="17"/>
      <c r="AS42" s="63"/>
      <c r="AT42" s="138" t="str">
        <f t="shared" si="9"/>
        <v/>
      </c>
      <c r="AU42" s="17"/>
      <c r="AV42" s="17"/>
      <c r="AW42" s="63"/>
      <c r="AX42" s="138" t="str">
        <f t="shared" si="10"/>
        <v/>
      </c>
      <c r="AY42" s="17"/>
      <c r="AZ42" s="65"/>
      <c r="BA42" s="65"/>
      <c r="BB42" s="138" t="str">
        <f t="shared" si="11"/>
        <v/>
      </c>
      <c r="BC42" s="17"/>
      <c r="BD42" s="65"/>
      <c r="BE42" s="65"/>
      <c r="BF42" s="138" t="str">
        <f t="shared" si="12"/>
        <v/>
      </c>
      <c r="BH42" s="9"/>
      <c r="BI42" s="61"/>
      <c r="BJ42" s="138" t="str">
        <f t="shared" si="13"/>
        <v/>
      </c>
      <c r="BK42" s="17"/>
      <c r="BL42" s="63"/>
      <c r="BM42" s="138" t="str">
        <f t="shared" si="14"/>
        <v/>
      </c>
      <c r="BN42" s="17" t="s">
        <v>32</v>
      </c>
      <c r="BO42" s="61">
        <v>5971</v>
      </c>
      <c r="BP42" s="61">
        <v>6629</v>
      </c>
      <c r="BQ42" s="138">
        <f t="shared" si="15"/>
        <v>1.1101992966002345</v>
      </c>
      <c r="BR42" s="61">
        <v>217345</v>
      </c>
      <c r="BS42" s="61">
        <v>599700</v>
      </c>
      <c r="BT42" s="138">
        <f t="shared" si="16"/>
        <v>2.7592077112424946</v>
      </c>
      <c r="BU42" s="17" t="s">
        <v>32</v>
      </c>
      <c r="BV42" s="61">
        <f>$D$101*5073</f>
        <v>101460</v>
      </c>
      <c r="BW42" s="61">
        <v>71488</v>
      </c>
      <c r="BX42" s="138">
        <f t="shared" si="17"/>
        <v>0.7045929430317367</v>
      </c>
      <c r="BY42" s="61">
        <f>$D$101*6630</f>
        <v>132600</v>
      </c>
      <c r="BZ42" s="61">
        <v>145151</v>
      </c>
      <c r="CA42" s="138">
        <f t="shared" si="18"/>
        <v>1.0946530920060331</v>
      </c>
      <c r="CB42" s="61">
        <f>$D$101*2529</f>
        <v>50580</v>
      </c>
      <c r="CC42" s="61">
        <v>49198</v>
      </c>
      <c r="CD42" s="138">
        <f t="shared" si="19"/>
        <v>0.97267694741004351</v>
      </c>
    </row>
    <row r="43" spans="1:82" x14ac:dyDescent="0.3">
      <c r="A43" s="9" t="s">
        <v>270</v>
      </c>
      <c r="B43" s="140" t="s">
        <v>306</v>
      </c>
      <c r="C43" s="51" t="s">
        <v>4</v>
      </c>
      <c r="D43" s="2"/>
      <c r="E43" s="2"/>
      <c r="F43" s="138" t="str">
        <f t="shared" si="0"/>
        <v/>
      </c>
      <c r="G43" s="62"/>
      <c r="J43" s="2"/>
      <c r="K43" s="2"/>
      <c r="L43" s="138" t="str">
        <f t="shared" si="1"/>
        <v/>
      </c>
      <c r="M43" s="17"/>
      <c r="N43" s="57"/>
      <c r="O43" s="59"/>
      <c r="P43" s="60"/>
      <c r="Q43" s="60"/>
      <c r="R43" s="138" t="str">
        <f t="shared" si="2"/>
        <v/>
      </c>
      <c r="S43" s="17"/>
      <c r="T43" s="9"/>
      <c r="U43" s="9"/>
      <c r="V43" s="9"/>
      <c r="W43" s="9"/>
      <c r="X43" s="138" t="str">
        <f t="shared" si="3"/>
        <v/>
      </c>
      <c r="Y43" s="66"/>
      <c r="Z43" s="9"/>
      <c r="AA43" s="9"/>
      <c r="AB43" s="9"/>
      <c r="AC43" s="138" t="str">
        <f t="shared" si="4"/>
        <v/>
      </c>
      <c r="AD43" s="17"/>
      <c r="AE43" s="64"/>
      <c r="AF43" s="64"/>
      <c r="AG43" s="138" t="str">
        <f t="shared" si="5"/>
        <v/>
      </c>
      <c r="AH43" s="17"/>
      <c r="AI43" s="17"/>
      <c r="AJ43" s="138" t="str">
        <f t="shared" si="6"/>
        <v/>
      </c>
      <c r="AK43" s="17"/>
      <c r="AL43" s="63"/>
      <c r="AM43" s="138" t="str">
        <f t="shared" si="7"/>
        <v/>
      </c>
      <c r="AN43" s="17"/>
      <c r="AO43" s="63"/>
      <c r="AP43" s="17"/>
      <c r="AQ43" s="138" t="str">
        <f t="shared" si="8"/>
        <v/>
      </c>
      <c r="AR43" s="17"/>
      <c r="AS43" s="63"/>
      <c r="AT43" s="138" t="str">
        <f t="shared" si="9"/>
        <v/>
      </c>
      <c r="AU43" s="17"/>
      <c r="AV43" s="17"/>
      <c r="AW43" s="63"/>
      <c r="AX43" s="138" t="str">
        <f t="shared" si="10"/>
        <v/>
      </c>
      <c r="AY43" s="17"/>
      <c r="AZ43" s="65"/>
      <c r="BA43" s="65"/>
      <c r="BB43" s="138" t="str">
        <f t="shared" si="11"/>
        <v/>
      </c>
      <c r="BC43" s="17"/>
      <c r="BD43" s="65"/>
      <c r="BE43" s="65"/>
      <c r="BF43" s="138" t="str">
        <f t="shared" si="12"/>
        <v/>
      </c>
      <c r="BH43" s="9"/>
      <c r="BI43" s="61"/>
      <c r="BJ43" s="138" t="str">
        <f t="shared" si="13"/>
        <v/>
      </c>
      <c r="BK43" s="17"/>
      <c r="BL43" s="63"/>
      <c r="BM43" s="138" t="str">
        <f t="shared" si="14"/>
        <v/>
      </c>
      <c r="BN43" s="9" t="s">
        <v>32</v>
      </c>
      <c r="BO43" s="61">
        <v>163</v>
      </c>
      <c r="BP43" s="61">
        <v>1128</v>
      </c>
      <c r="BQ43" s="138">
        <f t="shared" si="15"/>
        <v>6.9202453987730062</v>
      </c>
      <c r="BR43" s="61">
        <v>135</v>
      </c>
      <c r="BS43" s="61">
        <v>491</v>
      </c>
      <c r="BT43" s="138">
        <f t="shared" si="16"/>
        <v>3.6370370370370368</v>
      </c>
      <c r="BU43" s="17"/>
      <c r="BV43" s="61"/>
      <c r="BW43" s="61"/>
      <c r="BX43" s="138" t="str">
        <f t="shared" si="17"/>
        <v/>
      </c>
      <c r="BY43" s="61"/>
      <c r="BZ43" s="61"/>
      <c r="CA43" s="138" t="str">
        <f t="shared" si="18"/>
        <v/>
      </c>
      <c r="CB43" s="61"/>
      <c r="CC43" s="61"/>
      <c r="CD43" s="138" t="str">
        <f t="shared" si="19"/>
        <v/>
      </c>
    </row>
    <row r="44" spans="1:82" x14ac:dyDescent="0.3">
      <c r="A44" s="9" t="s">
        <v>94</v>
      </c>
      <c r="B44" s="140" t="s">
        <v>306</v>
      </c>
      <c r="C44" s="51" t="s">
        <v>4</v>
      </c>
      <c r="D44" s="2"/>
      <c r="E44" s="2"/>
      <c r="F44" s="138" t="str">
        <f t="shared" si="0"/>
        <v/>
      </c>
      <c r="G44" s="80"/>
      <c r="J44" s="2"/>
      <c r="K44" s="2"/>
      <c r="L44" s="138" t="str">
        <f t="shared" si="1"/>
        <v/>
      </c>
      <c r="M44" s="51"/>
      <c r="O44" s="81"/>
      <c r="P44" s="81"/>
      <c r="Q44" s="81"/>
      <c r="R44" s="138" t="str">
        <f t="shared" si="2"/>
        <v/>
      </c>
      <c r="T44" s="2"/>
      <c r="U44" s="2"/>
      <c r="V44" s="2"/>
      <c r="W44" s="2"/>
      <c r="X44" s="138" t="str">
        <f t="shared" si="3"/>
        <v/>
      </c>
      <c r="Y44" s="2"/>
      <c r="Z44" s="2"/>
      <c r="AA44" s="2"/>
      <c r="AB44" s="2"/>
      <c r="AC44" s="138" t="str">
        <f t="shared" si="4"/>
        <v/>
      </c>
      <c r="AG44" s="138" t="str">
        <f t="shared" si="5"/>
        <v/>
      </c>
      <c r="AJ44" s="138" t="str">
        <f t="shared" si="6"/>
        <v/>
      </c>
      <c r="AK44" s="17"/>
      <c r="AL44" s="17"/>
      <c r="AM44" s="138" t="str">
        <f t="shared" si="7"/>
        <v/>
      </c>
      <c r="AQ44" s="138" t="str">
        <f t="shared" si="8"/>
        <v/>
      </c>
      <c r="AR44" s="17"/>
      <c r="AS44" s="63"/>
      <c r="AT44" s="138" t="str">
        <f t="shared" si="9"/>
        <v/>
      </c>
      <c r="AU44" s="17"/>
      <c r="AV44" s="17"/>
      <c r="AW44" s="17"/>
      <c r="AX44" s="138" t="str">
        <f t="shared" si="10"/>
        <v/>
      </c>
      <c r="AY44" s="17"/>
      <c r="BB44" s="138" t="str">
        <f t="shared" si="11"/>
        <v/>
      </c>
      <c r="BC44" s="17"/>
      <c r="BF44" s="138" t="str">
        <f t="shared" si="12"/>
        <v/>
      </c>
      <c r="BH44" s="9"/>
      <c r="BI44" s="9"/>
      <c r="BJ44" s="138" t="str">
        <f t="shared" si="13"/>
        <v/>
      </c>
      <c r="BM44" s="138" t="str">
        <f t="shared" si="14"/>
        <v/>
      </c>
      <c r="BN44" s="51" t="s">
        <v>32</v>
      </c>
      <c r="BO44" s="2">
        <v>8954</v>
      </c>
      <c r="BP44" s="2">
        <v>3502</v>
      </c>
      <c r="BQ44" s="138">
        <f t="shared" si="15"/>
        <v>0.39111011838284565</v>
      </c>
      <c r="BR44" s="2"/>
      <c r="BS44" s="2"/>
      <c r="BT44" s="138" t="str">
        <f t="shared" si="16"/>
        <v/>
      </c>
      <c r="BV44" s="61"/>
      <c r="BW44" s="61"/>
      <c r="BX44" s="138" t="str">
        <f t="shared" si="17"/>
        <v/>
      </c>
      <c r="BY44" s="61"/>
      <c r="BZ44" s="61"/>
      <c r="CA44" s="138" t="str">
        <f t="shared" si="18"/>
        <v/>
      </c>
      <c r="CB44" s="61"/>
      <c r="CC44" s="61"/>
      <c r="CD44" s="138" t="str">
        <f t="shared" si="19"/>
        <v/>
      </c>
    </row>
    <row r="45" spans="1:82" x14ac:dyDescent="0.3">
      <c r="A45" s="17" t="s">
        <v>79</v>
      </c>
      <c r="B45" s="140" t="s">
        <v>306</v>
      </c>
      <c r="C45" s="51" t="s">
        <v>4</v>
      </c>
      <c r="D45" s="2"/>
      <c r="E45" s="2"/>
      <c r="F45" s="138" t="str">
        <f t="shared" si="0"/>
        <v/>
      </c>
      <c r="G45" s="12"/>
      <c r="J45" s="2"/>
      <c r="K45" s="2"/>
      <c r="L45" s="138" t="str">
        <f t="shared" si="1"/>
        <v/>
      </c>
      <c r="M45" s="51"/>
      <c r="P45" s="2"/>
      <c r="Q45" s="2"/>
      <c r="R45" s="138" t="str">
        <f t="shared" si="2"/>
        <v/>
      </c>
      <c r="T45" s="2"/>
      <c r="U45" s="2"/>
      <c r="V45" s="2"/>
      <c r="W45" s="2"/>
      <c r="X45" s="138" t="str">
        <f t="shared" si="3"/>
        <v/>
      </c>
      <c r="Y45" s="2"/>
      <c r="Z45" s="2"/>
      <c r="AA45" s="2"/>
      <c r="AB45" s="2"/>
      <c r="AC45" s="138" t="str">
        <f t="shared" si="4"/>
        <v/>
      </c>
      <c r="AG45" s="138" t="str">
        <f t="shared" si="5"/>
        <v/>
      </c>
      <c r="AJ45" s="138" t="str">
        <f t="shared" si="6"/>
        <v/>
      </c>
      <c r="AM45" s="138" t="str">
        <f t="shared" si="7"/>
        <v/>
      </c>
      <c r="AQ45" s="138" t="str">
        <f t="shared" si="8"/>
        <v/>
      </c>
      <c r="AT45" s="138" t="str">
        <f t="shared" si="9"/>
        <v/>
      </c>
      <c r="AX45" s="138" t="str">
        <f t="shared" si="10"/>
        <v/>
      </c>
      <c r="BB45" s="138" t="str">
        <f t="shared" si="11"/>
        <v/>
      </c>
      <c r="BF45" s="138" t="str">
        <f t="shared" si="12"/>
        <v/>
      </c>
      <c r="BG45" s="17"/>
      <c r="BH45" s="9"/>
      <c r="BI45" s="61"/>
      <c r="BJ45" s="138" t="str">
        <f t="shared" si="13"/>
        <v/>
      </c>
      <c r="BK45" s="17"/>
      <c r="BL45" s="63"/>
      <c r="BM45" s="138" t="str">
        <f t="shared" si="14"/>
        <v/>
      </c>
      <c r="BN45" s="17" t="s">
        <v>32</v>
      </c>
      <c r="BO45" s="61">
        <v>164</v>
      </c>
      <c r="BP45" s="61">
        <v>2663</v>
      </c>
      <c r="BQ45" s="138">
        <f t="shared" si="15"/>
        <v>16.237804878048781</v>
      </c>
      <c r="BR45" s="61">
        <v>1031</v>
      </c>
      <c r="BS45" s="61">
        <v>27472</v>
      </c>
      <c r="BT45" s="138">
        <f t="shared" si="16"/>
        <v>26.645974781765275</v>
      </c>
      <c r="BU45" s="17" t="s">
        <v>32</v>
      </c>
      <c r="BV45" s="61">
        <f>$D$101*48</f>
        <v>960</v>
      </c>
      <c r="BW45" s="61">
        <v>10215</v>
      </c>
      <c r="BX45" s="138">
        <f t="shared" si="17"/>
        <v>10.640625</v>
      </c>
      <c r="BY45" s="61">
        <f>$D$101*481</f>
        <v>9620</v>
      </c>
      <c r="BZ45" s="61">
        <v>5103</v>
      </c>
      <c r="CA45" s="138">
        <f t="shared" si="18"/>
        <v>0.53045738045738045</v>
      </c>
      <c r="CB45" s="61">
        <f>$D$101*31</f>
        <v>620</v>
      </c>
      <c r="CC45" s="61">
        <v>2163</v>
      </c>
      <c r="CD45" s="138">
        <f t="shared" si="19"/>
        <v>3.4887096774193549</v>
      </c>
    </row>
    <row r="46" spans="1:82" x14ac:dyDescent="0.3">
      <c r="A46" s="17" t="s">
        <v>271</v>
      </c>
      <c r="B46" s="140" t="s">
        <v>306</v>
      </c>
      <c r="C46" s="51" t="s">
        <v>4</v>
      </c>
      <c r="D46" s="2"/>
      <c r="E46" s="2"/>
      <c r="F46" s="138" t="str">
        <f t="shared" si="0"/>
        <v/>
      </c>
      <c r="G46" s="12"/>
      <c r="J46" s="2"/>
      <c r="K46" s="2"/>
      <c r="L46" s="138" t="str">
        <f t="shared" si="1"/>
        <v/>
      </c>
      <c r="M46" s="51"/>
      <c r="P46" s="2"/>
      <c r="Q46" s="2"/>
      <c r="R46" s="138" t="str">
        <f t="shared" si="2"/>
        <v/>
      </c>
      <c r="T46" s="2"/>
      <c r="U46" s="2"/>
      <c r="V46" s="2"/>
      <c r="W46" s="2"/>
      <c r="X46" s="138" t="str">
        <f t="shared" si="3"/>
        <v/>
      </c>
      <c r="Y46" s="2"/>
      <c r="Z46" s="2"/>
      <c r="AA46" s="2"/>
      <c r="AB46" s="2"/>
      <c r="AC46" s="138" t="str">
        <f t="shared" si="4"/>
        <v/>
      </c>
      <c r="AG46" s="138" t="str">
        <f t="shared" si="5"/>
        <v/>
      </c>
      <c r="AJ46" s="138" t="str">
        <f t="shared" si="6"/>
        <v/>
      </c>
      <c r="AM46" s="138" t="str">
        <f t="shared" si="7"/>
        <v/>
      </c>
      <c r="AQ46" s="138" t="str">
        <f t="shared" si="8"/>
        <v/>
      </c>
      <c r="AT46" s="138" t="str">
        <f t="shared" si="9"/>
        <v/>
      </c>
      <c r="AX46" s="138" t="str">
        <f t="shared" si="10"/>
        <v/>
      </c>
      <c r="BB46" s="138" t="str">
        <f t="shared" si="11"/>
        <v/>
      </c>
      <c r="BF46" s="138" t="str">
        <f t="shared" si="12"/>
        <v/>
      </c>
      <c r="BG46" s="17"/>
      <c r="BH46" s="9"/>
      <c r="BI46" s="9"/>
      <c r="BJ46" s="138" t="str">
        <f t="shared" si="13"/>
        <v/>
      </c>
      <c r="BK46" s="17"/>
      <c r="BL46" s="17"/>
      <c r="BM46" s="138" t="str">
        <f t="shared" si="14"/>
        <v/>
      </c>
      <c r="BN46" s="17" t="s">
        <v>32</v>
      </c>
      <c r="BO46" s="61">
        <v>173</v>
      </c>
      <c r="BP46" s="61">
        <v>554</v>
      </c>
      <c r="BQ46" s="138">
        <f t="shared" si="15"/>
        <v>3.2023121387283235</v>
      </c>
      <c r="BR46" s="61">
        <v>139</v>
      </c>
      <c r="BS46" s="61">
        <v>441</v>
      </c>
      <c r="BT46" s="138">
        <f t="shared" si="16"/>
        <v>3.1726618705035969</v>
      </c>
      <c r="BU46" s="17" t="s">
        <v>32</v>
      </c>
      <c r="BV46" s="61">
        <f>$D$101*36</f>
        <v>720</v>
      </c>
      <c r="BW46" s="61">
        <v>2229</v>
      </c>
      <c r="BX46" s="138">
        <f t="shared" si="17"/>
        <v>3.0958333333333332</v>
      </c>
      <c r="BY46" s="61">
        <f>$D$101*47</f>
        <v>940</v>
      </c>
      <c r="BZ46" s="61">
        <v>2040</v>
      </c>
      <c r="CA46" s="138">
        <f t="shared" si="18"/>
        <v>2.1702127659574466</v>
      </c>
      <c r="CB46" s="61">
        <f>$D$101*27</f>
        <v>540</v>
      </c>
      <c r="CC46" s="61">
        <v>1828</v>
      </c>
      <c r="CD46" s="138">
        <f t="shared" si="19"/>
        <v>3.3851851851851853</v>
      </c>
    </row>
    <row r="47" spans="1:82" x14ac:dyDescent="0.3">
      <c r="A47" s="51" t="s">
        <v>85</v>
      </c>
      <c r="B47" s="140" t="s">
        <v>306</v>
      </c>
      <c r="C47" s="51" t="s">
        <v>4</v>
      </c>
      <c r="D47" s="57">
        <f>$F$180*217</f>
        <v>217</v>
      </c>
      <c r="E47" s="57">
        <v>743</v>
      </c>
      <c r="F47" s="138">
        <f t="shared" si="0"/>
        <v>3.4239631336405529</v>
      </c>
      <c r="G47" s="51" t="s">
        <v>4</v>
      </c>
      <c r="H47" s="57">
        <f>$F$180*257</f>
        <v>257</v>
      </c>
      <c r="I47" s="59">
        <v>2570</v>
      </c>
      <c r="J47" s="60">
        <v>0</v>
      </c>
      <c r="K47" s="60">
        <f>I47+(J47/$D$187)</f>
        <v>2570</v>
      </c>
      <c r="L47" s="138">
        <f t="shared" si="1"/>
        <v>10</v>
      </c>
      <c r="M47" s="51" t="s">
        <v>4</v>
      </c>
      <c r="N47" s="57">
        <f>$F$180*234</f>
        <v>234</v>
      </c>
      <c r="O47" s="59">
        <v>2340</v>
      </c>
      <c r="P47" s="60">
        <v>0</v>
      </c>
      <c r="Q47" s="60">
        <f>O47+(P47/$D$187)</f>
        <v>2340</v>
      </c>
      <c r="R47" s="138">
        <f t="shared" si="2"/>
        <v>10</v>
      </c>
      <c r="S47" s="51" t="s">
        <v>4</v>
      </c>
      <c r="T47" s="9">
        <f>$F$180*184</f>
        <v>184</v>
      </c>
      <c r="U47" s="9">
        <v>1636</v>
      </c>
      <c r="V47" s="9">
        <v>0</v>
      </c>
      <c r="W47" s="60">
        <f>U47+(V47/$D$187)</f>
        <v>1636</v>
      </c>
      <c r="X47" s="138">
        <f t="shared" si="3"/>
        <v>8.8913043478260878</v>
      </c>
      <c r="Y47" s="57">
        <f>$F$180*296</f>
        <v>296</v>
      </c>
      <c r="Z47" s="57">
        <v>1624</v>
      </c>
      <c r="AA47" s="9">
        <v>0</v>
      </c>
      <c r="AB47" s="60">
        <f>Z47+(AA47/$D$187)</f>
        <v>1624</v>
      </c>
      <c r="AC47" s="138">
        <f t="shared" si="4"/>
        <v>5.4864864864864868</v>
      </c>
      <c r="AG47" s="138" t="str">
        <f t="shared" si="5"/>
        <v/>
      </c>
      <c r="AJ47" s="138" t="str">
        <f t="shared" si="6"/>
        <v/>
      </c>
      <c r="AM47" s="138" t="str">
        <f t="shared" si="7"/>
        <v/>
      </c>
      <c r="AQ47" s="138" t="str">
        <f t="shared" si="8"/>
        <v/>
      </c>
      <c r="AT47" s="138" t="str">
        <f t="shared" si="9"/>
        <v/>
      </c>
      <c r="AX47" s="138" t="str">
        <f t="shared" si="10"/>
        <v/>
      </c>
      <c r="BB47" s="138" t="str">
        <f t="shared" si="11"/>
        <v/>
      </c>
      <c r="BF47" s="138" t="str">
        <f t="shared" si="12"/>
        <v/>
      </c>
      <c r="BH47" s="2"/>
      <c r="BI47" s="2"/>
      <c r="BJ47" s="138" t="str">
        <f t="shared" si="13"/>
        <v/>
      </c>
      <c r="BM47" s="138" t="str">
        <f t="shared" si="14"/>
        <v/>
      </c>
      <c r="BO47" s="61"/>
      <c r="BP47" s="61"/>
      <c r="BQ47" s="138" t="str">
        <f t="shared" si="15"/>
        <v/>
      </c>
      <c r="BR47" s="61"/>
      <c r="BS47" s="61"/>
      <c r="BT47" s="138" t="str">
        <f t="shared" si="16"/>
        <v/>
      </c>
      <c r="BV47" s="61"/>
      <c r="BW47" s="61"/>
      <c r="BX47" s="138" t="str">
        <f t="shared" si="17"/>
        <v/>
      </c>
      <c r="BY47" s="61"/>
      <c r="BZ47" s="61"/>
      <c r="CA47" s="138" t="str">
        <f t="shared" si="18"/>
        <v/>
      </c>
      <c r="CB47" s="61"/>
      <c r="CC47" s="61"/>
      <c r="CD47" s="138" t="str">
        <f t="shared" si="19"/>
        <v/>
      </c>
    </row>
    <row r="48" spans="1:82" x14ac:dyDescent="0.3">
      <c r="A48" s="51" t="s">
        <v>344</v>
      </c>
      <c r="B48" s="140" t="s">
        <v>308</v>
      </c>
      <c r="C48" s="139" t="s">
        <v>21</v>
      </c>
      <c r="D48" s="66">
        <v>2169</v>
      </c>
      <c r="E48" s="66">
        <v>43380</v>
      </c>
      <c r="F48" s="138">
        <f t="shared" si="0"/>
        <v>20</v>
      </c>
      <c r="G48" s="9" t="s">
        <v>21</v>
      </c>
      <c r="H48" s="57">
        <v>602</v>
      </c>
      <c r="I48" s="59">
        <v>9300</v>
      </c>
      <c r="J48" s="60">
        <v>0</v>
      </c>
      <c r="K48" s="60">
        <f>I48+(J48/$D$187)</f>
        <v>9300</v>
      </c>
      <c r="L48" s="138">
        <f t="shared" si="1"/>
        <v>15.448504983388704</v>
      </c>
      <c r="M48" s="17" t="s">
        <v>21</v>
      </c>
      <c r="N48" s="57">
        <v>2593</v>
      </c>
      <c r="O48" s="59">
        <v>38895</v>
      </c>
      <c r="P48" s="60">
        <v>0</v>
      </c>
      <c r="Q48" s="60">
        <f>O48+(P48/$D$187)</f>
        <v>38895</v>
      </c>
      <c r="R48" s="138">
        <f t="shared" si="2"/>
        <v>15</v>
      </c>
      <c r="S48" s="51" t="s">
        <v>4</v>
      </c>
      <c r="T48" s="9">
        <f>$F$181*1409</f>
        <v>2855.7410714285716</v>
      </c>
      <c r="U48" s="9">
        <v>21065</v>
      </c>
      <c r="V48" s="9">
        <v>0</v>
      </c>
      <c r="W48" s="60">
        <f>U48+(V48/$D$187)</f>
        <v>21065</v>
      </c>
      <c r="X48" s="138">
        <f t="shared" si="3"/>
        <v>7.3763690310558614</v>
      </c>
      <c r="Y48" s="57">
        <f>$F$181*2745</f>
        <v>5563.5267857142862</v>
      </c>
      <c r="Z48" s="82">
        <v>41512</v>
      </c>
      <c r="AA48" s="9">
        <v>0</v>
      </c>
      <c r="AB48" s="60">
        <f>Z48+(AA48/$D$187)</f>
        <v>41512</v>
      </c>
      <c r="AC48" s="138">
        <f t="shared" si="4"/>
        <v>7.4614541457034411</v>
      </c>
      <c r="AG48" s="138" t="str">
        <f t="shared" si="5"/>
        <v/>
      </c>
      <c r="AJ48" s="138" t="str">
        <f t="shared" si="6"/>
        <v/>
      </c>
      <c r="AM48" s="138" t="str">
        <f t="shared" si="7"/>
        <v/>
      </c>
      <c r="AQ48" s="138" t="str">
        <f t="shared" si="8"/>
        <v/>
      </c>
      <c r="AT48" s="138" t="str">
        <f t="shared" si="9"/>
        <v/>
      </c>
      <c r="AX48" s="138" t="str">
        <f t="shared" si="10"/>
        <v/>
      </c>
      <c r="BB48" s="138" t="str">
        <f t="shared" si="11"/>
        <v/>
      </c>
      <c r="BF48" s="138" t="str">
        <f t="shared" si="12"/>
        <v/>
      </c>
      <c r="BH48" s="2"/>
      <c r="BI48" s="2"/>
      <c r="BJ48" s="138" t="str">
        <f t="shared" si="13"/>
        <v/>
      </c>
      <c r="BM48" s="138" t="str">
        <f t="shared" si="14"/>
        <v/>
      </c>
      <c r="BO48" s="61"/>
      <c r="BP48" s="61"/>
      <c r="BQ48" s="138" t="str">
        <f t="shared" si="15"/>
        <v/>
      </c>
      <c r="BR48" s="61"/>
      <c r="BS48" s="61"/>
      <c r="BT48" s="138" t="str">
        <f t="shared" si="16"/>
        <v/>
      </c>
      <c r="BV48" s="61"/>
      <c r="BW48" s="61"/>
      <c r="BX48" s="138" t="str">
        <f t="shared" si="17"/>
        <v/>
      </c>
      <c r="BY48" s="61"/>
      <c r="BZ48" s="61"/>
      <c r="CA48" s="138" t="str">
        <f t="shared" si="18"/>
        <v/>
      </c>
      <c r="CB48" s="61"/>
      <c r="CC48" s="61"/>
      <c r="CD48" s="138" t="str">
        <f t="shared" si="19"/>
        <v/>
      </c>
    </row>
    <row r="49" spans="1:82" x14ac:dyDescent="0.3">
      <c r="A49" s="51" t="s">
        <v>344</v>
      </c>
      <c r="B49" s="140" t="s">
        <v>306</v>
      </c>
      <c r="C49" s="51" t="s">
        <v>4</v>
      </c>
      <c r="D49" s="2">
        <f>$F$183*330</f>
        <v>502.21135446428576</v>
      </c>
      <c r="E49" s="83">
        <v>8100</v>
      </c>
      <c r="F49" s="138">
        <f t="shared" si="0"/>
        <v>16.128667597809208</v>
      </c>
      <c r="G49" s="51" t="s">
        <v>4</v>
      </c>
      <c r="H49" s="142">
        <f>$F$183*127</f>
        <v>193.27527883928573</v>
      </c>
      <c r="I49" s="59">
        <v>3810</v>
      </c>
      <c r="J49" s="60">
        <v>0</v>
      </c>
      <c r="K49" s="60">
        <f>I49+(J49/$D$187)</f>
        <v>3810</v>
      </c>
      <c r="L49" s="138">
        <f t="shared" si="1"/>
        <v>19.712815952877918</v>
      </c>
      <c r="M49" s="51" t="s">
        <v>4</v>
      </c>
      <c r="N49" s="57">
        <f>$F$183*286</f>
        <v>435.24984053571433</v>
      </c>
      <c r="O49" s="59">
        <v>7686</v>
      </c>
      <c r="P49" s="60">
        <v>0</v>
      </c>
      <c r="Q49" s="60">
        <f>O49+(P49/$D$187)</f>
        <v>7686</v>
      </c>
      <c r="R49" s="138">
        <f t="shared" si="2"/>
        <v>17.658823241703928</v>
      </c>
      <c r="S49" s="75" t="s">
        <v>21</v>
      </c>
      <c r="T49" s="68">
        <v>1350</v>
      </c>
      <c r="U49" s="68">
        <v>20250</v>
      </c>
      <c r="V49" s="84">
        <v>0</v>
      </c>
      <c r="W49" s="60">
        <f>U49+(V49/$D$187)</f>
        <v>20250</v>
      </c>
      <c r="X49" s="138">
        <f t="shared" si="3"/>
        <v>15</v>
      </c>
      <c r="Y49" s="72">
        <v>1615</v>
      </c>
      <c r="Z49" s="85">
        <v>16150</v>
      </c>
      <c r="AA49" s="68">
        <v>0</v>
      </c>
      <c r="AB49" s="60">
        <f>Z49+(AA49/$D$187)</f>
        <v>16150</v>
      </c>
      <c r="AC49" s="138">
        <f t="shared" si="4"/>
        <v>10</v>
      </c>
      <c r="AG49" s="138" t="str">
        <f t="shared" si="5"/>
        <v/>
      </c>
      <c r="AJ49" s="138" t="str">
        <f t="shared" si="6"/>
        <v/>
      </c>
      <c r="AM49" s="138" t="str">
        <f t="shared" si="7"/>
        <v/>
      </c>
      <c r="AQ49" s="138" t="str">
        <f t="shared" si="8"/>
        <v/>
      </c>
      <c r="AT49" s="138" t="str">
        <f t="shared" si="9"/>
        <v/>
      </c>
      <c r="AX49" s="138" t="str">
        <f t="shared" si="10"/>
        <v/>
      </c>
      <c r="BB49" s="138" t="str">
        <f t="shared" si="11"/>
        <v/>
      </c>
      <c r="BF49" s="138" t="str">
        <f t="shared" si="12"/>
        <v/>
      </c>
      <c r="BH49" s="2"/>
      <c r="BI49" s="2"/>
      <c r="BJ49" s="138" t="str">
        <f t="shared" si="13"/>
        <v/>
      </c>
      <c r="BM49" s="138" t="str">
        <f t="shared" si="14"/>
        <v/>
      </c>
      <c r="BO49" s="61"/>
      <c r="BP49" s="61"/>
      <c r="BQ49" s="138" t="str">
        <f t="shared" si="15"/>
        <v/>
      </c>
      <c r="BR49" s="61"/>
      <c r="BS49" s="61"/>
      <c r="BT49" s="138" t="str">
        <f t="shared" si="16"/>
        <v/>
      </c>
      <c r="BV49" s="61"/>
      <c r="BW49" s="61"/>
      <c r="BX49" s="138" t="str">
        <f t="shared" si="17"/>
        <v/>
      </c>
      <c r="BY49" s="61"/>
      <c r="BZ49" s="61"/>
      <c r="CA49" s="138" t="str">
        <f t="shared" si="18"/>
        <v/>
      </c>
      <c r="CB49" s="61"/>
      <c r="CC49" s="61"/>
      <c r="CD49" s="138" t="str">
        <f t="shared" si="19"/>
        <v/>
      </c>
    </row>
    <row r="50" spans="1:82" x14ac:dyDescent="0.3">
      <c r="A50" s="51" t="s">
        <v>344</v>
      </c>
      <c r="B50" s="140" t="s">
        <v>306</v>
      </c>
      <c r="C50" s="51" t="s">
        <v>4</v>
      </c>
      <c r="D50" s="66">
        <f>$F$181*2585</f>
        <v>5239.2410714285716</v>
      </c>
      <c r="E50" s="66">
        <v>59500</v>
      </c>
      <c r="F50" s="138">
        <f t="shared" si="0"/>
        <v>11.356606651385919</v>
      </c>
      <c r="G50" s="51" t="s">
        <v>4</v>
      </c>
      <c r="H50" s="142">
        <f>$F$181*2961</f>
        <v>6001.3125</v>
      </c>
      <c r="I50" s="60">
        <v>51950</v>
      </c>
      <c r="J50" s="60">
        <v>0</v>
      </c>
      <c r="K50" s="60">
        <f>I50+(J50/$D$187)</f>
        <v>51950</v>
      </c>
      <c r="L50" s="138">
        <f t="shared" si="1"/>
        <v>8.6564397371408344</v>
      </c>
      <c r="M50" s="51" t="s">
        <v>4</v>
      </c>
      <c r="N50" s="146">
        <f>$F$181*2843</f>
        <v>5762.1517857142862</v>
      </c>
      <c r="O50" s="2">
        <v>42665</v>
      </c>
      <c r="P50" s="60">
        <v>0</v>
      </c>
      <c r="Q50" s="60">
        <f>O50+(P50/$D$187)</f>
        <v>42665</v>
      </c>
      <c r="R50" s="138">
        <f t="shared" si="2"/>
        <v>7.4043519828437097</v>
      </c>
      <c r="S50" s="51" t="s">
        <v>4</v>
      </c>
      <c r="T50" s="9">
        <f>$F$183*331</f>
        <v>503.7332070535715</v>
      </c>
      <c r="U50" s="9">
        <v>8255</v>
      </c>
      <c r="V50" s="9">
        <v>0</v>
      </c>
      <c r="W50" s="60">
        <f>U50+(V50/$D$187)</f>
        <v>8255</v>
      </c>
      <c r="X50" s="138">
        <f t="shared" si="3"/>
        <v>16.387643070594887</v>
      </c>
      <c r="Y50" s="57">
        <f>$F$183*370</f>
        <v>563.08545803571428</v>
      </c>
      <c r="Z50" s="82">
        <v>7580</v>
      </c>
      <c r="AA50" s="9">
        <v>0</v>
      </c>
      <c r="AB50" s="60">
        <f>Z50+(AA50/$D$187)</f>
        <v>7580</v>
      </c>
      <c r="AC50" s="138">
        <f t="shared" si="4"/>
        <v>13.46154458764096</v>
      </c>
      <c r="AG50" s="138" t="str">
        <f t="shared" si="5"/>
        <v/>
      </c>
      <c r="AJ50" s="138" t="str">
        <f t="shared" si="6"/>
        <v/>
      </c>
      <c r="AM50" s="138" t="str">
        <f t="shared" si="7"/>
        <v/>
      </c>
      <c r="AQ50" s="138" t="str">
        <f t="shared" si="8"/>
        <v/>
      </c>
      <c r="AT50" s="138" t="str">
        <f t="shared" si="9"/>
        <v/>
      </c>
      <c r="AX50" s="138" t="str">
        <f t="shared" si="10"/>
        <v/>
      </c>
      <c r="BB50" s="138" t="str">
        <f t="shared" si="11"/>
        <v/>
      </c>
      <c r="BF50" s="138" t="str">
        <f t="shared" si="12"/>
        <v/>
      </c>
      <c r="BH50" s="2"/>
      <c r="BI50" s="2"/>
      <c r="BJ50" s="138" t="str">
        <f t="shared" si="13"/>
        <v/>
      </c>
      <c r="BL50" s="63"/>
      <c r="BM50" s="138" t="str">
        <f t="shared" si="14"/>
        <v/>
      </c>
      <c r="BO50" s="61"/>
      <c r="BP50" s="61"/>
      <c r="BQ50" s="138" t="str">
        <f t="shared" si="15"/>
        <v/>
      </c>
      <c r="BR50" s="61"/>
      <c r="BS50" s="61"/>
      <c r="BT50" s="138" t="str">
        <f t="shared" si="16"/>
        <v/>
      </c>
      <c r="BV50" s="61"/>
      <c r="BW50" s="61"/>
      <c r="BX50" s="138" t="str">
        <f t="shared" si="17"/>
        <v/>
      </c>
      <c r="BY50" s="61"/>
      <c r="BZ50" s="61"/>
      <c r="CA50" s="138" t="str">
        <f t="shared" si="18"/>
        <v/>
      </c>
      <c r="CB50" s="61"/>
      <c r="CC50" s="61"/>
      <c r="CD50" s="138" t="str">
        <f t="shared" si="19"/>
        <v/>
      </c>
    </row>
    <row r="51" spans="1:82" x14ac:dyDescent="0.3">
      <c r="A51" s="17" t="s">
        <v>76</v>
      </c>
      <c r="B51" s="140" t="s">
        <v>306</v>
      </c>
      <c r="C51" s="51" t="s">
        <v>4</v>
      </c>
      <c r="D51" s="2"/>
      <c r="E51" s="2"/>
      <c r="F51" s="138" t="str">
        <f t="shared" si="0"/>
        <v/>
      </c>
      <c r="G51" s="12"/>
      <c r="H51" s="57"/>
      <c r="J51" s="2"/>
      <c r="K51" s="2"/>
      <c r="L51" s="138" t="str">
        <f t="shared" si="1"/>
        <v/>
      </c>
      <c r="M51" s="51"/>
      <c r="P51" s="2"/>
      <c r="Q51" s="2"/>
      <c r="R51" s="138" t="str">
        <f t="shared" si="2"/>
        <v/>
      </c>
      <c r="T51" s="2"/>
      <c r="U51" s="2"/>
      <c r="V51" s="2"/>
      <c r="W51" s="2"/>
      <c r="X51" s="138" t="str">
        <f t="shared" si="3"/>
        <v/>
      </c>
      <c r="Y51" s="2"/>
      <c r="Z51" s="2"/>
      <c r="AA51" s="2"/>
      <c r="AB51" s="2"/>
      <c r="AC51" s="138" t="str">
        <f t="shared" si="4"/>
        <v/>
      </c>
      <c r="AG51" s="138" t="str">
        <f t="shared" si="5"/>
        <v/>
      </c>
      <c r="AJ51" s="138" t="str">
        <f t="shared" si="6"/>
        <v/>
      </c>
      <c r="AM51" s="138" t="str">
        <f t="shared" si="7"/>
        <v/>
      </c>
      <c r="AQ51" s="138" t="str">
        <f t="shared" si="8"/>
        <v/>
      </c>
      <c r="AT51" s="138" t="str">
        <f t="shared" si="9"/>
        <v/>
      </c>
      <c r="AX51" s="138" t="str">
        <f t="shared" si="10"/>
        <v/>
      </c>
      <c r="BB51" s="138" t="str">
        <f t="shared" si="11"/>
        <v/>
      </c>
      <c r="BF51" s="138" t="str">
        <f t="shared" si="12"/>
        <v/>
      </c>
      <c r="BG51" s="17"/>
      <c r="BH51" s="9"/>
      <c r="BI51" s="61"/>
      <c r="BJ51" s="138" t="str">
        <f t="shared" si="13"/>
        <v/>
      </c>
      <c r="BK51" s="17"/>
      <c r="BL51" s="63"/>
      <c r="BM51" s="138" t="str">
        <f t="shared" si="14"/>
        <v/>
      </c>
      <c r="BN51" s="17" t="s">
        <v>32</v>
      </c>
      <c r="BO51" s="61">
        <v>964</v>
      </c>
      <c r="BP51" s="61">
        <v>1459</v>
      </c>
      <c r="BQ51" s="138">
        <f t="shared" si="15"/>
        <v>1.5134854771784232</v>
      </c>
      <c r="BR51" s="61">
        <v>2386</v>
      </c>
      <c r="BS51" s="61">
        <v>900</v>
      </c>
      <c r="BT51" s="138">
        <f t="shared" si="16"/>
        <v>0.37720033528918695</v>
      </c>
      <c r="BU51" s="17" t="s">
        <v>32</v>
      </c>
      <c r="BV51" s="61">
        <f>$D$101*3547</f>
        <v>70940</v>
      </c>
      <c r="BW51" s="61">
        <v>5231</v>
      </c>
      <c r="BX51" s="138">
        <f t="shared" si="17"/>
        <v>7.3738370453904703E-2</v>
      </c>
      <c r="BY51" s="61">
        <f>$D$101*6985</f>
        <v>139700</v>
      </c>
      <c r="BZ51" s="61">
        <v>9061</v>
      </c>
      <c r="CA51" s="138">
        <f t="shared" si="18"/>
        <v>6.4860415175375802E-2</v>
      </c>
      <c r="CB51" s="61">
        <f>$D$101*7825</f>
        <v>156500</v>
      </c>
      <c r="CC51" s="61">
        <v>8065</v>
      </c>
      <c r="CD51" s="138">
        <f t="shared" si="19"/>
        <v>5.1533546325878594E-2</v>
      </c>
    </row>
    <row r="52" spans="1:82" x14ac:dyDescent="0.3">
      <c r="A52" s="17" t="s">
        <v>65</v>
      </c>
      <c r="B52" s="140" t="s">
        <v>306</v>
      </c>
      <c r="C52" s="51" t="s">
        <v>4</v>
      </c>
      <c r="D52" s="57">
        <f>$D$118*975</f>
        <v>1462.5</v>
      </c>
      <c r="E52" s="57">
        <v>437</v>
      </c>
      <c r="F52" s="138">
        <f t="shared" si="0"/>
        <v>0.29880341880341882</v>
      </c>
      <c r="G52" s="51" t="s">
        <v>4</v>
      </c>
      <c r="H52" s="57">
        <f>$D$118*1063</f>
        <v>1594.5</v>
      </c>
      <c r="I52" s="59">
        <v>548</v>
      </c>
      <c r="J52" s="60">
        <v>0</v>
      </c>
      <c r="K52" s="60">
        <f>I52+(J52/$D$187)</f>
        <v>548</v>
      </c>
      <c r="L52" s="138">
        <f t="shared" si="1"/>
        <v>0.34368140482910003</v>
      </c>
      <c r="M52" s="51" t="s">
        <v>4</v>
      </c>
      <c r="N52" s="57">
        <f>$D$118*615</f>
        <v>922.5</v>
      </c>
      <c r="O52" s="60">
        <v>461</v>
      </c>
      <c r="P52" s="60">
        <v>5</v>
      </c>
      <c r="Q52" s="60">
        <f>O52+(P52/$D$187)</f>
        <v>461.25</v>
      </c>
      <c r="R52" s="138">
        <f t="shared" si="2"/>
        <v>0.5</v>
      </c>
      <c r="S52" s="51" t="s">
        <v>4</v>
      </c>
      <c r="T52" s="9">
        <f>$D$118*2410</f>
        <v>3615</v>
      </c>
      <c r="U52" s="9">
        <v>1205</v>
      </c>
      <c r="V52" s="9">
        <v>0</v>
      </c>
      <c r="W52" s="60">
        <f>U52+(V52/$D$187)</f>
        <v>1205</v>
      </c>
      <c r="X52" s="138">
        <f t="shared" si="3"/>
        <v>0.33333333333333331</v>
      </c>
      <c r="Y52" s="57">
        <f>$D$118*449</f>
        <v>673.5</v>
      </c>
      <c r="Z52" s="57">
        <v>179</v>
      </c>
      <c r="AA52" s="9">
        <v>10</v>
      </c>
      <c r="AB52" s="60">
        <f>Z52+(AA52/$D$187)</f>
        <v>179.5</v>
      </c>
      <c r="AC52" s="138">
        <f t="shared" si="4"/>
        <v>0.26651818856718634</v>
      </c>
      <c r="AD52" s="63" t="s">
        <v>4</v>
      </c>
      <c r="AE52" s="74">
        <v>1930</v>
      </c>
      <c r="AF52" s="64">
        <v>487</v>
      </c>
      <c r="AG52" s="138">
        <f t="shared" si="5"/>
        <v>0.25233160621761658</v>
      </c>
      <c r="AH52" s="63">
        <v>9617</v>
      </c>
      <c r="AI52" s="63">
        <v>6034</v>
      </c>
      <c r="AJ52" s="138">
        <f t="shared" si="6"/>
        <v>0.627430591660601</v>
      </c>
      <c r="AK52" s="63">
        <v>4392</v>
      </c>
      <c r="AL52" s="63">
        <v>2210</v>
      </c>
      <c r="AM52" s="138">
        <f t="shared" si="7"/>
        <v>0.50318761384335153</v>
      </c>
      <c r="AN52" s="63" t="s">
        <v>4</v>
      </c>
      <c r="AO52" s="63">
        <v>13435</v>
      </c>
      <c r="AP52" s="63">
        <v>4938</v>
      </c>
      <c r="AQ52" s="138">
        <f t="shared" si="8"/>
        <v>0.3675474506885002</v>
      </c>
      <c r="AR52" s="63">
        <v>6127</v>
      </c>
      <c r="AS52" s="63">
        <v>2371</v>
      </c>
      <c r="AT52" s="138">
        <f t="shared" si="9"/>
        <v>0.38697568141015176</v>
      </c>
      <c r="AU52" s="17" t="s">
        <v>4</v>
      </c>
      <c r="AV52" s="63">
        <v>4635</v>
      </c>
      <c r="AW52" s="63">
        <v>1212</v>
      </c>
      <c r="AX52" s="138">
        <f t="shared" si="10"/>
        <v>0.26148867313915858</v>
      </c>
      <c r="AY52" s="17" t="s">
        <v>4</v>
      </c>
      <c r="AZ52" s="64">
        <v>8710</v>
      </c>
      <c r="BA52" s="64">
        <v>3025</v>
      </c>
      <c r="BB52" s="138">
        <f t="shared" si="11"/>
        <v>0.34730195177956374</v>
      </c>
      <c r="BC52" s="17" t="s">
        <v>4</v>
      </c>
      <c r="BD52" s="64">
        <v>5634</v>
      </c>
      <c r="BE52" s="64">
        <v>2154</v>
      </c>
      <c r="BF52" s="138">
        <f t="shared" si="12"/>
        <v>0.38232161874334397</v>
      </c>
      <c r="BG52" s="17" t="s">
        <v>32</v>
      </c>
      <c r="BH52" s="61">
        <v>1019</v>
      </c>
      <c r="BI52" s="9">
        <v>568</v>
      </c>
      <c r="BJ52" s="138">
        <f t="shared" si="13"/>
        <v>0.55740922473012755</v>
      </c>
      <c r="BK52" s="63">
        <v>3146</v>
      </c>
      <c r="BL52" s="63">
        <v>2131</v>
      </c>
      <c r="BM52" s="138">
        <f t="shared" si="14"/>
        <v>0.6773680864589956</v>
      </c>
      <c r="BN52" s="17" t="s">
        <v>32</v>
      </c>
      <c r="BO52" s="61">
        <v>4309</v>
      </c>
      <c r="BP52" s="61">
        <v>2167</v>
      </c>
      <c r="BQ52" s="138">
        <f t="shared" si="15"/>
        <v>0.50290090508238572</v>
      </c>
      <c r="BR52" s="61">
        <v>7438</v>
      </c>
      <c r="BS52" s="61">
        <v>4415</v>
      </c>
      <c r="BT52" s="138">
        <f t="shared" si="16"/>
        <v>0.59357354127453621</v>
      </c>
      <c r="BU52" s="17" t="s">
        <v>32</v>
      </c>
      <c r="BV52" s="61">
        <f>$D$101*463</f>
        <v>9260</v>
      </c>
      <c r="BW52" s="61">
        <v>5074</v>
      </c>
      <c r="BX52" s="138">
        <f t="shared" si="17"/>
        <v>0.5479481641468682</v>
      </c>
      <c r="BY52" s="61">
        <f>$D$101*890</f>
        <v>17800</v>
      </c>
      <c r="BZ52" s="61">
        <v>6340</v>
      </c>
      <c r="CA52" s="138">
        <f t="shared" si="18"/>
        <v>0.35617977528089889</v>
      </c>
      <c r="CB52" s="61">
        <f>$D$101*1104</f>
        <v>22080</v>
      </c>
      <c r="CC52" s="61">
        <v>13155</v>
      </c>
      <c r="CD52" s="138">
        <f t="shared" si="19"/>
        <v>0.59578804347826086</v>
      </c>
    </row>
    <row r="53" spans="1:82" x14ac:dyDescent="0.3">
      <c r="A53" s="17" t="s">
        <v>72</v>
      </c>
      <c r="B53" s="140" t="s">
        <v>306</v>
      </c>
      <c r="C53" s="51" t="s">
        <v>4</v>
      </c>
      <c r="D53" s="2"/>
      <c r="E53" s="2"/>
      <c r="F53" s="138" t="str">
        <f t="shared" si="0"/>
        <v/>
      </c>
      <c r="G53" s="12"/>
      <c r="H53" s="57"/>
      <c r="J53" s="2"/>
      <c r="K53" s="2"/>
      <c r="L53" s="138" t="str">
        <f t="shared" si="1"/>
        <v/>
      </c>
      <c r="M53" s="51"/>
      <c r="P53" s="2"/>
      <c r="Q53" s="2"/>
      <c r="R53" s="138" t="str">
        <f t="shared" si="2"/>
        <v/>
      </c>
      <c r="T53" s="2"/>
      <c r="U53" s="2"/>
      <c r="V53" s="2"/>
      <c r="W53" s="2"/>
      <c r="X53" s="138" t="str">
        <f t="shared" si="3"/>
        <v/>
      </c>
      <c r="Y53" s="2"/>
      <c r="Z53" s="2"/>
      <c r="AA53" s="2"/>
      <c r="AB53" s="2"/>
      <c r="AC53" s="138" t="str">
        <f t="shared" si="4"/>
        <v/>
      </c>
      <c r="AG53" s="138" t="str">
        <f t="shared" si="5"/>
        <v/>
      </c>
      <c r="AJ53" s="138" t="str">
        <f t="shared" si="6"/>
        <v/>
      </c>
      <c r="AM53" s="138" t="str">
        <f t="shared" si="7"/>
        <v/>
      </c>
      <c r="AQ53" s="138" t="str">
        <f t="shared" si="8"/>
        <v/>
      </c>
      <c r="AT53" s="138" t="str">
        <f t="shared" si="9"/>
        <v/>
      </c>
      <c r="AX53" s="138" t="str">
        <f t="shared" si="10"/>
        <v/>
      </c>
      <c r="BB53" s="138" t="str">
        <f t="shared" si="11"/>
        <v/>
      </c>
      <c r="BF53" s="138" t="str">
        <f t="shared" si="12"/>
        <v/>
      </c>
      <c r="BG53" s="17" t="s">
        <v>32</v>
      </c>
      <c r="BH53" s="9">
        <v>99</v>
      </c>
      <c r="BI53" s="9">
        <v>182</v>
      </c>
      <c r="BJ53" s="138">
        <f t="shared" si="13"/>
        <v>1.8383838383838385</v>
      </c>
      <c r="BK53" s="17">
        <v>218</v>
      </c>
      <c r="BL53" s="63">
        <v>351</v>
      </c>
      <c r="BM53" s="138">
        <f t="shared" si="14"/>
        <v>1.6100917431192661</v>
      </c>
      <c r="BN53" s="17" t="s">
        <v>32</v>
      </c>
      <c r="BO53" s="61">
        <v>106</v>
      </c>
      <c r="BP53" s="61">
        <v>167</v>
      </c>
      <c r="BQ53" s="138">
        <f t="shared" si="15"/>
        <v>1.5754716981132075</v>
      </c>
      <c r="BR53" s="61">
        <v>140</v>
      </c>
      <c r="BS53" s="61">
        <v>184</v>
      </c>
      <c r="BT53" s="138">
        <f t="shared" si="16"/>
        <v>1.3142857142857143</v>
      </c>
      <c r="BU53" s="17" t="s">
        <v>32</v>
      </c>
      <c r="BV53" s="61">
        <f>$D$101*2</f>
        <v>40</v>
      </c>
      <c r="BW53" s="61">
        <v>47</v>
      </c>
      <c r="BX53" s="138">
        <f t="shared" si="17"/>
        <v>1.175</v>
      </c>
      <c r="BY53" s="61">
        <f>$D$101*6</f>
        <v>120</v>
      </c>
      <c r="BZ53" s="61">
        <v>419</v>
      </c>
      <c r="CA53" s="138">
        <f t="shared" si="18"/>
        <v>3.4916666666666667</v>
      </c>
      <c r="CB53" s="61">
        <f>$D$101*3</f>
        <v>60</v>
      </c>
      <c r="CC53" s="61">
        <v>11</v>
      </c>
      <c r="CD53" s="138">
        <f t="shared" si="19"/>
        <v>0.18333333333333332</v>
      </c>
    </row>
    <row r="54" spans="1:82" x14ac:dyDescent="0.3">
      <c r="A54" s="17" t="s">
        <v>273</v>
      </c>
      <c r="B54" s="140" t="s">
        <v>308</v>
      </c>
      <c r="C54" s="139" t="s">
        <v>21</v>
      </c>
      <c r="D54" s="57"/>
      <c r="E54" s="57"/>
      <c r="F54" s="138" t="str">
        <f t="shared" si="0"/>
        <v/>
      </c>
      <c r="G54" s="12"/>
      <c r="H54" s="57"/>
      <c r="I54" s="59"/>
      <c r="J54" s="59"/>
      <c r="K54" s="59"/>
      <c r="L54" s="138" t="str">
        <f t="shared" si="1"/>
        <v/>
      </c>
      <c r="M54" s="17" t="s">
        <v>21</v>
      </c>
      <c r="N54" s="57">
        <v>405</v>
      </c>
      <c r="O54" s="59">
        <v>400</v>
      </c>
      <c r="P54" s="60">
        <v>0</v>
      </c>
      <c r="Q54" s="60">
        <f>O54+(P54/$D$187)</f>
        <v>400</v>
      </c>
      <c r="R54" s="138">
        <f t="shared" si="2"/>
        <v>0.98765432098765427</v>
      </c>
      <c r="T54" s="2"/>
      <c r="U54" s="2"/>
      <c r="V54" s="2"/>
      <c r="W54" s="2"/>
      <c r="X54" s="138" t="str">
        <f t="shared" si="3"/>
        <v/>
      </c>
      <c r="Y54" s="2"/>
      <c r="Z54" s="2"/>
      <c r="AA54" s="2"/>
      <c r="AB54" s="2"/>
      <c r="AC54" s="138" t="str">
        <f t="shared" si="4"/>
        <v/>
      </c>
      <c r="AG54" s="138" t="str">
        <f t="shared" si="5"/>
        <v/>
      </c>
      <c r="AJ54" s="138" t="str">
        <f t="shared" si="6"/>
        <v/>
      </c>
      <c r="AM54" s="138" t="str">
        <f t="shared" si="7"/>
        <v/>
      </c>
      <c r="AQ54" s="138" t="str">
        <f t="shared" si="8"/>
        <v/>
      </c>
      <c r="AT54" s="138" t="str">
        <f t="shared" si="9"/>
        <v/>
      </c>
      <c r="AX54" s="138" t="str">
        <f t="shared" si="10"/>
        <v/>
      </c>
      <c r="BB54" s="138" t="str">
        <f t="shared" si="11"/>
        <v/>
      </c>
      <c r="BF54" s="138" t="str">
        <f t="shared" si="12"/>
        <v/>
      </c>
      <c r="BH54" s="2"/>
      <c r="BI54" s="2"/>
      <c r="BJ54" s="138" t="str">
        <f t="shared" si="13"/>
        <v/>
      </c>
      <c r="BL54" s="63"/>
      <c r="BM54" s="138" t="str">
        <f t="shared" si="14"/>
        <v/>
      </c>
      <c r="BO54" s="61"/>
      <c r="BP54" s="61"/>
      <c r="BQ54" s="138" t="str">
        <f t="shared" si="15"/>
        <v/>
      </c>
      <c r="BR54" s="61"/>
      <c r="BS54" s="61"/>
      <c r="BT54" s="138" t="str">
        <f t="shared" si="16"/>
        <v/>
      </c>
      <c r="BV54" s="61"/>
      <c r="BW54" s="61"/>
      <c r="BX54" s="138" t="str">
        <f t="shared" si="17"/>
        <v/>
      </c>
      <c r="BY54" s="61"/>
      <c r="BZ54" s="61"/>
      <c r="CA54" s="138" t="str">
        <f t="shared" si="18"/>
        <v/>
      </c>
      <c r="CB54" s="61"/>
      <c r="CC54" s="61"/>
      <c r="CD54" s="138" t="str">
        <f t="shared" si="19"/>
        <v/>
      </c>
    </row>
    <row r="55" spans="1:82" x14ac:dyDescent="0.3">
      <c r="A55" s="9" t="s">
        <v>92</v>
      </c>
      <c r="B55" s="140" t="s">
        <v>315</v>
      </c>
      <c r="C55" s="139" t="s">
        <v>8</v>
      </c>
      <c r="D55" s="57"/>
      <c r="E55" s="57"/>
      <c r="F55" s="138" t="str">
        <f t="shared" si="0"/>
        <v/>
      </c>
      <c r="G55" s="12"/>
      <c r="H55" s="57"/>
      <c r="I55" s="59"/>
      <c r="J55" s="59"/>
      <c r="K55" s="59"/>
      <c r="L55" s="138" t="str">
        <f t="shared" si="1"/>
        <v/>
      </c>
      <c r="M55" s="17"/>
      <c r="N55" s="57"/>
      <c r="O55" s="59"/>
      <c r="P55" s="60"/>
      <c r="Q55" s="60"/>
      <c r="R55" s="138" t="str">
        <f t="shared" si="2"/>
        <v/>
      </c>
      <c r="T55" s="2"/>
      <c r="U55" s="2"/>
      <c r="V55" s="2"/>
      <c r="W55" s="2"/>
      <c r="X55" s="138" t="str">
        <f t="shared" si="3"/>
        <v/>
      </c>
      <c r="Y55" s="2"/>
      <c r="Z55" s="2"/>
      <c r="AA55" s="2"/>
      <c r="AB55" s="2"/>
      <c r="AC55" s="138" t="str">
        <f t="shared" si="4"/>
        <v/>
      </c>
      <c r="AD55" s="51" t="s">
        <v>8</v>
      </c>
      <c r="AE55" s="51">
        <v>8</v>
      </c>
      <c r="AF55" s="51">
        <v>436</v>
      </c>
      <c r="AG55" s="138">
        <f t="shared" si="5"/>
        <v>54.5</v>
      </c>
      <c r="AH55" s="51">
        <v>34</v>
      </c>
      <c r="AI55" s="51">
        <v>2960</v>
      </c>
      <c r="AJ55" s="138">
        <f t="shared" si="6"/>
        <v>87.058823529411768</v>
      </c>
      <c r="AM55" s="138" t="str">
        <f t="shared" si="7"/>
        <v/>
      </c>
      <c r="AQ55" s="138" t="str">
        <f t="shared" si="8"/>
        <v/>
      </c>
      <c r="AT55" s="138" t="str">
        <f t="shared" si="9"/>
        <v/>
      </c>
      <c r="AX55" s="138" t="str">
        <f t="shared" si="10"/>
        <v/>
      </c>
      <c r="BB55" s="138" t="str">
        <f t="shared" si="11"/>
        <v/>
      </c>
      <c r="BC55" s="51" t="s">
        <v>25</v>
      </c>
      <c r="BD55" s="51">
        <v>12</v>
      </c>
      <c r="BE55" s="51">
        <v>2002</v>
      </c>
      <c r="BF55" s="138">
        <f t="shared" si="12"/>
        <v>166.83333333333334</v>
      </c>
      <c r="BH55" s="2"/>
      <c r="BI55" s="2"/>
      <c r="BJ55" s="138" t="str">
        <f t="shared" si="13"/>
        <v/>
      </c>
      <c r="BL55" s="63"/>
      <c r="BM55" s="138" t="str">
        <f t="shared" si="14"/>
        <v/>
      </c>
      <c r="BO55" s="61"/>
      <c r="BP55" s="61"/>
      <c r="BQ55" s="138" t="str">
        <f t="shared" si="15"/>
        <v/>
      </c>
      <c r="BR55" s="61"/>
      <c r="BS55" s="61"/>
      <c r="BT55" s="138" t="str">
        <f t="shared" si="16"/>
        <v/>
      </c>
      <c r="BV55" s="61"/>
      <c r="BW55" s="61"/>
      <c r="BX55" s="138" t="str">
        <f t="shared" si="17"/>
        <v/>
      </c>
      <c r="BY55" s="61"/>
      <c r="BZ55" s="61"/>
      <c r="CA55" s="138" t="str">
        <f t="shared" si="18"/>
        <v/>
      </c>
      <c r="CB55" s="61"/>
      <c r="CC55" s="61"/>
      <c r="CD55" s="138" t="str">
        <f t="shared" si="19"/>
        <v/>
      </c>
    </row>
    <row r="56" spans="1:82" x14ac:dyDescent="0.3">
      <c r="A56" s="9" t="s">
        <v>274</v>
      </c>
      <c r="B56" s="140" t="s">
        <v>315</v>
      </c>
      <c r="C56" s="139" t="s">
        <v>8</v>
      </c>
      <c r="D56" s="2"/>
      <c r="E56" s="2"/>
      <c r="F56" s="138" t="str">
        <f t="shared" si="0"/>
        <v/>
      </c>
      <c r="G56" s="12" t="s">
        <v>8</v>
      </c>
      <c r="H56" s="57">
        <v>8</v>
      </c>
      <c r="I56" s="2">
        <v>966</v>
      </c>
      <c r="J56" s="9">
        <v>0</v>
      </c>
      <c r="K56" s="60">
        <f>I56+(J56/$D$187)</f>
        <v>966</v>
      </c>
      <c r="L56" s="138">
        <f t="shared" si="1"/>
        <v>120.75</v>
      </c>
      <c r="M56" s="51" t="s">
        <v>8</v>
      </c>
      <c r="N56" s="2">
        <v>12</v>
      </c>
      <c r="O56" s="2">
        <v>1440</v>
      </c>
      <c r="P56" s="2">
        <v>0</v>
      </c>
      <c r="Q56" s="60">
        <f>O56+(P56/$D$187)</f>
        <v>1440</v>
      </c>
      <c r="R56" s="138">
        <f t="shared" si="2"/>
        <v>120</v>
      </c>
      <c r="T56" s="2"/>
      <c r="U56" s="2"/>
      <c r="V56" s="2"/>
      <c r="W56" s="2"/>
      <c r="X56" s="138" t="str">
        <f t="shared" si="3"/>
        <v/>
      </c>
      <c r="Y56" s="2"/>
      <c r="Z56" s="2"/>
      <c r="AA56" s="2"/>
      <c r="AB56" s="2"/>
      <c r="AC56" s="138" t="str">
        <f t="shared" si="4"/>
        <v/>
      </c>
      <c r="AG56" s="138" t="str">
        <f t="shared" si="5"/>
        <v/>
      </c>
      <c r="AJ56" s="138" t="str">
        <f t="shared" si="6"/>
        <v/>
      </c>
      <c r="AM56" s="138" t="str">
        <f t="shared" si="7"/>
        <v/>
      </c>
      <c r="AQ56" s="138" t="str">
        <f t="shared" si="8"/>
        <v/>
      </c>
      <c r="AT56" s="138" t="str">
        <f t="shared" si="9"/>
        <v/>
      </c>
      <c r="AX56" s="138" t="str">
        <f t="shared" si="10"/>
        <v/>
      </c>
      <c r="BB56" s="138" t="str">
        <f t="shared" si="11"/>
        <v/>
      </c>
      <c r="BF56" s="138" t="str">
        <f t="shared" si="12"/>
        <v/>
      </c>
      <c r="BG56" s="17"/>
      <c r="BH56" s="9"/>
      <c r="BI56" s="61"/>
      <c r="BJ56" s="138" t="str">
        <f t="shared" si="13"/>
        <v/>
      </c>
      <c r="BK56" s="17"/>
      <c r="BL56" s="17"/>
      <c r="BM56" s="138" t="str">
        <f t="shared" si="14"/>
        <v/>
      </c>
      <c r="BN56" s="17"/>
      <c r="BO56" s="61"/>
      <c r="BP56" s="61"/>
      <c r="BQ56" s="138" t="str">
        <f t="shared" si="15"/>
        <v/>
      </c>
      <c r="BR56" s="61"/>
      <c r="BS56" s="61"/>
      <c r="BT56" s="138" t="str">
        <f t="shared" si="16"/>
        <v/>
      </c>
      <c r="BU56" s="17"/>
      <c r="BV56" s="61"/>
      <c r="BW56" s="61"/>
      <c r="BX56" s="138" t="str">
        <f t="shared" si="17"/>
        <v/>
      </c>
      <c r="BY56" s="61"/>
      <c r="BZ56" s="61"/>
      <c r="CA56" s="138" t="str">
        <f t="shared" si="18"/>
        <v/>
      </c>
      <c r="CB56" s="61"/>
      <c r="CC56" s="61"/>
      <c r="CD56" s="138" t="str">
        <f t="shared" si="19"/>
        <v/>
      </c>
    </row>
    <row r="57" spans="1:82" x14ac:dyDescent="0.3">
      <c r="A57" s="17" t="s">
        <v>345</v>
      </c>
      <c r="B57" s="140" t="s">
        <v>306</v>
      </c>
      <c r="C57" s="51" t="s">
        <v>4</v>
      </c>
      <c r="D57" s="57">
        <f>$D$148*25</f>
        <v>110.00569934289931</v>
      </c>
      <c r="E57" s="57">
        <v>700</v>
      </c>
      <c r="F57" s="138">
        <f t="shared" si="0"/>
        <v>6.3633066666666656</v>
      </c>
      <c r="G57" s="62"/>
      <c r="H57" s="57"/>
      <c r="J57" s="2"/>
      <c r="K57" s="2"/>
      <c r="L57" s="138" t="str">
        <f t="shared" si="1"/>
        <v/>
      </c>
      <c r="M57" s="51" t="s">
        <v>4</v>
      </c>
      <c r="N57" s="57">
        <f>$D$148*67</f>
        <v>294.81527423897012</v>
      </c>
      <c r="O57" s="60">
        <v>4154</v>
      </c>
      <c r="P57" s="60">
        <v>0</v>
      </c>
      <c r="Q57" s="60">
        <f>O57+(P57/$D$187)</f>
        <v>4154</v>
      </c>
      <c r="R57" s="138">
        <f t="shared" si="2"/>
        <v>14.090179047619046</v>
      </c>
      <c r="S57" s="51" t="s">
        <v>4</v>
      </c>
      <c r="T57" s="9">
        <f>$D$148*103</f>
        <v>453.22348129274513</v>
      </c>
      <c r="U57" s="9">
        <v>5095</v>
      </c>
      <c r="V57" s="9">
        <v>0</v>
      </c>
      <c r="W57" s="60">
        <f>U57+(V57/$D$187)</f>
        <v>5095</v>
      </c>
      <c r="X57" s="138">
        <f t="shared" si="3"/>
        <v>11.241694683310216</v>
      </c>
      <c r="Y57" s="86">
        <f>$D$148*60</f>
        <v>264.01367842295832</v>
      </c>
      <c r="Z57" s="57">
        <v>1800</v>
      </c>
      <c r="AA57" s="9">
        <v>0</v>
      </c>
      <c r="AB57" s="60">
        <f>Z57+(AA57/$D$187)</f>
        <v>1800</v>
      </c>
      <c r="AC57" s="138">
        <f t="shared" si="4"/>
        <v>6.8178285714285707</v>
      </c>
      <c r="AD57" s="51" t="s">
        <v>4</v>
      </c>
      <c r="AE57" s="64">
        <f>$D$148*15</f>
        <v>66.00341960573958</v>
      </c>
      <c r="AF57" s="64">
        <v>409</v>
      </c>
      <c r="AG57" s="138">
        <f t="shared" si="5"/>
        <v>6.196648634920634</v>
      </c>
      <c r="AH57" s="17">
        <f>$D$148*47</f>
        <v>206.81071476465067</v>
      </c>
      <c r="AI57" s="63">
        <v>1383</v>
      </c>
      <c r="AJ57" s="138">
        <f t="shared" si="6"/>
        <v>6.6872744072948329</v>
      </c>
      <c r="AK57" s="17">
        <f>$D$148*28</f>
        <v>123.20638326404722</v>
      </c>
      <c r="AL57" s="63">
        <v>1400</v>
      </c>
      <c r="AM57" s="138">
        <f t="shared" si="7"/>
        <v>11.363047619047618</v>
      </c>
      <c r="AN57" s="17" t="s">
        <v>8</v>
      </c>
      <c r="AO57" s="17">
        <f>$D$148*16</f>
        <v>70.403647579455551</v>
      </c>
      <c r="AP57" s="63">
        <v>2400</v>
      </c>
      <c r="AQ57" s="138">
        <f t="shared" si="8"/>
        <v>34.089142857142853</v>
      </c>
      <c r="AR57" s="87">
        <f>$D$148*58</f>
        <v>255.21322247552638</v>
      </c>
      <c r="AS57" s="63">
        <v>5800</v>
      </c>
      <c r="AT57" s="138">
        <f t="shared" si="9"/>
        <v>22.726095238095237</v>
      </c>
      <c r="AU57" s="17" t="s">
        <v>8</v>
      </c>
      <c r="AV57" s="57">
        <f>$D$148*74</f>
        <v>325.61687005498192</v>
      </c>
      <c r="AW57" s="63">
        <v>7200</v>
      </c>
      <c r="AX57" s="138">
        <f t="shared" si="10"/>
        <v>22.111876447876448</v>
      </c>
      <c r="BB57" s="138" t="str">
        <f t="shared" si="11"/>
        <v/>
      </c>
      <c r="BF57" s="138" t="str">
        <f t="shared" si="12"/>
        <v/>
      </c>
      <c r="BG57" s="17"/>
      <c r="BH57" s="9"/>
      <c r="BI57" s="61"/>
      <c r="BJ57" s="138" t="str">
        <f t="shared" si="13"/>
        <v/>
      </c>
      <c r="BK57" s="17"/>
      <c r="BL57" s="63"/>
      <c r="BM57" s="138" t="str">
        <f t="shared" si="14"/>
        <v/>
      </c>
      <c r="BO57" s="2"/>
      <c r="BP57" s="2"/>
      <c r="BQ57" s="138" t="str">
        <f t="shared" si="15"/>
        <v/>
      </c>
      <c r="BR57" s="2"/>
      <c r="BS57" s="2"/>
      <c r="BT57" s="138" t="str">
        <f t="shared" si="16"/>
        <v/>
      </c>
      <c r="BV57" s="2"/>
      <c r="BW57" s="2"/>
      <c r="BX57" s="138" t="str">
        <f t="shared" si="17"/>
        <v/>
      </c>
      <c r="BY57" s="2"/>
      <c r="BZ57" s="2"/>
      <c r="CA57" s="138" t="str">
        <f t="shared" si="18"/>
        <v/>
      </c>
      <c r="CB57" s="2"/>
      <c r="CC57" s="2"/>
      <c r="CD57" s="138" t="str">
        <f t="shared" si="19"/>
        <v/>
      </c>
    </row>
    <row r="58" spans="1:82" x14ac:dyDescent="0.3">
      <c r="A58" s="9" t="s">
        <v>143</v>
      </c>
      <c r="B58" s="140" t="s">
        <v>306</v>
      </c>
      <c r="C58" s="51" t="s">
        <v>4</v>
      </c>
      <c r="D58" s="57"/>
      <c r="E58" s="57"/>
      <c r="F58" s="138" t="str">
        <f t="shared" si="0"/>
        <v/>
      </c>
      <c r="G58" s="62"/>
      <c r="H58" s="57"/>
      <c r="J58" s="2"/>
      <c r="K58" s="2"/>
      <c r="L58" s="138" t="str">
        <f t="shared" si="1"/>
        <v/>
      </c>
      <c r="M58" s="17"/>
      <c r="N58" s="57"/>
      <c r="O58" s="60"/>
      <c r="P58" s="60"/>
      <c r="Q58" s="60"/>
      <c r="R58" s="138" t="str">
        <f t="shared" si="2"/>
        <v/>
      </c>
      <c r="S58" s="17"/>
      <c r="T58" s="9"/>
      <c r="U58" s="9"/>
      <c r="V58" s="9"/>
      <c r="W58" s="9"/>
      <c r="X58" s="138" t="str">
        <f t="shared" si="3"/>
        <v/>
      </c>
      <c r="Y58" s="86"/>
      <c r="Z58" s="57"/>
      <c r="AA58" s="9"/>
      <c r="AB58" s="9"/>
      <c r="AC58" s="138" t="str">
        <f t="shared" si="4"/>
        <v/>
      </c>
      <c r="AD58" s="17"/>
      <c r="AE58" s="64"/>
      <c r="AF58" s="64"/>
      <c r="AG58" s="138" t="str">
        <f t="shared" si="5"/>
        <v/>
      </c>
      <c r="AH58" s="17"/>
      <c r="AI58" s="63"/>
      <c r="AJ58" s="138" t="str">
        <f t="shared" si="6"/>
        <v/>
      </c>
      <c r="AK58" s="17"/>
      <c r="AL58" s="63"/>
      <c r="AM58" s="138" t="str">
        <f t="shared" si="7"/>
        <v/>
      </c>
      <c r="AN58" s="17"/>
      <c r="AO58" s="17"/>
      <c r="AP58" s="63"/>
      <c r="AQ58" s="138" t="str">
        <f t="shared" si="8"/>
        <v/>
      </c>
      <c r="AR58" s="9"/>
      <c r="AS58" s="63"/>
      <c r="AT58" s="138" t="str">
        <f t="shared" si="9"/>
        <v/>
      </c>
      <c r="AU58" s="17"/>
      <c r="AV58" s="57"/>
      <c r="AW58" s="63"/>
      <c r="AX58" s="138" t="str">
        <f t="shared" si="10"/>
        <v/>
      </c>
      <c r="AY58" s="51" t="s">
        <v>4</v>
      </c>
      <c r="AZ58" s="64">
        <f>$D$148*38</f>
        <v>167.20866300120693</v>
      </c>
      <c r="BA58" s="64">
        <v>3800</v>
      </c>
      <c r="BB58" s="138">
        <f t="shared" si="11"/>
        <v>22.726095238095237</v>
      </c>
      <c r="BC58" s="139" t="s">
        <v>4</v>
      </c>
      <c r="BD58" s="88">
        <f>$D$148*17.5</f>
        <v>77.003989540029508</v>
      </c>
      <c r="BE58" s="64">
        <v>1580</v>
      </c>
      <c r="BF58" s="138">
        <f t="shared" si="12"/>
        <v>20.518417414965985</v>
      </c>
      <c r="BG58" s="17"/>
      <c r="BH58" s="9"/>
      <c r="BI58" s="61"/>
      <c r="BJ58" s="138" t="str">
        <f t="shared" si="13"/>
        <v/>
      </c>
      <c r="BK58" s="17"/>
      <c r="BL58" s="63"/>
      <c r="BM58" s="138" t="str">
        <f t="shared" si="14"/>
        <v/>
      </c>
      <c r="BN58" s="17" t="s">
        <v>32</v>
      </c>
      <c r="BO58" s="61">
        <v>42</v>
      </c>
      <c r="BP58" s="61">
        <v>1436</v>
      </c>
      <c r="BQ58" s="138">
        <f t="shared" si="15"/>
        <v>34.19047619047619</v>
      </c>
      <c r="BR58" s="61">
        <v>39</v>
      </c>
      <c r="BS58" s="61">
        <v>2063</v>
      </c>
      <c r="BT58" s="138">
        <f t="shared" si="16"/>
        <v>52.897435897435898</v>
      </c>
      <c r="BU58" s="17" t="s">
        <v>32</v>
      </c>
      <c r="BV58" s="61">
        <f>$D$101*2</f>
        <v>40</v>
      </c>
      <c r="BW58" s="61">
        <v>2593</v>
      </c>
      <c r="BX58" s="138">
        <f t="shared" si="17"/>
        <v>64.825000000000003</v>
      </c>
      <c r="BY58" s="61">
        <f>$D$101*3</f>
        <v>60</v>
      </c>
      <c r="BZ58" s="61">
        <v>3408</v>
      </c>
      <c r="CA58" s="138">
        <f t="shared" si="18"/>
        <v>56.8</v>
      </c>
      <c r="CB58" s="61">
        <f>$D$101*3</f>
        <v>60</v>
      </c>
      <c r="CC58" s="61">
        <v>3799</v>
      </c>
      <c r="CD58" s="138">
        <f t="shared" si="19"/>
        <v>63.31666666666667</v>
      </c>
    </row>
    <row r="59" spans="1:82" x14ac:dyDescent="0.3">
      <c r="A59" s="9" t="s">
        <v>346</v>
      </c>
      <c r="B59" s="9" t="s">
        <v>319</v>
      </c>
      <c r="C59" s="143" t="s">
        <v>32</v>
      </c>
      <c r="D59" s="57"/>
      <c r="E59" s="57"/>
      <c r="F59" s="138" t="str">
        <f t="shared" si="0"/>
        <v/>
      </c>
      <c r="G59" s="62"/>
      <c r="H59" s="57"/>
      <c r="J59" s="2"/>
      <c r="K59" s="2"/>
      <c r="L59" s="138" t="str">
        <f t="shared" si="1"/>
        <v/>
      </c>
      <c r="M59" s="17"/>
      <c r="N59" s="57"/>
      <c r="O59" s="60"/>
      <c r="P59" s="60"/>
      <c r="Q59" s="60"/>
      <c r="R59" s="138" t="str">
        <f t="shared" si="2"/>
        <v/>
      </c>
      <c r="S59" s="17"/>
      <c r="T59" s="9"/>
      <c r="U59" s="9"/>
      <c r="V59" s="9"/>
      <c r="W59" s="9"/>
      <c r="X59" s="138" t="str">
        <f t="shared" si="3"/>
        <v/>
      </c>
      <c r="Y59" s="86"/>
      <c r="Z59" s="57"/>
      <c r="AA59" s="9"/>
      <c r="AB59" s="9"/>
      <c r="AC59" s="138" t="str">
        <f t="shared" si="4"/>
        <v/>
      </c>
      <c r="AD59" s="17"/>
      <c r="AE59" s="64"/>
      <c r="AF59" s="64"/>
      <c r="AG59" s="138" t="str">
        <f t="shared" si="5"/>
        <v/>
      </c>
      <c r="AH59" s="17"/>
      <c r="AI59" s="63"/>
      <c r="AJ59" s="138" t="str">
        <f t="shared" si="6"/>
        <v/>
      </c>
      <c r="AK59" s="17"/>
      <c r="AL59" s="63"/>
      <c r="AM59" s="138" t="str">
        <f t="shared" si="7"/>
        <v/>
      </c>
      <c r="AN59" s="17"/>
      <c r="AO59" s="17"/>
      <c r="AP59" s="63"/>
      <c r="AQ59" s="138" t="str">
        <f t="shared" si="8"/>
        <v/>
      </c>
      <c r="AR59" s="9"/>
      <c r="AS59" s="63"/>
      <c r="AT59" s="138" t="str">
        <f t="shared" si="9"/>
        <v/>
      </c>
      <c r="AU59" s="17"/>
      <c r="AV59" s="57"/>
      <c r="AW59" s="63"/>
      <c r="AX59" s="138" t="str">
        <f t="shared" si="10"/>
        <v/>
      </c>
      <c r="AY59" s="17"/>
      <c r="AZ59" s="64"/>
      <c r="BA59" s="64"/>
      <c r="BB59" s="138" t="str">
        <f t="shared" si="11"/>
        <v/>
      </c>
      <c r="BC59" s="17"/>
      <c r="BD59" s="88"/>
      <c r="BE59" s="64"/>
      <c r="BF59" s="138" t="str">
        <f t="shared" si="12"/>
        <v/>
      </c>
      <c r="BG59" s="17"/>
      <c r="BH59" s="9"/>
      <c r="BI59" s="61"/>
      <c r="BJ59" s="138" t="str">
        <f t="shared" si="13"/>
        <v/>
      </c>
      <c r="BK59" s="17"/>
      <c r="BL59" s="63"/>
      <c r="BM59" s="138" t="str">
        <f t="shared" si="14"/>
        <v/>
      </c>
      <c r="BN59" s="17" t="s">
        <v>32</v>
      </c>
      <c r="BO59" s="61">
        <v>23</v>
      </c>
      <c r="BP59" s="61">
        <v>1110</v>
      </c>
      <c r="BQ59" s="138">
        <f t="shared" si="15"/>
        <v>48.260869565217391</v>
      </c>
      <c r="BR59" s="61">
        <v>16</v>
      </c>
      <c r="BS59" s="61">
        <v>550</v>
      </c>
      <c r="BT59" s="138">
        <f t="shared" si="16"/>
        <v>34.375</v>
      </c>
      <c r="BU59" s="17" t="s">
        <v>32</v>
      </c>
      <c r="BV59" s="89">
        <f>$D$101*0.25</f>
        <v>5</v>
      </c>
      <c r="BW59" s="61">
        <v>208</v>
      </c>
      <c r="BX59" s="138">
        <f t="shared" si="17"/>
        <v>41.6</v>
      </c>
      <c r="BY59" s="89">
        <f>$D$101*0.75</f>
        <v>15</v>
      </c>
      <c r="BZ59" s="61">
        <v>306</v>
      </c>
      <c r="CA59" s="138">
        <f t="shared" si="18"/>
        <v>20.399999999999999</v>
      </c>
      <c r="CB59" s="61">
        <f>$D$101*1</f>
        <v>20</v>
      </c>
      <c r="CC59" s="61">
        <v>1244</v>
      </c>
      <c r="CD59" s="138">
        <f t="shared" si="19"/>
        <v>62.2</v>
      </c>
    </row>
    <row r="60" spans="1:82" x14ac:dyDescent="0.3">
      <c r="A60" s="17" t="s">
        <v>74</v>
      </c>
      <c r="B60" s="9" t="s">
        <v>319</v>
      </c>
      <c r="C60" s="17" t="s">
        <v>32</v>
      </c>
      <c r="D60" s="2"/>
      <c r="E60" s="2"/>
      <c r="F60" s="138" t="str">
        <f t="shared" si="0"/>
        <v/>
      </c>
      <c r="G60" s="12"/>
      <c r="H60" s="57"/>
      <c r="J60" s="2"/>
      <c r="K60" s="2"/>
      <c r="L60" s="138" t="str">
        <f t="shared" si="1"/>
        <v/>
      </c>
      <c r="M60" s="51"/>
      <c r="P60" s="2"/>
      <c r="Q60" s="2"/>
      <c r="R60" s="138" t="str">
        <f t="shared" si="2"/>
        <v/>
      </c>
      <c r="T60" s="2"/>
      <c r="U60" s="2"/>
      <c r="V60" s="2"/>
      <c r="W60" s="2"/>
      <c r="X60" s="138" t="str">
        <f t="shared" si="3"/>
        <v/>
      </c>
      <c r="Y60" s="2"/>
      <c r="Z60" s="2"/>
      <c r="AA60" s="2"/>
      <c r="AB60" s="2"/>
      <c r="AC60" s="138" t="str">
        <f t="shared" si="4"/>
        <v/>
      </c>
      <c r="AG60" s="138" t="str">
        <f t="shared" si="5"/>
        <v/>
      </c>
      <c r="AJ60" s="138" t="str">
        <f t="shared" si="6"/>
        <v/>
      </c>
      <c r="AM60" s="138" t="str">
        <f t="shared" si="7"/>
        <v/>
      </c>
      <c r="AQ60" s="138" t="str">
        <f t="shared" si="8"/>
        <v/>
      </c>
      <c r="AT60" s="138" t="str">
        <f t="shared" si="9"/>
        <v/>
      </c>
      <c r="AX60" s="138" t="str">
        <f t="shared" si="10"/>
        <v/>
      </c>
      <c r="BB60" s="138" t="str">
        <f t="shared" si="11"/>
        <v/>
      </c>
      <c r="BF60" s="138" t="str">
        <f t="shared" si="12"/>
        <v/>
      </c>
      <c r="BG60" s="17"/>
      <c r="BH60" s="9"/>
      <c r="BI60" s="9"/>
      <c r="BJ60" s="138" t="str">
        <f t="shared" si="13"/>
        <v/>
      </c>
      <c r="BK60" s="17"/>
      <c r="BL60" s="17"/>
      <c r="BM60" s="138" t="str">
        <f t="shared" si="14"/>
        <v/>
      </c>
      <c r="BN60" s="17" t="s">
        <v>32</v>
      </c>
      <c r="BO60" s="61">
        <v>11</v>
      </c>
      <c r="BP60" s="61">
        <v>92</v>
      </c>
      <c r="BQ60" s="138">
        <f t="shared" si="15"/>
        <v>8.3636363636363633</v>
      </c>
      <c r="BR60" s="61">
        <v>10</v>
      </c>
      <c r="BS60" s="61">
        <v>21</v>
      </c>
      <c r="BT60" s="138">
        <f t="shared" si="16"/>
        <v>2.1</v>
      </c>
      <c r="BU60" s="17" t="s">
        <v>32</v>
      </c>
      <c r="BV60" s="89">
        <f>$D$101*0.05</f>
        <v>1</v>
      </c>
      <c r="BW60" s="61">
        <v>25</v>
      </c>
      <c r="BX60" s="138">
        <f t="shared" si="17"/>
        <v>25</v>
      </c>
      <c r="BY60" s="90">
        <f>$D$101*0.5</f>
        <v>10</v>
      </c>
      <c r="BZ60" s="61">
        <v>9</v>
      </c>
      <c r="CA60" s="138">
        <f t="shared" si="18"/>
        <v>0.9</v>
      </c>
      <c r="CB60" s="90">
        <f>$D$101*0.5</f>
        <v>10</v>
      </c>
      <c r="CC60" s="61">
        <v>21</v>
      </c>
      <c r="CD60" s="138">
        <f t="shared" si="19"/>
        <v>2.1</v>
      </c>
    </row>
    <row r="61" spans="1:82" x14ac:dyDescent="0.3">
      <c r="A61" s="17" t="s">
        <v>78</v>
      </c>
      <c r="B61" s="140" t="s">
        <v>306</v>
      </c>
      <c r="C61" s="51" t="s">
        <v>4</v>
      </c>
      <c r="D61" s="2"/>
      <c r="E61" s="2"/>
      <c r="F61" s="138" t="str">
        <f t="shared" si="0"/>
        <v/>
      </c>
      <c r="G61" s="12"/>
      <c r="H61" s="57"/>
      <c r="J61" s="2"/>
      <c r="K61" s="2"/>
      <c r="L61" s="138" t="str">
        <f t="shared" si="1"/>
        <v/>
      </c>
      <c r="M61" s="51"/>
      <c r="P61" s="2"/>
      <c r="Q61" s="2"/>
      <c r="R61" s="138" t="str">
        <f t="shared" si="2"/>
        <v/>
      </c>
      <c r="T61" s="2"/>
      <c r="U61" s="2"/>
      <c r="V61" s="2"/>
      <c r="W61" s="2"/>
      <c r="X61" s="138" t="str">
        <f t="shared" si="3"/>
        <v/>
      </c>
      <c r="Y61" s="2"/>
      <c r="Z61" s="2"/>
      <c r="AA61" s="2"/>
      <c r="AB61" s="2"/>
      <c r="AC61" s="138" t="str">
        <f t="shared" si="4"/>
        <v/>
      </c>
      <c r="AG61" s="138" t="str">
        <f t="shared" si="5"/>
        <v/>
      </c>
      <c r="AJ61" s="138" t="str">
        <f t="shared" si="6"/>
        <v/>
      </c>
      <c r="AM61" s="138" t="str">
        <f t="shared" si="7"/>
        <v/>
      </c>
      <c r="AQ61" s="138" t="str">
        <f t="shared" si="8"/>
        <v/>
      </c>
      <c r="AT61" s="138" t="str">
        <f t="shared" si="9"/>
        <v/>
      </c>
      <c r="AX61" s="138" t="str">
        <f t="shared" si="10"/>
        <v/>
      </c>
      <c r="AZ61" s="91"/>
      <c r="BA61" s="91"/>
      <c r="BB61" s="138" t="str">
        <f t="shared" si="11"/>
        <v/>
      </c>
      <c r="BD61" s="91"/>
      <c r="BE61" s="91"/>
      <c r="BF61" s="138" t="str">
        <f t="shared" si="12"/>
        <v/>
      </c>
      <c r="BG61" s="17" t="s">
        <v>32</v>
      </c>
      <c r="BH61" s="9">
        <v>483</v>
      </c>
      <c r="BI61" s="9">
        <v>664</v>
      </c>
      <c r="BJ61" s="138">
        <f t="shared" si="13"/>
        <v>1.3747412008281574</v>
      </c>
      <c r="BK61" s="17">
        <v>448</v>
      </c>
      <c r="BL61" s="17">
        <v>613</v>
      </c>
      <c r="BM61" s="138">
        <f t="shared" si="14"/>
        <v>1.3683035714285714</v>
      </c>
      <c r="BN61" s="17" t="s">
        <v>32</v>
      </c>
      <c r="BO61" s="61">
        <v>443</v>
      </c>
      <c r="BP61" s="61">
        <v>655</v>
      </c>
      <c r="BQ61" s="138">
        <f t="shared" si="15"/>
        <v>1.4785553047404063</v>
      </c>
      <c r="BR61" s="61">
        <v>562</v>
      </c>
      <c r="BS61" s="61">
        <v>884</v>
      </c>
      <c r="BT61" s="138">
        <f t="shared" si="16"/>
        <v>1.5729537366548043</v>
      </c>
      <c r="BU61" s="17" t="s">
        <v>32</v>
      </c>
      <c r="BV61" s="61">
        <f>$D$101*59</f>
        <v>1180</v>
      </c>
      <c r="BW61" s="61">
        <v>1204</v>
      </c>
      <c r="BX61" s="138">
        <f t="shared" si="17"/>
        <v>1.0203389830508474</v>
      </c>
      <c r="BY61" s="61">
        <f>$D$101*73</f>
        <v>1460</v>
      </c>
      <c r="BZ61" s="61">
        <v>1533</v>
      </c>
      <c r="CA61" s="138">
        <f t="shared" si="18"/>
        <v>1.05</v>
      </c>
      <c r="CB61" s="61">
        <f>$D$101*47</f>
        <v>940</v>
      </c>
      <c r="CC61" s="61">
        <v>1177</v>
      </c>
      <c r="CD61" s="138">
        <f t="shared" si="19"/>
        <v>1.2521276595744681</v>
      </c>
    </row>
    <row r="62" spans="1:82" x14ac:dyDescent="0.3">
      <c r="A62" s="17" t="s">
        <v>22</v>
      </c>
      <c r="B62" s="140" t="s">
        <v>306</v>
      </c>
      <c r="C62" s="51" t="s">
        <v>4</v>
      </c>
      <c r="D62" s="57"/>
      <c r="E62" s="57"/>
      <c r="F62" s="138" t="str">
        <f t="shared" si="0"/>
        <v/>
      </c>
      <c r="G62" s="62"/>
      <c r="H62" s="57"/>
      <c r="I62" s="59"/>
      <c r="J62" s="60"/>
      <c r="K62" s="60"/>
      <c r="L62" s="138" t="str">
        <f t="shared" si="1"/>
        <v/>
      </c>
      <c r="M62" s="17"/>
      <c r="N62" s="57"/>
      <c r="O62" s="59"/>
      <c r="P62" s="60"/>
      <c r="Q62" s="60"/>
      <c r="R62" s="138" t="str">
        <f t="shared" si="2"/>
        <v/>
      </c>
      <c r="S62" s="17"/>
      <c r="T62" s="9"/>
      <c r="U62" s="9"/>
      <c r="V62" s="9"/>
      <c r="W62" s="9"/>
      <c r="X62" s="138" t="str">
        <f t="shared" si="3"/>
        <v/>
      </c>
      <c r="Y62" s="57"/>
      <c r="Z62" s="57"/>
      <c r="AA62" s="9"/>
      <c r="AB62" s="9"/>
      <c r="AC62" s="138" t="str">
        <f t="shared" si="4"/>
        <v/>
      </c>
      <c r="AD62" s="17" t="s">
        <v>4</v>
      </c>
      <c r="AE62" s="64">
        <v>714</v>
      </c>
      <c r="AF62" s="64">
        <v>938</v>
      </c>
      <c r="AG62" s="138">
        <f t="shared" si="5"/>
        <v>1.3137254901960784</v>
      </c>
      <c r="AH62" s="63">
        <v>1575</v>
      </c>
      <c r="AI62" s="63">
        <v>2207</v>
      </c>
      <c r="AJ62" s="138">
        <f t="shared" si="6"/>
        <v>1.4012698412698412</v>
      </c>
      <c r="AK62" s="17">
        <v>664</v>
      </c>
      <c r="AL62" s="17">
        <v>936</v>
      </c>
      <c r="AM62" s="138">
        <f t="shared" si="7"/>
        <v>1.4096385542168675</v>
      </c>
      <c r="AN62" s="17" t="s">
        <v>4</v>
      </c>
      <c r="AO62" s="63">
        <v>741</v>
      </c>
      <c r="AP62" s="63">
        <v>1359</v>
      </c>
      <c r="AQ62" s="138">
        <f t="shared" si="8"/>
        <v>1.834008097165992</v>
      </c>
      <c r="AR62" s="17">
        <v>834</v>
      </c>
      <c r="AS62" s="63">
        <v>1559</v>
      </c>
      <c r="AT62" s="138">
        <f t="shared" si="9"/>
        <v>1.869304556354916</v>
      </c>
      <c r="AU62" s="17" t="s">
        <v>4</v>
      </c>
      <c r="AV62" s="63">
        <v>1632</v>
      </c>
      <c r="AW62" s="63">
        <v>3269</v>
      </c>
      <c r="AX62" s="138">
        <f t="shared" si="10"/>
        <v>2.003063725490196</v>
      </c>
      <c r="AY62" s="17" t="s">
        <v>4</v>
      </c>
      <c r="AZ62" s="91">
        <v>949</v>
      </c>
      <c r="BA62" s="91">
        <v>1948</v>
      </c>
      <c r="BB62" s="138">
        <f t="shared" si="11"/>
        <v>2.0526870389884087</v>
      </c>
      <c r="BC62" s="17" t="s">
        <v>4</v>
      </c>
      <c r="BD62" s="91">
        <v>879</v>
      </c>
      <c r="BE62" s="91">
        <v>1298</v>
      </c>
      <c r="BF62" s="138">
        <f t="shared" si="12"/>
        <v>1.4766780432309443</v>
      </c>
      <c r="BG62" s="17" t="s">
        <v>32</v>
      </c>
      <c r="BH62" s="9">
        <v>918</v>
      </c>
      <c r="BI62" s="61">
        <v>2419</v>
      </c>
      <c r="BJ62" s="138">
        <f t="shared" si="13"/>
        <v>2.6350762527233114</v>
      </c>
      <c r="BK62" s="63">
        <v>1324</v>
      </c>
      <c r="BL62" s="63">
        <v>3690</v>
      </c>
      <c r="BM62" s="138">
        <f t="shared" si="14"/>
        <v>2.7870090634441089</v>
      </c>
      <c r="BN62" s="17" t="s">
        <v>32</v>
      </c>
      <c r="BO62" s="61">
        <v>908</v>
      </c>
      <c r="BP62" s="61">
        <v>1690</v>
      </c>
      <c r="BQ62" s="138">
        <f t="shared" si="15"/>
        <v>1.8612334801762114</v>
      </c>
      <c r="BR62" s="61">
        <v>791</v>
      </c>
      <c r="BS62" s="61">
        <v>1817</v>
      </c>
      <c r="BT62" s="138">
        <f t="shared" si="16"/>
        <v>2.2970922882427307</v>
      </c>
      <c r="BU62" s="17" t="s">
        <v>32</v>
      </c>
      <c r="BV62" s="61">
        <f>$D$101*58</f>
        <v>1160</v>
      </c>
      <c r="BW62" s="61">
        <v>3535</v>
      </c>
      <c r="BX62" s="138">
        <f t="shared" si="17"/>
        <v>3.0474137931034484</v>
      </c>
      <c r="BY62" s="61">
        <f>$D$101*90</f>
        <v>1800</v>
      </c>
      <c r="BZ62" s="61">
        <v>3305</v>
      </c>
      <c r="CA62" s="138">
        <f t="shared" si="18"/>
        <v>1.836111111111111</v>
      </c>
      <c r="CB62" s="61">
        <f>$D$101*123</f>
        <v>2460</v>
      </c>
      <c r="CC62" s="61">
        <v>5399</v>
      </c>
      <c r="CD62" s="138">
        <f t="shared" si="19"/>
        <v>2.1947154471544716</v>
      </c>
    </row>
    <row r="63" spans="1:82" x14ac:dyDescent="0.3">
      <c r="A63" s="17" t="s">
        <v>57</v>
      </c>
      <c r="B63" s="9" t="s">
        <v>320</v>
      </c>
      <c r="C63" s="17" t="s">
        <v>58</v>
      </c>
      <c r="D63" s="57">
        <v>60</v>
      </c>
      <c r="E63" s="57">
        <v>49</v>
      </c>
      <c r="F63" s="138">
        <f t="shared" si="0"/>
        <v>0.81666666666666665</v>
      </c>
      <c r="G63" s="12"/>
      <c r="H63" s="57"/>
      <c r="J63" s="2"/>
      <c r="K63" s="2"/>
      <c r="L63" s="138" t="str">
        <f t="shared" si="1"/>
        <v/>
      </c>
      <c r="M63" s="51"/>
      <c r="P63" s="2"/>
      <c r="Q63" s="2"/>
      <c r="R63" s="138" t="str">
        <f t="shared" si="2"/>
        <v/>
      </c>
      <c r="T63" s="2"/>
      <c r="U63" s="2"/>
      <c r="V63" s="2"/>
      <c r="W63" s="2"/>
      <c r="X63" s="138" t="str">
        <f t="shared" si="3"/>
        <v/>
      </c>
      <c r="Y63" s="2"/>
      <c r="Z63" s="2"/>
      <c r="AA63" s="2"/>
      <c r="AB63" s="2"/>
      <c r="AC63" s="138" t="str">
        <f t="shared" si="4"/>
        <v/>
      </c>
      <c r="AG63" s="138" t="str">
        <f t="shared" si="5"/>
        <v/>
      </c>
      <c r="AJ63" s="138" t="str">
        <f t="shared" si="6"/>
        <v/>
      </c>
      <c r="AM63" s="138" t="str">
        <f t="shared" si="7"/>
        <v/>
      </c>
      <c r="AQ63" s="138" t="str">
        <f t="shared" si="8"/>
        <v/>
      </c>
      <c r="AT63" s="138" t="str">
        <f t="shared" si="9"/>
        <v/>
      </c>
      <c r="AX63" s="138" t="str">
        <f t="shared" si="10"/>
        <v/>
      </c>
      <c r="AZ63" s="91"/>
      <c r="BA63" s="91"/>
      <c r="BB63" s="138" t="str">
        <f t="shared" si="11"/>
        <v/>
      </c>
      <c r="BD63" s="91"/>
      <c r="BE63" s="91"/>
      <c r="BF63" s="138" t="str">
        <f t="shared" si="12"/>
        <v/>
      </c>
      <c r="BH63" s="2"/>
      <c r="BI63" s="2"/>
      <c r="BJ63" s="138" t="str">
        <f t="shared" si="13"/>
        <v/>
      </c>
      <c r="BM63" s="138" t="str">
        <f t="shared" si="14"/>
        <v/>
      </c>
      <c r="BO63" s="61"/>
      <c r="BP63" s="61"/>
      <c r="BQ63" s="138" t="str">
        <f t="shared" si="15"/>
        <v/>
      </c>
      <c r="BR63" s="61"/>
      <c r="BS63" s="61"/>
      <c r="BT63" s="138" t="str">
        <f t="shared" si="16"/>
        <v/>
      </c>
      <c r="BV63" s="61"/>
      <c r="BW63" s="61"/>
      <c r="BX63" s="138" t="str">
        <f t="shared" si="17"/>
        <v/>
      </c>
      <c r="BY63" s="61"/>
      <c r="BZ63" s="61"/>
      <c r="CA63" s="138" t="str">
        <f t="shared" si="18"/>
        <v/>
      </c>
      <c r="CB63" s="61"/>
      <c r="CC63" s="61"/>
      <c r="CD63" s="138" t="str">
        <f t="shared" si="19"/>
        <v/>
      </c>
    </row>
    <row r="64" spans="1:82" x14ac:dyDescent="0.3">
      <c r="A64" s="9" t="s">
        <v>9</v>
      </c>
      <c r="B64" s="140" t="s">
        <v>306</v>
      </c>
      <c r="C64" s="51" t="s">
        <v>4</v>
      </c>
      <c r="D64" s="2">
        <f>$D$128*2800</f>
        <v>4900</v>
      </c>
      <c r="E64" s="9">
        <v>4466</v>
      </c>
      <c r="F64" s="138">
        <f t="shared" si="0"/>
        <v>0.91142857142857148</v>
      </c>
      <c r="G64" s="147" t="s">
        <v>4</v>
      </c>
      <c r="H64" s="57">
        <f>$D$128*1886</f>
        <v>3300.5</v>
      </c>
      <c r="I64" s="60">
        <v>2364</v>
      </c>
      <c r="J64" s="60">
        <v>0</v>
      </c>
      <c r="K64" s="60">
        <f>I64+(J64/$D$187)</f>
        <v>2364</v>
      </c>
      <c r="L64" s="138">
        <f t="shared" si="1"/>
        <v>0.71625511286168764</v>
      </c>
      <c r="M64" s="147" t="s">
        <v>4</v>
      </c>
      <c r="N64" s="57">
        <f>$D$128*987</f>
        <v>1727.25</v>
      </c>
      <c r="O64" s="60">
        <v>1234</v>
      </c>
      <c r="P64" s="60">
        <v>10</v>
      </c>
      <c r="Q64" s="60">
        <f>O64+(P64/$D$187)</f>
        <v>1234.5</v>
      </c>
      <c r="R64" s="138">
        <f t="shared" si="2"/>
        <v>0.71471993052540161</v>
      </c>
      <c r="S64" s="17"/>
      <c r="T64" s="9"/>
      <c r="U64" s="9"/>
      <c r="V64" s="9"/>
      <c r="W64" s="9"/>
      <c r="X64" s="138" t="str">
        <f t="shared" si="3"/>
        <v/>
      </c>
      <c r="Y64" s="57"/>
      <c r="Z64" s="57"/>
      <c r="AA64" s="9"/>
      <c r="AB64" s="9"/>
      <c r="AC64" s="138" t="str">
        <f t="shared" si="4"/>
        <v/>
      </c>
      <c r="AD64" s="63"/>
      <c r="AE64" s="74"/>
      <c r="AF64" s="64"/>
      <c r="AG64" s="138" t="str">
        <f t="shared" si="5"/>
        <v/>
      </c>
      <c r="AH64" s="63"/>
      <c r="AI64" s="63"/>
      <c r="AJ64" s="138" t="str">
        <f t="shared" si="6"/>
        <v/>
      </c>
      <c r="AK64" s="63"/>
      <c r="AL64" s="63"/>
      <c r="AM64" s="138" t="str">
        <f t="shared" si="7"/>
        <v/>
      </c>
      <c r="AN64" s="63"/>
      <c r="AO64" s="63"/>
      <c r="AP64" s="63"/>
      <c r="AQ64" s="138" t="str">
        <f t="shared" si="8"/>
        <v/>
      </c>
      <c r="AT64" s="138" t="str">
        <f t="shared" si="9"/>
        <v/>
      </c>
      <c r="AU64" s="17"/>
      <c r="AV64" s="63"/>
      <c r="AW64" s="63"/>
      <c r="AX64" s="138" t="str">
        <f t="shared" si="10"/>
        <v/>
      </c>
      <c r="AY64" s="17"/>
      <c r="AZ64" s="91"/>
      <c r="BA64" s="91"/>
      <c r="BB64" s="138" t="str">
        <f t="shared" si="11"/>
        <v/>
      </c>
      <c r="BC64" s="17"/>
      <c r="BD64" s="91"/>
      <c r="BE64" s="91"/>
      <c r="BF64" s="138" t="str">
        <f t="shared" si="12"/>
        <v/>
      </c>
      <c r="BG64" s="17"/>
      <c r="BH64" s="61"/>
      <c r="BI64" s="9"/>
      <c r="BJ64" s="138" t="str">
        <f t="shared" si="13"/>
        <v/>
      </c>
      <c r="BK64" s="63"/>
      <c r="BL64" s="17"/>
      <c r="BM64" s="138" t="str">
        <f t="shared" si="14"/>
        <v/>
      </c>
      <c r="BN64" s="17"/>
      <c r="BO64" s="2"/>
      <c r="BP64" s="2"/>
      <c r="BQ64" s="138" t="str">
        <f t="shared" si="15"/>
        <v/>
      </c>
      <c r="BR64" s="2"/>
      <c r="BS64" s="2"/>
      <c r="BT64" s="138" t="str">
        <f t="shared" si="16"/>
        <v/>
      </c>
      <c r="BU64" s="9"/>
      <c r="BV64" s="61"/>
      <c r="BW64" s="61"/>
      <c r="BX64" s="138" t="str">
        <f t="shared" si="17"/>
        <v/>
      </c>
      <c r="BY64" s="61"/>
      <c r="BZ64" s="61"/>
      <c r="CA64" s="138" t="str">
        <f t="shared" si="18"/>
        <v/>
      </c>
      <c r="CB64" s="61"/>
      <c r="CC64" s="61"/>
      <c r="CD64" s="138" t="str">
        <f t="shared" si="19"/>
        <v/>
      </c>
    </row>
    <row r="65" spans="1:82" x14ac:dyDescent="0.3">
      <c r="A65" s="76" t="s">
        <v>275</v>
      </c>
      <c r="B65" s="140" t="s">
        <v>308</v>
      </c>
      <c r="C65" s="139" t="s">
        <v>21</v>
      </c>
      <c r="D65" s="2"/>
      <c r="E65" s="2"/>
      <c r="F65" s="138" t="str">
        <f t="shared" si="0"/>
        <v/>
      </c>
      <c r="G65" s="12"/>
      <c r="H65" s="57"/>
      <c r="J65" s="2"/>
      <c r="K65" s="2"/>
      <c r="L65" s="138" t="str">
        <f t="shared" si="1"/>
        <v/>
      </c>
      <c r="M65" s="17" t="s">
        <v>21</v>
      </c>
      <c r="N65" s="57">
        <v>145</v>
      </c>
      <c r="O65" s="60">
        <v>362</v>
      </c>
      <c r="P65" s="60">
        <v>10</v>
      </c>
      <c r="Q65" s="60">
        <f>O65+(P65/$D$187)</f>
        <v>362.5</v>
      </c>
      <c r="R65" s="138">
        <f t="shared" si="2"/>
        <v>2.5</v>
      </c>
      <c r="S65" s="17" t="s">
        <v>42</v>
      </c>
      <c r="T65" s="9">
        <v>418</v>
      </c>
      <c r="U65" s="9">
        <v>836</v>
      </c>
      <c r="V65" s="9">
        <v>0</v>
      </c>
      <c r="W65" s="60">
        <f>U65+(V65/$D$187)</f>
        <v>836</v>
      </c>
      <c r="X65" s="138">
        <f t="shared" si="3"/>
        <v>2</v>
      </c>
      <c r="Y65" s="57">
        <v>147</v>
      </c>
      <c r="Z65" s="57">
        <v>220</v>
      </c>
      <c r="AA65" s="9">
        <v>0</v>
      </c>
      <c r="AB65" s="60">
        <f>Z65+(AA65/$D$187)</f>
        <v>220</v>
      </c>
      <c r="AC65" s="138">
        <f t="shared" si="4"/>
        <v>1.4965986394557824</v>
      </c>
      <c r="AG65" s="138" t="str">
        <f t="shared" si="5"/>
        <v/>
      </c>
      <c r="AJ65" s="138" t="str">
        <f t="shared" si="6"/>
        <v/>
      </c>
      <c r="AM65" s="138" t="str">
        <f t="shared" si="7"/>
        <v/>
      </c>
      <c r="AQ65" s="138" t="str">
        <f t="shared" si="8"/>
        <v/>
      </c>
      <c r="AT65" s="138" t="str">
        <f t="shared" si="9"/>
        <v/>
      </c>
      <c r="AV65" s="63"/>
      <c r="AW65" s="63"/>
      <c r="AX65" s="138" t="str">
        <f t="shared" si="10"/>
        <v/>
      </c>
      <c r="AZ65" s="91"/>
      <c r="BA65" s="91"/>
      <c r="BB65" s="138" t="str">
        <f t="shared" si="11"/>
        <v/>
      </c>
      <c r="BD65" s="91"/>
      <c r="BE65" s="91"/>
      <c r="BF65" s="138" t="str">
        <f t="shared" si="12"/>
        <v/>
      </c>
      <c r="BH65" s="2"/>
      <c r="BI65" s="2"/>
      <c r="BJ65" s="138" t="str">
        <f t="shared" si="13"/>
        <v/>
      </c>
      <c r="BM65" s="138" t="str">
        <f t="shared" si="14"/>
        <v/>
      </c>
      <c r="BO65" s="61"/>
      <c r="BP65" s="61"/>
      <c r="BQ65" s="138" t="str">
        <f t="shared" si="15"/>
        <v/>
      </c>
      <c r="BR65" s="61"/>
      <c r="BS65" s="61"/>
      <c r="BT65" s="138" t="str">
        <f t="shared" si="16"/>
        <v/>
      </c>
      <c r="BV65" s="61"/>
      <c r="BW65" s="61"/>
      <c r="BX65" s="138" t="str">
        <f t="shared" si="17"/>
        <v/>
      </c>
      <c r="BY65" s="61"/>
      <c r="BZ65" s="61"/>
      <c r="CA65" s="138" t="str">
        <f t="shared" si="18"/>
        <v/>
      </c>
      <c r="CB65" s="61"/>
      <c r="CC65" s="61"/>
      <c r="CD65" s="138" t="str">
        <f t="shared" si="19"/>
        <v/>
      </c>
    </row>
    <row r="66" spans="1:82" x14ac:dyDescent="0.3">
      <c r="A66" s="17" t="s">
        <v>277</v>
      </c>
      <c r="B66" s="140" t="s">
        <v>306</v>
      </c>
      <c r="C66" s="51" t="s">
        <v>4</v>
      </c>
      <c r="D66" s="2"/>
      <c r="E66" s="9"/>
      <c r="F66" s="138" t="str">
        <f t="shared" ref="F66:F87" si="20">IFERROR(E66/D66,"")</f>
        <v/>
      </c>
      <c r="G66" s="12"/>
      <c r="H66" s="57"/>
      <c r="J66" s="2"/>
      <c r="K66" s="2"/>
      <c r="L66" s="138" t="str">
        <f t="shared" ref="L66:L87" si="21">IFERROR(K66/H66,"")</f>
        <v/>
      </c>
      <c r="M66" s="51"/>
      <c r="P66" s="2"/>
      <c r="Q66" s="2"/>
      <c r="R66" s="138" t="str">
        <f t="shared" ref="R66:R87" si="22">IFERROR(Q66/N66,"")</f>
        <v/>
      </c>
      <c r="T66" s="2"/>
      <c r="U66" s="2"/>
      <c r="V66" s="2"/>
      <c r="W66" s="2"/>
      <c r="X66" s="138" t="str">
        <f t="shared" ref="X66:X87" si="23">IFERROR(W66/T66,"")</f>
        <v/>
      </c>
      <c r="Y66" s="2"/>
      <c r="Z66" s="2"/>
      <c r="AA66" s="2"/>
      <c r="AB66" s="2"/>
      <c r="AC66" s="138" t="str">
        <f t="shared" ref="AC66:AC87" si="24">IFERROR(AB66/Y66,"")</f>
        <v/>
      </c>
      <c r="AG66" s="138" t="str">
        <f t="shared" ref="AG66:AG87" si="25">IFERROR(AF66/AE66,"")</f>
        <v/>
      </c>
      <c r="AJ66" s="138" t="str">
        <f t="shared" ref="AJ66:AJ87" si="26">IFERROR(AI66/AH66,"")</f>
        <v/>
      </c>
      <c r="AM66" s="138" t="str">
        <f t="shared" ref="AM66:AM87" si="27">IFERROR(AL66/AK66,"")</f>
        <v/>
      </c>
      <c r="AQ66" s="138" t="str">
        <f t="shared" ref="AQ66:AQ87" si="28">IFERROR(AP66/AO66,"")</f>
        <v/>
      </c>
      <c r="AT66" s="138" t="str">
        <f t="shared" ref="AT66:AT87" si="29">IFERROR(AS66/AR66,"")</f>
        <v/>
      </c>
      <c r="AV66" s="63"/>
      <c r="AW66" s="63"/>
      <c r="AX66" s="138" t="str">
        <f t="shared" ref="AX66:AX87" si="30">IFERROR(AW66/AV66,"")</f>
        <v/>
      </c>
      <c r="AZ66" s="91"/>
      <c r="BA66" s="91"/>
      <c r="BB66" s="138" t="str">
        <f t="shared" ref="BB66:BB87" si="31">IFERROR(BA66/AZ66,"")</f>
        <v/>
      </c>
      <c r="BD66" s="91"/>
      <c r="BE66" s="91"/>
      <c r="BF66" s="138" t="str">
        <f t="shared" ref="BF66:BF87" si="32">IFERROR(BE66/BD66,"")</f>
        <v/>
      </c>
      <c r="BG66" s="17" t="s">
        <v>32</v>
      </c>
      <c r="BH66" s="61">
        <v>29923</v>
      </c>
      <c r="BI66" s="61">
        <v>23167</v>
      </c>
      <c r="BJ66" s="138">
        <f t="shared" ref="BJ66:BJ87" si="33">IFERROR(BI66/BH66,"")</f>
        <v>0.77422049928148917</v>
      </c>
      <c r="BK66" s="63">
        <v>24205</v>
      </c>
      <c r="BL66" s="63">
        <v>17927</v>
      </c>
      <c r="BM66" s="138">
        <f t="shared" ref="BM66:BM87" si="34">IFERROR(BL66/BK66,"")</f>
        <v>0.7406321008056187</v>
      </c>
      <c r="BN66" s="17" t="s">
        <v>32</v>
      </c>
      <c r="BO66" s="61">
        <v>23245</v>
      </c>
      <c r="BP66" s="61">
        <v>17911</v>
      </c>
      <c r="BQ66" s="138">
        <f t="shared" ref="BQ66:BQ87" si="35">IFERROR(BP66/BO66,"")</f>
        <v>0.77053129705312973</v>
      </c>
      <c r="BR66" s="61">
        <v>25843</v>
      </c>
      <c r="BS66" s="61">
        <v>22187</v>
      </c>
      <c r="BT66" s="138">
        <f t="shared" ref="BT66:BT87" si="36">IFERROR(BS66/BR66,"")</f>
        <v>0.85853035638277286</v>
      </c>
      <c r="BU66" s="17" t="s">
        <v>32</v>
      </c>
      <c r="BV66" s="61">
        <f>$D$101*2935</f>
        <v>58700</v>
      </c>
      <c r="BW66" s="61">
        <v>50096</v>
      </c>
      <c r="BX66" s="138">
        <f t="shared" ref="BX66:BX87" si="37">IFERROR(BW66/BV66,"")</f>
        <v>0.85342419080068144</v>
      </c>
      <c r="BY66" s="61">
        <f>$D$101*1962</f>
        <v>39240</v>
      </c>
      <c r="BZ66" s="61">
        <v>31802</v>
      </c>
      <c r="CA66" s="138">
        <f t="shared" ref="CA66:CA87" si="38">IFERROR(BZ66/BY66,"")</f>
        <v>0.81044852191641181</v>
      </c>
      <c r="CB66" s="61">
        <f>$D$101*3390</f>
        <v>67800</v>
      </c>
      <c r="CC66" s="61">
        <v>61892</v>
      </c>
      <c r="CD66" s="138">
        <f t="shared" ref="CD66:CD87" si="39">IFERROR(CC66/CB66,"")</f>
        <v>0.91286135693215342</v>
      </c>
    </row>
    <row r="67" spans="1:82" x14ac:dyDescent="0.3">
      <c r="A67" s="17" t="s">
        <v>193</v>
      </c>
      <c r="B67" s="140" t="s">
        <v>306</v>
      </c>
      <c r="C67" s="147" t="s">
        <v>4</v>
      </c>
      <c r="D67" s="2">
        <f>$F$129*2996</f>
        <v>4681.25</v>
      </c>
      <c r="E67" s="9">
        <v>5447</v>
      </c>
      <c r="F67" s="138">
        <f t="shared" si="20"/>
        <v>1.1635781041388518</v>
      </c>
      <c r="G67" s="147" t="s">
        <v>4</v>
      </c>
      <c r="H67" s="142">
        <f>$F$129*1469</f>
        <v>2295.3125</v>
      </c>
      <c r="I67" s="2">
        <v>2771</v>
      </c>
      <c r="J67" s="2">
        <v>10</v>
      </c>
      <c r="K67" s="60">
        <f>I67+(J67/$D$187)</f>
        <v>2771.5</v>
      </c>
      <c r="L67" s="138">
        <f t="shared" si="21"/>
        <v>1.2074608577263444</v>
      </c>
      <c r="M67" s="143" t="s">
        <v>4</v>
      </c>
      <c r="N67" s="57">
        <f>$F$129*1781</f>
        <v>2782.8125</v>
      </c>
      <c r="O67" s="60">
        <v>3339</v>
      </c>
      <c r="P67" s="60">
        <v>10</v>
      </c>
      <c r="Q67" s="60">
        <f>O67+(P67/$D$187)</f>
        <v>3339.5</v>
      </c>
      <c r="R67" s="138">
        <f t="shared" si="22"/>
        <v>1.2000449185850646</v>
      </c>
      <c r="S67" s="139" t="s">
        <v>4</v>
      </c>
      <c r="T67" s="2">
        <f>$F$129*2198</f>
        <v>3434.375</v>
      </c>
      <c r="U67" s="2">
        <v>3484</v>
      </c>
      <c r="V67" s="2">
        <v>5</v>
      </c>
      <c r="W67" s="60">
        <f>U67+(V67/$D$187)</f>
        <v>3484.25</v>
      </c>
      <c r="X67" s="138">
        <f t="shared" si="23"/>
        <v>1.0145222929936306</v>
      </c>
      <c r="Y67" s="57">
        <f>$F$129*3373</f>
        <v>5270.3125</v>
      </c>
      <c r="Z67" s="57">
        <v>5089</v>
      </c>
      <c r="AA67" s="9">
        <v>0</v>
      </c>
      <c r="AB67" s="60">
        <f>Z67+(AA67/$D$187)</f>
        <v>5089</v>
      </c>
      <c r="AC67" s="138">
        <f t="shared" si="24"/>
        <v>0.96559739104654607</v>
      </c>
      <c r="AD67" s="17" t="s">
        <v>32</v>
      </c>
      <c r="AE67" s="74">
        <v>8785</v>
      </c>
      <c r="AF67" s="74">
        <v>6262</v>
      </c>
      <c r="AG67" s="138">
        <f t="shared" si="25"/>
        <v>0.71280591918042113</v>
      </c>
      <c r="AH67" s="63">
        <v>6602</v>
      </c>
      <c r="AI67" s="63">
        <v>5918</v>
      </c>
      <c r="AJ67" s="138">
        <f t="shared" si="26"/>
        <v>0.89639503180854285</v>
      </c>
      <c r="AK67" s="63">
        <v>11953</v>
      </c>
      <c r="AL67" s="63">
        <v>9961</v>
      </c>
      <c r="AM67" s="138">
        <f t="shared" si="27"/>
        <v>0.83334727683426757</v>
      </c>
      <c r="AN67" s="17" t="s">
        <v>32</v>
      </c>
      <c r="AO67" s="63">
        <v>7017</v>
      </c>
      <c r="AP67" s="63">
        <v>5845</v>
      </c>
      <c r="AQ67" s="138">
        <f t="shared" si="28"/>
        <v>0.83297705572181846</v>
      </c>
      <c r="AR67" s="63">
        <v>11070</v>
      </c>
      <c r="AS67" s="63">
        <v>9748</v>
      </c>
      <c r="AT67" s="138">
        <f t="shared" si="29"/>
        <v>0.88057813911472449</v>
      </c>
      <c r="AU67" s="17" t="s">
        <v>4</v>
      </c>
      <c r="AV67" s="63">
        <v>44951</v>
      </c>
      <c r="AW67" s="63">
        <v>39475</v>
      </c>
      <c r="AX67" s="138">
        <f t="shared" si="30"/>
        <v>0.87817846099085672</v>
      </c>
      <c r="AY67" s="17" t="s">
        <v>4</v>
      </c>
      <c r="AZ67" s="91">
        <v>24717</v>
      </c>
      <c r="BA67" s="91">
        <v>21984</v>
      </c>
      <c r="BB67" s="138">
        <f t="shared" si="31"/>
        <v>0.88942832868066513</v>
      </c>
      <c r="BC67" s="17" t="s">
        <v>4</v>
      </c>
      <c r="BD67" s="91">
        <v>27432</v>
      </c>
      <c r="BE67" s="91">
        <v>16817</v>
      </c>
      <c r="BF67" s="138">
        <f t="shared" si="32"/>
        <v>0.61304316127150771</v>
      </c>
      <c r="BG67" s="17" t="s">
        <v>32</v>
      </c>
      <c r="BH67" s="61">
        <v>40037</v>
      </c>
      <c r="BI67" s="61">
        <v>43037</v>
      </c>
      <c r="BJ67" s="138">
        <f t="shared" si="33"/>
        <v>1.0749306891125709</v>
      </c>
      <c r="BK67" s="63">
        <v>28404</v>
      </c>
      <c r="BL67" s="63">
        <v>30556</v>
      </c>
      <c r="BM67" s="138">
        <f t="shared" si="34"/>
        <v>1.0757639769046614</v>
      </c>
      <c r="BN67" s="17" t="s">
        <v>32</v>
      </c>
      <c r="BO67" s="61">
        <v>49525</v>
      </c>
      <c r="BP67" s="61">
        <v>50475</v>
      </c>
      <c r="BQ67" s="138">
        <f t="shared" si="35"/>
        <v>1.0191822311963654</v>
      </c>
      <c r="BR67" s="61">
        <v>59021</v>
      </c>
      <c r="BS67" s="61">
        <v>57068</v>
      </c>
      <c r="BT67" s="138">
        <f t="shared" si="36"/>
        <v>0.9669100828518663</v>
      </c>
      <c r="BU67" s="17" t="s">
        <v>32</v>
      </c>
      <c r="BV67" s="61">
        <f>$D$101*3243</f>
        <v>64860</v>
      </c>
      <c r="BW67" s="61">
        <v>74314</v>
      </c>
      <c r="BX67" s="138">
        <f t="shared" si="37"/>
        <v>1.1457600986740673</v>
      </c>
      <c r="BY67" s="61">
        <f>$D$101*2534</f>
        <v>50680</v>
      </c>
      <c r="BZ67" s="61">
        <v>51465</v>
      </c>
      <c r="CA67" s="138">
        <f t="shared" si="38"/>
        <v>1.0154893449092344</v>
      </c>
      <c r="CB67" s="61">
        <f>$D$101*2478</f>
        <v>49560</v>
      </c>
      <c r="CC67" s="61">
        <v>63937</v>
      </c>
      <c r="CD67" s="138">
        <f t="shared" si="39"/>
        <v>1.2900928167877321</v>
      </c>
    </row>
    <row r="68" spans="1:82" x14ac:dyDescent="0.3">
      <c r="A68" s="76" t="s">
        <v>278</v>
      </c>
      <c r="B68" s="140" t="s">
        <v>306</v>
      </c>
      <c r="C68" s="51" t="s">
        <v>4</v>
      </c>
      <c r="D68" s="2"/>
      <c r="E68" s="2"/>
      <c r="F68" s="138" t="str">
        <f t="shared" si="20"/>
        <v/>
      </c>
      <c r="G68" s="12"/>
      <c r="H68" s="57"/>
      <c r="J68" s="2"/>
      <c r="K68" s="2"/>
      <c r="L68" s="138" t="str">
        <f t="shared" si="21"/>
        <v/>
      </c>
      <c r="M68" s="51"/>
      <c r="P68" s="2"/>
      <c r="Q68" s="2"/>
      <c r="R68" s="138" t="str">
        <f t="shared" si="22"/>
        <v/>
      </c>
      <c r="S68" s="139" t="s">
        <v>4</v>
      </c>
      <c r="T68" s="9">
        <f>$D$128*5106</f>
        <v>8935.5</v>
      </c>
      <c r="U68" s="9">
        <v>5332</v>
      </c>
      <c r="V68" s="9">
        <v>10</v>
      </c>
      <c r="W68" s="60">
        <f>U68+(V68/$D$187)</f>
        <v>5332.5</v>
      </c>
      <c r="X68" s="138">
        <f t="shared" si="23"/>
        <v>0.59677690112472725</v>
      </c>
      <c r="Y68" s="57">
        <f>$D$128*2198</f>
        <v>3846.5</v>
      </c>
      <c r="Z68" s="57">
        <v>2168</v>
      </c>
      <c r="AA68" s="9">
        <v>0</v>
      </c>
      <c r="AB68" s="60">
        <f>Z68+(AA68/$D$187)</f>
        <v>2168</v>
      </c>
      <c r="AC68" s="138">
        <f t="shared" si="24"/>
        <v>0.56362927336539714</v>
      </c>
      <c r="AG68" s="138" t="str">
        <f t="shared" si="25"/>
        <v/>
      </c>
      <c r="AJ68" s="138" t="str">
        <f t="shared" si="26"/>
        <v/>
      </c>
      <c r="AM68" s="138" t="str">
        <f t="shared" si="27"/>
        <v/>
      </c>
      <c r="AQ68" s="138" t="str">
        <f t="shared" si="28"/>
        <v/>
      </c>
      <c r="AT68" s="138" t="str">
        <f t="shared" si="29"/>
        <v/>
      </c>
      <c r="AV68" s="63"/>
      <c r="AW68" s="63"/>
      <c r="AX68" s="138" t="str">
        <f t="shared" si="30"/>
        <v/>
      </c>
      <c r="AZ68" s="91"/>
      <c r="BA68" s="91"/>
      <c r="BB68" s="138" t="str">
        <f t="shared" si="31"/>
        <v/>
      </c>
      <c r="BD68" s="91"/>
      <c r="BE68" s="91"/>
      <c r="BF68" s="138" t="str">
        <f t="shared" si="32"/>
        <v/>
      </c>
      <c r="BH68" s="2"/>
      <c r="BI68" s="2"/>
      <c r="BJ68" s="138" t="str">
        <f t="shared" si="33"/>
        <v/>
      </c>
      <c r="BM68" s="138" t="str">
        <f t="shared" si="34"/>
        <v/>
      </c>
      <c r="BO68" s="61"/>
      <c r="BP68" s="61"/>
      <c r="BQ68" s="138" t="str">
        <f t="shared" si="35"/>
        <v/>
      </c>
      <c r="BR68" s="61"/>
      <c r="BS68" s="61"/>
      <c r="BT68" s="138" t="str">
        <f t="shared" si="36"/>
        <v/>
      </c>
      <c r="BV68" s="61"/>
      <c r="BW68" s="61"/>
      <c r="BX68" s="138" t="str">
        <f t="shared" si="37"/>
        <v/>
      </c>
      <c r="BY68" s="61"/>
      <c r="BZ68" s="61"/>
      <c r="CA68" s="138" t="str">
        <f t="shared" si="38"/>
        <v/>
      </c>
      <c r="CB68" s="61"/>
      <c r="CC68" s="61"/>
      <c r="CD68" s="138" t="str">
        <f t="shared" si="39"/>
        <v/>
      </c>
    </row>
    <row r="69" spans="1:82" x14ac:dyDescent="0.3">
      <c r="A69" s="76" t="s">
        <v>279</v>
      </c>
      <c r="B69" s="140" t="s">
        <v>306</v>
      </c>
      <c r="C69" s="51" t="s">
        <v>4</v>
      </c>
      <c r="D69" s="2"/>
      <c r="E69" s="2"/>
      <c r="F69" s="138" t="str">
        <f t="shared" si="20"/>
        <v/>
      </c>
      <c r="G69" s="12"/>
      <c r="H69" s="57"/>
      <c r="J69" s="2"/>
      <c r="K69" s="2"/>
      <c r="L69" s="138" t="str">
        <f t="shared" si="21"/>
        <v/>
      </c>
      <c r="M69" s="51"/>
      <c r="P69" s="2"/>
      <c r="Q69" s="2"/>
      <c r="R69" s="138" t="str">
        <f t="shared" si="22"/>
        <v/>
      </c>
      <c r="S69" s="17"/>
      <c r="T69" s="9"/>
      <c r="U69" s="9"/>
      <c r="V69" s="9"/>
      <c r="W69" s="9"/>
      <c r="X69" s="138" t="str">
        <f t="shared" si="23"/>
        <v/>
      </c>
      <c r="Y69" s="57"/>
      <c r="Z69" s="57"/>
      <c r="AA69" s="9"/>
      <c r="AB69" s="9"/>
      <c r="AC69" s="138" t="str">
        <f t="shared" si="24"/>
        <v/>
      </c>
      <c r="AD69" s="17" t="s">
        <v>32</v>
      </c>
      <c r="AE69" s="74">
        <v>3202</v>
      </c>
      <c r="AF69" s="74">
        <v>3808</v>
      </c>
      <c r="AG69" s="138">
        <f t="shared" si="25"/>
        <v>1.1892567145534041</v>
      </c>
      <c r="AH69" s="63">
        <v>7338</v>
      </c>
      <c r="AI69" s="63">
        <v>4127</v>
      </c>
      <c r="AJ69" s="138">
        <f t="shared" si="26"/>
        <v>0.56241482692831835</v>
      </c>
      <c r="AK69" s="63">
        <v>4760</v>
      </c>
      <c r="AL69" s="63">
        <v>3563</v>
      </c>
      <c r="AM69" s="138">
        <f t="shared" si="27"/>
        <v>0.74852941176470589</v>
      </c>
      <c r="AN69" s="17" t="s">
        <v>32</v>
      </c>
      <c r="AO69" s="63">
        <v>5198</v>
      </c>
      <c r="AP69" s="63">
        <v>3977</v>
      </c>
      <c r="AQ69" s="138">
        <f t="shared" si="28"/>
        <v>0.76510196229318972</v>
      </c>
      <c r="AR69" s="63">
        <v>6697</v>
      </c>
      <c r="AS69" s="63">
        <v>5114</v>
      </c>
      <c r="AT69" s="138">
        <f t="shared" si="29"/>
        <v>0.76362550395699569</v>
      </c>
      <c r="AU69" s="51" t="s">
        <v>4</v>
      </c>
      <c r="AV69" s="63">
        <v>13249</v>
      </c>
      <c r="AW69" s="63">
        <v>11050</v>
      </c>
      <c r="AX69" s="138">
        <f t="shared" si="30"/>
        <v>0.83402520944976977</v>
      </c>
      <c r="AZ69" s="91"/>
      <c r="BA69" s="91"/>
      <c r="BB69" s="138" t="str">
        <f t="shared" si="31"/>
        <v/>
      </c>
      <c r="BD69" s="91"/>
      <c r="BE69" s="91"/>
      <c r="BF69" s="138" t="str">
        <f t="shared" si="32"/>
        <v/>
      </c>
      <c r="BH69" s="2"/>
      <c r="BI69" s="2"/>
      <c r="BJ69" s="138" t="str">
        <f t="shared" si="33"/>
        <v/>
      </c>
      <c r="BM69" s="138" t="str">
        <f t="shared" si="34"/>
        <v/>
      </c>
      <c r="BO69" s="2"/>
      <c r="BP69" s="2"/>
      <c r="BQ69" s="138" t="str">
        <f t="shared" si="35"/>
        <v/>
      </c>
      <c r="BR69" s="2"/>
      <c r="BS69" s="2"/>
      <c r="BT69" s="138" t="str">
        <f t="shared" si="36"/>
        <v/>
      </c>
      <c r="BV69" s="61"/>
      <c r="BW69" s="61"/>
      <c r="BX69" s="138" t="str">
        <f t="shared" si="37"/>
        <v/>
      </c>
      <c r="BY69" s="61"/>
      <c r="BZ69" s="61"/>
      <c r="CA69" s="138" t="str">
        <f t="shared" si="38"/>
        <v/>
      </c>
      <c r="CB69" s="61"/>
      <c r="CC69" s="61"/>
      <c r="CD69" s="138" t="str">
        <f t="shared" si="39"/>
        <v/>
      </c>
    </row>
    <row r="70" spans="1:82" x14ac:dyDescent="0.3">
      <c r="A70" s="76" t="s">
        <v>280</v>
      </c>
      <c r="B70" s="9" t="s">
        <v>306</v>
      </c>
      <c r="C70" s="51" t="s">
        <v>4</v>
      </c>
      <c r="D70" s="2"/>
      <c r="E70" s="2"/>
      <c r="F70" s="138" t="str">
        <f t="shared" si="20"/>
        <v/>
      </c>
      <c r="G70" s="12"/>
      <c r="H70" s="57"/>
      <c r="J70" s="2"/>
      <c r="K70" s="2"/>
      <c r="L70" s="138" t="str">
        <f t="shared" si="21"/>
        <v/>
      </c>
      <c r="M70" s="51"/>
      <c r="P70" s="2"/>
      <c r="Q70" s="2"/>
      <c r="R70" s="138" t="str">
        <f t="shared" si="22"/>
        <v/>
      </c>
      <c r="S70" s="17"/>
      <c r="T70" s="9"/>
      <c r="U70" s="9"/>
      <c r="V70" s="9"/>
      <c r="W70" s="9"/>
      <c r="X70" s="138" t="str">
        <f t="shared" si="23"/>
        <v/>
      </c>
      <c r="Y70" s="57"/>
      <c r="Z70" s="57"/>
      <c r="AA70" s="9"/>
      <c r="AB70" s="9"/>
      <c r="AC70" s="138" t="str">
        <f t="shared" si="24"/>
        <v/>
      </c>
      <c r="AD70" s="17"/>
      <c r="AE70" s="74"/>
      <c r="AF70" s="74"/>
      <c r="AG70" s="138" t="str">
        <f t="shared" si="25"/>
        <v/>
      </c>
      <c r="AH70" s="63"/>
      <c r="AI70" s="63"/>
      <c r="AJ70" s="138" t="str">
        <f t="shared" si="26"/>
        <v/>
      </c>
      <c r="AK70" s="63"/>
      <c r="AL70" s="63"/>
      <c r="AM70" s="138" t="str">
        <f t="shared" si="27"/>
        <v/>
      </c>
      <c r="AN70" s="17"/>
      <c r="AO70" s="63"/>
      <c r="AP70" s="63"/>
      <c r="AQ70" s="138" t="str">
        <f t="shared" si="28"/>
        <v/>
      </c>
      <c r="AR70" s="63"/>
      <c r="AS70" s="63"/>
      <c r="AT70" s="138" t="str">
        <f t="shared" si="29"/>
        <v/>
      </c>
      <c r="AV70" s="63"/>
      <c r="AW70" s="63"/>
      <c r="AX70" s="138" t="str">
        <f t="shared" si="30"/>
        <v/>
      </c>
      <c r="AY70" s="17" t="s">
        <v>4</v>
      </c>
      <c r="AZ70" s="91">
        <v>10893</v>
      </c>
      <c r="BA70" s="91">
        <v>9197</v>
      </c>
      <c r="BB70" s="138">
        <f t="shared" si="31"/>
        <v>0.84430368126319655</v>
      </c>
      <c r="BC70" s="17" t="s">
        <v>4</v>
      </c>
      <c r="BD70" s="91">
        <v>9204</v>
      </c>
      <c r="BE70" s="91">
        <v>5680</v>
      </c>
      <c r="BF70" s="138">
        <f t="shared" si="32"/>
        <v>0.61712299000434589</v>
      </c>
      <c r="BH70" s="2"/>
      <c r="BI70" s="2"/>
      <c r="BJ70" s="138" t="str">
        <f t="shared" si="33"/>
        <v/>
      </c>
      <c r="BM70" s="138" t="str">
        <f t="shared" si="34"/>
        <v/>
      </c>
      <c r="BO70" s="2"/>
      <c r="BP70" s="2"/>
      <c r="BQ70" s="138" t="str">
        <f t="shared" si="35"/>
        <v/>
      </c>
      <c r="BR70" s="2"/>
      <c r="BS70" s="2"/>
      <c r="BT70" s="138" t="str">
        <f t="shared" si="36"/>
        <v/>
      </c>
      <c r="BV70" s="61"/>
      <c r="BW70" s="61"/>
      <c r="BX70" s="138" t="str">
        <f t="shared" si="37"/>
        <v/>
      </c>
      <c r="BY70" s="61"/>
      <c r="BZ70" s="61"/>
      <c r="CA70" s="138" t="str">
        <f t="shared" si="38"/>
        <v/>
      </c>
      <c r="CB70" s="61"/>
      <c r="CC70" s="61"/>
      <c r="CD70" s="138" t="str">
        <f t="shared" si="39"/>
        <v/>
      </c>
    </row>
    <row r="71" spans="1:82" x14ac:dyDescent="0.3">
      <c r="A71" s="76" t="s">
        <v>281</v>
      </c>
      <c r="B71" s="9" t="s">
        <v>306</v>
      </c>
      <c r="C71" s="51" t="s">
        <v>4</v>
      </c>
      <c r="D71" s="2"/>
      <c r="E71" s="2"/>
      <c r="F71" s="138" t="str">
        <f t="shared" si="20"/>
        <v/>
      </c>
      <c r="G71" s="12"/>
      <c r="H71" s="57"/>
      <c r="J71" s="2"/>
      <c r="K71" s="2"/>
      <c r="L71" s="138" t="str">
        <f t="shared" si="21"/>
        <v/>
      </c>
      <c r="M71" s="51"/>
      <c r="P71" s="2"/>
      <c r="Q71" s="2"/>
      <c r="R71" s="138" t="str">
        <f t="shared" si="22"/>
        <v/>
      </c>
      <c r="S71" s="17"/>
      <c r="T71" s="9"/>
      <c r="U71" s="9"/>
      <c r="V71" s="9"/>
      <c r="W71" s="9"/>
      <c r="X71" s="138" t="str">
        <f t="shared" si="23"/>
        <v/>
      </c>
      <c r="Y71" s="57"/>
      <c r="Z71" s="57"/>
      <c r="AA71" s="9"/>
      <c r="AB71" s="9"/>
      <c r="AC71" s="138" t="str">
        <f t="shared" si="24"/>
        <v/>
      </c>
      <c r="AD71" s="17"/>
      <c r="AE71" s="74"/>
      <c r="AF71" s="74"/>
      <c r="AG71" s="138" t="str">
        <f t="shared" si="25"/>
        <v/>
      </c>
      <c r="AH71" s="63"/>
      <c r="AI71" s="63"/>
      <c r="AJ71" s="138" t="str">
        <f t="shared" si="26"/>
        <v/>
      </c>
      <c r="AK71" s="63"/>
      <c r="AL71" s="63"/>
      <c r="AM71" s="138" t="str">
        <f t="shared" si="27"/>
        <v/>
      </c>
      <c r="AN71" s="17"/>
      <c r="AO71" s="63"/>
      <c r="AP71" s="63"/>
      <c r="AQ71" s="138" t="str">
        <f t="shared" si="28"/>
        <v/>
      </c>
      <c r="AR71" s="63"/>
      <c r="AS71" s="63"/>
      <c r="AT71" s="138" t="str">
        <f t="shared" si="29"/>
        <v/>
      </c>
      <c r="AV71" s="63"/>
      <c r="AW71" s="63"/>
      <c r="AX71" s="138" t="str">
        <f t="shared" si="30"/>
        <v/>
      </c>
      <c r="AZ71" s="91"/>
      <c r="BA71" s="91"/>
      <c r="BB71" s="138" t="str">
        <f t="shared" si="31"/>
        <v/>
      </c>
      <c r="BC71" s="51" t="s">
        <v>4</v>
      </c>
      <c r="BD71" s="91">
        <v>493</v>
      </c>
      <c r="BE71" s="91">
        <v>361</v>
      </c>
      <c r="BF71" s="138">
        <f t="shared" si="32"/>
        <v>0.73225152129817439</v>
      </c>
      <c r="BH71" s="2"/>
      <c r="BI71" s="2"/>
      <c r="BJ71" s="138" t="str">
        <f t="shared" si="33"/>
        <v/>
      </c>
      <c r="BM71" s="138" t="str">
        <f t="shared" si="34"/>
        <v/>
      </c>
      <c r="BO71" s="2"/>
      <c r="BP71" s="2"/>
      <c r="BQ71" s="138" t="str">
        <f t="shared" si="35"/>
        <v/>
      </c>
      <c r="BR71" s="2"/>
      <c r="BS71" s="2"/>
      <c r="BT71" s="138" t="str">
        <f t="shared" si="36"/>
        <v/>
      </c>
      <c r="BV71" s="61"/>
      <c r="BW71" s="61"/>
      <c r="BX71" s="138" t="str">
        <f t="shared" si="37"/>
        <v/>
      </c>
      <c r="BY71" s="61"/>
      <c r="BZ71" s="61"/>
      <c r="CA71" s="138" t="str">
        <f t="shared" si="38"/>
        <v/>
      </c>
      <c r="CB71" s="61"/>
      <c r="CC71" s="61"/>
      <c r="CD71" s="138" t="str">
        <f t="shared" si="39"/>
        <v/>
      </c>
    </row>
    <row r="72" spans="1:82" x14ac:dyDescent="0.3">
      <c r="A72" s="17" t="s">
        <v>56</v>
      </c>
      <c r="B72" s="9" t="s">
        <v>308</v>
      </c>
      <c r="C72" s="17" t="s">
        <v>21</v>
      </c>
      <c r="D72" s="66">
        <v>1438</v>
      </c>
      <c r="E72" s="57">
        <v>109</v>
      </c>
      <c r="F72" s="138">
        <f t="shared" si="20"/>
        <v>7.5799721835883169E-2</v>
      </c>
      <c r="G72" s="12"/>
      <c r="H72" s="57"/>
      <c r="J72" s="2"/>
      <c r="K72" s="2"/>
      <c r="L72" s="138" t="str">
        <f t="shared" si="21"/>
        <v/>
      </c>
      <c r="M72" s="51"/>
      <c r="P72" s="2"/>
      <c r="Q72" s="2"/>
      <c r="R72" s="138" t="str">
        <f t="shared" si="22"/>
        <v/>
      </c>
      <c r="T72" s="2"/>
      <c r="U72" s="2"/>
      <c r="V72" s="2"/>
      <c r="W72" s="2"/>
      <c r="X72" s="138" t="str">
        <f t="shared" si="23"/>
        <v/>
      </c>
      <c r="Y72" s="2"/>
      <c r="Z72" s="2"/>
      <c r="AA72" s="2"/>
      <c r="AB72" s="2"/>
      <c r="AC72" s="138" t="str">
        <f t="shared" si="24"/>
        <v/>
      </c>
      <c r="AG72" s="138" t="str">
        <f t="shared" si="25"/>
        <v/>
      </c>
      <c r="AJ72" s="138" t="str">
        <f t="shared" si="26"/>
        <v/>
      </c>
      <c r="AM72" s="138" t="str">
        <f t="shared" si="27"/>
        <v/>
      </c>
      <c r="AQ72" s="138" t="str">
        <f t="shared" si="28"/>
        <v/>
      </c>
      <c r="AT72" s="138" t="str">
        <f t="shared" si="29"/>
        <v/>
      </c>
      <c r="AV72" s="63"/>
      <c r="AW72" s="63"/>
      <c r="AX72" s="138" t="str">
        <f t="shared" si="30"/>
        <v/>
      </c>
      <c r="AZ72" s="91"/>
      <c r="BA72" s="91"/>
      <c r="BB72" s="138" t="str">
        <f t="shared" si="31"/>
        <v/>
      </c>
      <c r="BD72" s="91"/>
      <c r="BE72" s="91"/>
      <c r="BF72" s="138" t="str">
        <f t="shared" si="32"/>
        <v/>
      </c>
      <c r="BH72" s="2"/>
      <c r="BI72" s="2"/>
      <c r="BJ72" s="138" t="str">
        <f t="shared" si="33"/>
        <v/>
      </c>
      <c r="BM72" s="138" t="str">
        <f t="shared" si="34"/>
        <v/>
      </c>
      <c r="BO72" s="2"/>
      <c r="BP72" s="2"/>
      <c r="BQ72" s="138" t="str">
        <f t="shared" si="35"/>
        <v/>
      </c>
      <c r="BR72" s="2"/>
      <c r="BS72" s="2"/>
      <c r="BT72" s="138" t="str">
        <f t="shared" si="36"/>
        <v/>
      </c>
      <c r="BV72" s="61"/>
      <c r="BW72" s="61"/>
      <c r="BX72" s="138" t="str">
        <f t="shared" si="37"/>
        <v/>
      </c>
      <c r="BY72" s="61"/>
      <c r="BZ72" s="61"/>
      <c r="CA72" s="138" t="str">
        <f t="shared" si="38"/>
        <v/>
      </c>
      <c r="CB72" s="61"/>
      <c r="CC72" s="61"/>
      <c r="CD72" s="138" t="str">
        <f t="shared" si="39"/>
        <v/>
      </c>
    </row>
    <row r="73" spans="1:82" x14ac:dyDescent="0.3">
      <c r="A73" s="17" t="s">
        <v>49</v>
      </c>
      <c r="B73" s="140" t="s">
        <v>308</v>
      </c>
      <c r="C73" s="58" t="s">
        <v>21</v>
      </c>
      <c r="D73" s="57">
        <f>D151*271</f>
        <v>239.56399999999999</v>
      </c>
      <c r="E73" s="66">
        <v>1400</v>
      </c>
      <c r="F73" s="138">
        <f t="shared" si="20"/>
        <v>5.8439498422133545</v>
      </c>
      <c r="G73" s="58" t="s">
        <v>21</v>
      </c>
      <c r="H73" s="57">
        <f>D151*304</f>
        <v>268.73599999999999</v>
      </c>
      <c r="I73" s="60">
        <v>962</v>
      </c>
      <c r="J73" s="60">
        <v>0</v>
      </c>
      <c r="K73" s="60">
        <f>I73+(J73/$D$187)</f>
        <v>962</v>
      </c>
      <c r="L73" s="138">
        <f t="shared" si="21"/>
        <v>3.5797213622291024</v>
      </c>
      <c r="M73" s="143" t="s">
        <v>4</v>
      </c>
      <c r="N73" s="57">
        <f>D151*310</f>
        <v>274.04000000000002</v>
      </c>
      <c r="O73" s="60">
        <v>775</v>
      </c>
      <c r="P73" s="60">
        <v>0</v>
      </c>
      <c r="Q73" s="60">
        <f>O73+(P73/$D$187)</f>
        <v>775</v>
      </c>
      <c r="R73" s="138">
        <f t="shared" si="22"/>
        <v>2.8280542986425337</v>
      </c>
      <c r="S73" s="17"/>
      <c r="T73" s="9"/>
      <c r="U73" s="9"/>
      <c r="V73" s="9"/>
      <c r="W73" s="9"/>
      <c r="X73" s="138" t="str">
        <f t="shared" si="23"/>
        <v/>
      </c>
      <c r="Y73" s="57"/>
      <c r="Z73" s="57"/>
      <c r="AA73" s="9"/>
      <c r="AB73" s="9"/>
      <c r="AC73" s="138" t="str">
        <f t="shared" si="24"/>
        <v/>
      </c>
      <c r="AD73" s="17" t="s">
        <v>32</v>
      </c>
      <c r="AE73" s="64">
        <v>193</v>
      </c>
      <c r="AF73" s="64">
        <v>788</v>
      </c>
      <c r="AG73" s="138">
        <f t="shared" si="25"/>
        <v>4.0829015544041454</v>
      </c>
      <c r="AH73" s="17">
        <v>196</v>
      </c>
      <c r="AI73" s="17">
        <v>911</v>
      </c>
      <c r="AJ73" s="138">
        <f t="shared" si="26"/>
        <v>4.6479591836734695</v>
      </c>
      <c r="AK73" s="17">
        <v>171</v>
      </c>
      <c r="AL73" s="17">
        <v>768</v>
      </c>
      <c r="AM73" s="138">
        <f t="shared" si="27"/>
        <v>4.4912280701754383</v>
      </c>
      <c r="AN73" s="17" t="s">
        <v>32</v>
      </c>
      <c r="AO73" s="17">
        <v>398</v>
      </c>
      <c r="AP73" s="63">
        <v>1464</v>
      </c>
      <c r="AQ73" s="138">
        <f t="shared" si="28"/>
        <v>3.6783919597989949</v>
      </c>
      <c r="AR73" s="17">
        <v>560</v>
      </c>
      <c r="AS73" s="63">
        <v>1870</v>
      </c>
      <c r="AT73" s="138">
        <f t="shared" si="29"/>
        <v>3.3392857142857144</v>
      </c>
      <c r="AU73" s="17" t="s">
        <v>4</v>
      </c>
      <c r="AV73" s="63">
        <v>1645</v>
      </c>
      <c r="AW73" s="63">
        <v>5235</v>
      </c>
      <c r="AX73" s="138">
        <f t="shared" si="30"/>
        <v>3.1823708206686931</v>
      </c>
      <c r="AY73" s="17" t="s">
        <v>4</v>
      </c>
      <c r="AZ73" s="91">
        <v>1651</v>
      </c>
      <c r="BA73" s="91">
        <v>4953</v>
      </c>
      <c r="BB73" s="138">
        <f t="shared" si="31"/>
        <v>3</v>
      </c>
      <c r="BC73" s="17" t="s">
        <v>4</v>
      </c>
      <c r="BD73" s="91">
        <v>1667</v>
      </c>
      <c r="BE73" s="91">
        <v>3606</v>
      </c>
      <c r="BF73" s="138">
        <f t="shared" si="32"/>
        <v>2.1631673665266948</v>
      </c>
      <c r="BG73" s="17" t="s">
        <v>32</v>
      </c>
      <c r="BH73" s="9">
        <v>926</v>
      </c>
      <c r="BI73" s="9">
        <v>5550</v>
      </c>
      <c r="BJ73" s="138">
        <f t="shared" si="33"/>
        <v>5.9935205183585314</v>
      </c>
      <c r="BK73" s="17">
        <v>882</v>
      </c>
      <c r="BL73" s="63">
        <v>5486</v>
      </c>
      <c r="BM73" s="138">
        <f t="shared" si="34"/>
        <v>6.2199546485260768</v>
      </c>
      <c r="BN73" s="17" t="s">
        <v>32</v>
      </c>
      <c r="BO73" s="61">
        <f>$D$101*319</f>
        <v>6380</v>
      </c>
      <c r="BP73" s="61">
        <v>49991</v>
      </c>
      <c r="BQ73" s="138">
        <f t="shared" si="35"/>
        <v>7.8355799373040753</v>
      </c>
      <c r="BR73" s="61">
        <v>2026</v>
      </c>
      <c r="BS73" s="61">
        <v>12468</v>
      </c>
      <c r="BT73" s="138">
        <f t="shared" si="36"/>
        <v>6.153998025666338</v>
      </c>
      <c r="BU73" s="17" t="s">
        <v>32</v>
      </c>
      <c r="BV73" s="61">
        <f>$D$101*142</f>
        <v>2840</v>
      </c>
      <c r="BW73" s="61">
        <v>15209</v>
      </c>
      <c r="BX73" s="138">
        <f t="shared" si="37"/>
        <v>5.3552816901408447</v>
      </c>
      <c r="BY73" s="61">
        <f>$D$101*106</f>
        <v>2120</v>
      </c>
      <c r="BZ73" s="61">
        <v>10341</v>
      </c>
      <c r="CA73" s="138">
        <f t="shared" si="38"/>
        <v>4.877830188679245</v>
      </c>
      <c r="CB73" s="61">
        <f>$D$101*64</f>
        <v>1280</v>
      </c>
      <c r="CC73" s="61">
        <v>10626</v>
      </c>
      <c r="CD73" s="138">
        <f t="shared" si="39"/>
        <v>8.3015624999999993</v>
      </c>
    </row>
    <row r="74" spans="1:82" x14ac:dyDescent="0.3">
      <c r="A74" s="9" t="s">
        <v>50</v>
      </c>
      <c r="B74" s="9" t="s">
        <v>315</v>
      </c>
      <c r="C74" s="17" t="s">
        <v>8</v>
      </c>
      <c r="D74" s="57"/>
      <c r="E74" s="66"/>
      <c r="F74" s="138" t="str">
        <f t="shared" si="20"/>
        <v/>
      </c>
      <c r="G74" s="58"/>
      <c r="H74" s="57"/>
      <c r="I74" s="92"/>
      <c r="J74" s="93"/>
      <c r="K74" s="60"/>
      <c r="L74" s="138" t="str">
        <f t="shared" si="21"/>
        <v/>
      </c>
      <c r="M74" s="17" t="s">
        <v>8</v>
      </c>
      <c r="N74" s="57">
        <v>40</v>
      </c>
      <c r="O74" s="59">
        <v>200</v>
      </c>
      <c r="P74" s="59">
        <v>0</v>
      </c>
      <c r="Q74" s="60">
        <f>O74+(P74/$D$187)</f>
        <v>200</v>
      </c>
      <c r="R74" s="138">
        <f t="shared" si="22"/>
        <v>5</v>
      </c>
      <c r="T74" s="2"/>
      <c r="U74" s="2"/>
      <c r="V74" s="2"/>
      <c r="W74" s="2"/>
      <c r="X74" s="138" t="str">
        <f t="shared" si="23"/>
        <v/>
      </c>
      <c r="Y74" s="2"/>
      <c r="Z74" s="2"/>
      <c r="AA74" s="2"/>
      <c r="AB74" s="2"/>
      <c r="AC74" s="138" t="str">
        <f t="shared" si="24"/>
        <v/>
      </c>
      <c r="AD74" s="17"/>
      <c r="AE74" s="64"/>
      <c r="AF74" s="74"/>
      <c r="AG74" s="138" t="str">
        <f t="shared" si="25"/>
        <v/>
      </c>
      <c r="AH74" s="17"/>
      <c r="AI74" s="17"/>
      <c r="AJ74" s="138" t="str">
        <f t="shared" si="26"/>
        <v/>
      </c>
      <c r="AK74" s="17"/>
      <c r="AL74" s="17"/>
      <c r="AM74" s="138" t="str">
        <f t="shared" si="27"/>
        <v/>
      </c>
      <c r="AN74" s="17"/>
      <c r="AO74" s="17"/>
      <c r="AP74" s="63"/>
      <c r="AQ74" s="138" t="str">
        <f t="shared" si="28"/>
        <v/>
      </c>
      <c r="AR74" s="17"/>
      <c r="AS74" s="63"/>
      <c r="AT74" s="138" t="str">
        <f t="shared" si="29"/>
        <v/>
      </c>
      <c r="AU74" s="17"/>
      <c r="AV74" s="17"/>
      <c r="AW74" s="63"/>
      <c r="AX74" s="138" t="str">
        <f t="shared" si="30"/>
        <v/>
      </c>
      <c r="AY74" s="17"/>
      <c r="AZ74" s="65"/>
      <c r="BA74" s="65"/>
      <c r="BB74" s="138" t="str">
        <f t="shared" si="31"/>
        <v/>
      </c>
      <c r="BC74" s="17"/>
      <c r="BD74" s="65"/>
      <c r="BE74" s="65"/>
      <c r="BF74" s="138" t="str">
        <f t="shared" si="32"/>
        <v/>
      </c>
      <c r="BG74" s="17"/>
      <c r="BH74" s="61"/>
      <c r="BI74" s="9"/>
      <c r="BJ74" s="138" t="str">
        <f t="shared" si="33"/>
        <v/>
      </c>
      <c r="BK74" s="63"/>
      <c r="BL74" s="63"/>
      <c r="BM74" s="138" t="str">
        <f t="shared" si="34"/>
        <v/>
      </c>
      <c r="BN74" s="17"/>
      <c r="BO74" s="9"/>
      <c r="BP74" s="9"/>
      <c r="BQ74" s="138" t="str">
        <f t="shared" si="35"/>
        <v/>
      </c>
      <c r="BR74" s="9"/>
      <c r="BS74" s="9"/>
      <c r="BT74" s="138" t="str">
        <f t="shared" si="36"/>
        <v/>
      </c>
      <c r="BU74" s="17"/>
      <c r="BV74" s="61"/>
      <c r="BW74" s="61"/>
      <c r="BX74" s="138" t="str">
        <f t="shared" si="37"/>
        <v/>
      </c>
      <c r="BY74" s="61"/>
      <c r="BZ74" s="61"/>
      <c r="CA74" s="138" t="str">
        <f t="shared" si="38"/>
        <v/>
      </c>
      <c r="CB74" s="61"/>
      <c r="CC74" s="61"/>
      <c r="CD74" s="138" t="str">
        <f t="shared" si="39"/>
        <v/>
      </c>
    </row>
    <row r="75" spans="1:82" x14ac:dyDescent="0.3">
      <c r="A75" s="9" t="s">
        <v>347</v>
      </c>
      <c r="B75" s="9" t="s">
        <v>306</v>
      </c>
      <c r="C75" s="51" t="s">
        <v>4</v>
      </c>
      <c r="D75" s="57"/>
      <c r="E75" s="66"/>
      <c r="F75" s="138" t="str">
        <f t="shared" si="20"/>
        <v/>
      </c>
      <c r="G75" s="58"/>
      <c r="H75" s="57"/>
      <c r="I75" s="92"/>
      <c r="J75" s="93"/>
      <c r="K75" s="93"/>
      <c r="L75" s="138" t="str">
        <f t="shared" si="21"/>
        <v/>
      </c>
      <c r="M75" s="17"/>
      <c r="N75" s="57"/>
      <c r="O75" s="59"/>
      <c r="P75" s="59"/>
      <c r="Q75" s="59"/>
      <c r="R75" s="138" t="str">
        <f t="shared" si="22"/>
        <v/>
      </c>
      <c r="T75" s="2"/>
      <c r="U75" s="2"/>
      <c r="V75" s="2"/>
      <c r="W75" s="2"/>
      <c r="X75" s="138" t="str">
        <f t="shared" si="23"/>
        <v/>
      </c>
      <c r="Y75" s="2"/>
      <c r="Z75" s="2"/>
      <c r="AA75" s="2"/>
      <c r="AB75" s="2"/>
      <c r="AC75" s="138" t="str">
        <f t="shared" si="24"/>
        <v/>
      </c>
      <c r="AD75" s="17" t="s">
        <v>4</v>
      </c>
      <c r="AE75" s="64">
        <v>794</v>
      </c>
      <c r="AF75" s="74">
        <v>2089</v>
      </c>
      <c r="AG75" s="138">
        <f t="shared" si="25"/>
        <v>2.6309823677581865</v>
      </c>
      <c r="AH75" s="17">
        <v>336</v>
      </c>
      <c r="AI75" s="17">
        <v>968</v>
      </c>
      <c r="AJ75" s="138">
        <f t="shared" si="26"/>
        <v>2.8809523809523809</v>
      </c>
      <c r="AK75" s="17">
        <v>202</v>
      </c>
      <c r="AL75" s="17">
        <v>692</v>
      </c>
      <c r="AM75" s="138">
        <f t="shared" si="27"/>
        <v>3.4257425742574257</v>
      </c>
      <c r="AN75" s="17" t="s">
        <v>4</v>
      </c>
      <c r="AO75" s="17">
        <v>336</v>
      </c>
      <c r="AP75" s="63">
        <v>1453</v>
      </c>
      <c r="AQ75" s="138">
        <f t="shared" si="28"/>
        <v>4.3244047619047619</v>
      </c>
      <c r="AR75" s="17">
        <v>383</v>
      </c>
      <c r="AS75" s="63">
        <v>1652</v>
      </c>
      <c r="AT75" s="138">
        <f t="shared" si="29"/>
        <v>4.3133159268929502</v>
      </c>
      <c r="AU75" s="17" t="s">
        <v>4</v>
      </c>
      <c r="AV75" s="63">
        <v>1403</v>
      </c>
      <c r="AW75" s="63">
        <v>7172</v>
      </c>
      <c r="AX75" s="138">
        <f t="shared" si="30"/>
        <v>5.1119030648610124</v>
      </c>
      <c r="AY75" s="17" t="s">
        <v>4</v>
      </c>
      <c r="AZ75" s="65">
        <v>2347</v>
      </c>
      <c r="BA75" s="65">
        <v>9436</v>
      </c>
      <c r="BB75" s="138">
        <f t="shared" si="31"/>
        <v>4.0204516403919897</v>
      </c>
      <c r="BC75" s="17" t="s">
        <v>4</v>
      </c>
      <c r="BD75" s="79">
        <v>1232.5</v>
      </c>
      <c r="BE75" s="65">
        <v>6464</v>
      </c>
      <c r="BF75" s="138">
        <f t="shared" si="32"/>
        <v>5.2446247464503042</v>
      </c>
      <c r="BG75" s="17"/>
      <c r="BH75" s="61"/>
      <c r="BI75" s="9"/>
      <c r="BJ75" s="138" t="str">
        <f t="shared" si="33"/>
        <v/>
      </c>
      <c r="BK75" s="63"/>
      <c r="BL75" s="63"/>
      <c r="BM75" s="138" t="str">
        <f t="shared" si="34"/>
        <v/>
      </c>
      <c r="BN75" s="17"/>
      <c r="BO75" s="9"/>
      <c r="BP75" s="9"/>
      <c r="BQ75" s="138" t="str">
        <f t="shared" si="35"/>
        <v/>
      </c>
      <c r="BR75" s="9"/>
      <c r="BS75" s="9"/>
      <c r="BT75" s="138" t="str">
        <f t="shared" si="36"/>
        <v/>
      </c>
      <c r="BU75" s="17"/>
      <c r="BV75" s="61"/>
      <c r="BW75" s="61"/>
      <c r="BX75" s="138" t="str">
        <f t="shared" si="37"/>
        <v/>
      </c>
      <c r="BY75" s="61"/>
      <c r="BZ75" s="61"/>
      <c r="CA75" s="138" t="str">
        <f t="shared" si="38"/>
        <v/>
      </c>
      <c r="CB75" s="61"/>
      <c r="CC75" s="61"/>
      <c r="CD75" s="138" t="str">
        <f t="shared" si="39"/>
        <v/>
      </c>
    </row>
    <row r="76" spans="1:82" x14ac:dyDescent="0.3">
      <c r="A76" s="17" t="s">
        <v>52</v>
      </c>
      <c r="B76" s="9" t="s">
        <v>321</v>
      </c>
      <c r="C76" s="137" t="s">
        <v>53</v>
      </c>
      <c r="D76" s="2"/>
      <c r="E76" s="2"/>
      <c r="F76" s="138" t="str">
        <f t="shared" si="20"/>
        <v/>
      </c>
      <c r="G76" s="12"/>
      <c r="H76" s="57"/>
      <c r="I76" s="59"/>
      <c r="J76" s="59"/>
      <c r="K76" s="59"/>
      <c r="L76" s="138" t="str">
        <f t="shared" si="21"/>
        <v/>
      </c>
      <c r="M76" s="17" t="s">
        <v>53</v>
      </c>
      <c r="N76" s="57">
        <v>329</v>
      </c>
      <c r="O76" s="59">
        <v>208</v>
      </c>
      <c r="P76" s="59">
        <v>0</v>
      </c>
      <c r="Q76" s="60">
        <f>O76+(P76/$D$187)</f>
        <v>208</v>
      </c>
      <c r="R76" s="138">
        <f t="shared" si="22"/>
        <v>0.63221884498480241</v>
      </c>
      <c r="T76" s="2"/>
      <c r="U76" s="2"/>
      <c r="V76" s="2"/>
      <c r="W76" s="2"/>
      <c r="X76" s="138" t="str">
        <f t="shared" si="23"/>
        <v/>
      </c>
      <c r="Y76" s="2"/>
      <c r="Z76" s="2"/>
      <c r="AA76" s="2"/>
      <c r="AB76" s="2"/>
      <c r="AC76" s="138" t="str">
        <f t="shared" si="24"/>
        <v/>
      </c>
      <c r="AG76" s="138" t="str">
        <f t="shared" si="25"/>
        <v/>
      </c>
      <c r="AJ76" s="138" t="str">
        <f t="shared" si="26"/>
        <v/>
      </c>
      <c r="AM76" s="138" t="str">
        <f t="shared" si="27"/>
        <v/>
      </c>
      <c r="AQ76" s="138" t="str">
        <f t="shared" si="28"/>
        <v/>
      </c>
      <c r="AT76" s="138" t="str">
        <f t="shared" si="29"/>
        <v/>
      </c>
      <c r="AX76" s="138" t="str">
        <f t="shared" si="30"/>
        <v/>
      </c>
      <c r="BB76" s="138" t="str">
        <f t="shared" si="31"/>
        <v/>
      </c>
      <c r="BF76" s="138" t="str">
        <f t="shared" si="32"/>
        <v/>
      </c>
      <c r="BH76" s="2"/>
      <c r="BI76" s="2"/>
      <c r="BJ76" s="138" t="str">
        <f t="shared" si="33"/>
        <v/>
      </c>
      <c r="BM76" s="138" t="str">
        <f t="shared" si="34"/>
        <v/>
      </c>
      <c r="BO76" s="2"/>
      <c r="BP76" s="2"/>
      <c r="BQ76" s="138" t="str">
        <f t="shared" si="35"/>
        <v/>
      </c>
      <c r="BR76" s="2"/>
      <c r="BS76" s="2"/>
      <c r="BT76" s="138" t="str">
        <f t="shared" si="36"/>
        <v/>
      </c>
      <c r="BV76" s="61"/>
      <c r="BW76" s="61"/>
      <c r="BX76" s="138" t="str">
        <f t="shared" si="37"/>
        <v/>
      </c>
      <c r="BY76" s="61"/>
      <c r="BZ76" s="61"/>
      <c r="CA76" s="138" t="str">
        <f t="shared" si="38"/>
        <v/>
      </c>
      <c r="CB76" s="61"/>
      <c r="CC76" s="61"/>
      <c r="CD76" s="138" t="str">
        <f t="shared" si="39"/>
        <v/>
      </c>
    </row>
    <row r="77" spans="1:82" x14ac:dyDescent="0.3">
      <c r="A77" s="17" t="s">
        <v>55</v>
      </c>
      <c r="B77" s="9" t="s">
        <v>322</v>
      </c>
      <c r="C77" s="137" t="s">
        <v>51</v>
      </c>
      <c r="D77" s="2"/>
      <c r="E77" s="2"/>
      <c r="F77" s="138" t="str">
        <f t="shared" si="20"/>
        <v/>
      </c>
      <c r="G77" s="12" t="s">
        <v>51</v>
      </c>
      <c r="H77" s="57">
        <v>214</v>
      </c>
      <c r="I77" s="59">
        <v>374</v>
      </c>
      <c r="J77" s="59">
        <v>0</v>
      </c>
      <c r="K77" s="60">
        <f>I77+(J77/$D$187)</f>
        <v>374</v>
      </c>
      <c r="L77" s="138">
        <f t="shared" si="21"/>
        <v>1.7476635514018692</v>
      </c>
      <c r="M77" s="17"/>
      <c r="N77" s="57"/>
      <c r="O77" s="59"/>
      <c r="P77" s="59"/>
      <c r="Q77" s="59"/>
      <c r="R77" s="138" t="str">
        <f t="shared" si="22"/>
        <v/>
      </c>
      <c r="T77" s="2"/>
      <c r="U77" s="2"/>
      <c r="V77" s="2"/>
      <c r="W77" s="2"/>
      <c r="X77" s="138" t="str">
        <f t="shared" si="23"/>
        <v/>
      </c>
      <c r="Y77" s="2"/>
      <c r="Z77" s="2"/>
      <c r="AA77" s="2"/>
      <c r="AB77" s="2"/>
      <c r="AC77" s="138" t="str">
        <f t="shared" si="24"/>
        <v/>
      </c>
      <c r="AG77" s="138" t="str">
        <f t="shared" si="25"/>
        <v/>
      </c>
      <c r="AJ77" s="138" t="str">
        <f t="shared" si="26"/>
        <v/>
      </c>
      <c r="AM77" s="138" t="str">
        <f t="shared" si="27"/>
        <v/>
      </c>
      <c r="AQ77" s="138" t="str">
        <f t="shared" si="28"/>
        <v/>
      </c>
      <c r="AT77" s="138" t="str">
        <f t="shared" si="29"/>
        <v/>
      </c>
      <c r="AX77" s="138" t="str">
        <f t="shared" si="30"/>
        <v/>
      </c>
      <c r="BB77" s="138" t="str">
        <f t="shared" si="31"/>
        <v/>
      </c>
      <c r="BF77" s="138" t="str">
        <f t="shared" si="32"/>
        <v/>
      </c>
      <c r="BH77" s="2"/>
      <c r="BI77" s="2"/>
      <c r="BJ77" s="138" t="str">
        <f t="shared" si="33"/>
        <v/>
      </c>
      <c r="BM77" s="138" t="str">
        <f t="shared" si="34"/>
        <v/>
      </c>
      <c r="BO77" s="2"/>
      <c r="BP77" s="2"/>
      <c r="BQ77" s="138" t="str">
        <f t="shared" si="35"/>
        <v/>
      </c>
      <c r="BR77" s="2"/>
      <c r="BS77" s="2"/>
      <c r="BT77" s="138" t="str">
        <f t="shared" si="36"/>
        <v/>
      </c>
      <c r="BV77" s="61"/>
      <c r="BW77" s="61"/>
      <c r="BX77" s="138" t="str">
        <f t="shared" si="37"/>
        <v/>
      </c>
      <c r="BY77" s="61"/>
      <c r="BZ77" s="61"/>
      <c r="CA77" s="138" t="str">
        <f t="shared" si="38"/>
        <v/>
      </c>
      <c r="CB77" s="61"/>
      <c r="CC77" s="61"/>
      <c r="CD77" s="138" t="str">
        <f t="shared" si="39"/>
        <v/>
      </c>
    </row>
    <row r="78" spans="1:82" x14ac:dyDescent="0.3">
      <c r="A78" s="17" t="s">
        <v>283</v>
      </c>
      <c r="B78" s="140" t="s">
        <v>306</v>
      </c>
      <c r="C78" s="51" t="s">
        <v>4</v>
      </c>
      <c r="D78" s="2"/>
      <c r="E78" s="2"/>
      <c r="F78" s="138" t="str">
        <f t="shared" si="20"/>
        <v/>
      </c>
      <c r="G78" s="12"/>
      <c r="H78" s="57"/>
      <c r="J78" s="9"/>
      <c r="K78" s="9"/>
      <c r="L78" s="138" t="str">
        <f t="shared" si="21"/>
        <v/>
      </c>
      <c r="M78" s="51"/>
      <c r="P78" s="2"/>
      <c r="Q78" s="2"/>
      <c r="R78" s="138" t="str">
        <f t="shared" si="22"/>
        <v/>
      </c>
      <c r="T78" s="2"/>
      <c r="U78" s="2"/>
      <c r="V78" s="2"/>
      <c r="W78" s="2"/>
      <c r="X78" s="138" t="str">
        <f t="shared" si="23"/>
        <v/>
      </c>
      <c r="Y78" s="2"/>
      <c r="Z78" s="2"/>
      <c r="AA78" s="2"/>
      <c r="AB78" s="2"/>
      <c r="AC78" s="138" t="str">
        <f t="shared" si="24"/>
        <v/>
      </c>
      <c r="AG78" s="138" t="str">
        <f t="shared" si="25"/>
        <v/>
      </c>
      <c r="AJ78" s="138" t="str">
        <f t="shared" si="26"/>
        <v/>
      </c>
      <c r="AM78" s="138" t="str">
        <f t="shared" si="27"/>
        <v/>
      </c>
      <c r="AQ78" s="138" t="str">
        <f t="shared" si="28"/>
        <v/>
      </c>
      <c r="AT78" s="138" t="str">
        <f t="shared" si="29"/>
        <v/>
      </c>
      <c r="AX78" s="138" t="str">
        <f t="shared" si="30"/>
        <v/>
      </c>
      <c r="BB78" s="138" t="str">
        <f t="shared" si="31"/>
        <v/>
      </c>
      <c r="BF78" s="138" t="str">
        <f t="shared" si="32"/>
        <v/>
      </c>
      <c r="BG78" s="17" t="s">
        <v>32</v>
      </c>
      <c r="BH78" s="61">
        <v>21514</v>
      </c>
      <c r="BI78" s="61">
        <v>137161</v>
      </c>
      <c r="BJ78" s="138">
        <f t="shared" si="33"/>
        <v>6.3754299525890117</v>
      </c>
      <c r="BK78" s="63">
        <v>19787</v>
      </c>
      <c r="BL78" s="63">
        <v>153202</v>
      </c>
      <c r="BM78" s="138">
        <f t="shared" si="34"/>
        <v>7.742558245312579</v>
      </c>
      <c r="BN78" s="17" t="s">
        <v>32</v>
      </c>
      <c r="BO78" s="61">
        <v>14618</v>
      </c>
      <c r="BP78" s="61">
        <v>112267</v>
      </c>
      <c r="BQ78" s="138">
        <f t="shared" si="35"/>
        <v>7.680051990696402</v>
      </c>
      <c r="BR78" s="61">
        <v>14771</v>
      </c>
      <c r="BS78" s="61">
        <v>103394</v>
      </c>
      <c r="BT78" s="138">
        <f t="shared" si="36"/>
        <v>6.9997968993297679</v>
      </c>
      <c r="BU78" s="17" t="s">
        <v>32</v>
      </c>
      <c r="BV78" s="61">
        <f>$D$101*1334</f>
        <v>26680</v>
      </c>
      <c r="BW78" s="61">
        <v>178781</v>
      </c>
      <c r="BX78" s="138">
        <f t="shared" si="37"/>
        <v>6.7009370314842576</v>
      </c>
      <c r="BY78" s="61"/>
      <c r="BZ78" s="61"/>
      <c r="CA78" s="138" t="str">
        <f t="shared" si="38"/>
        <v/>
      </c>
      <c r="CB78" s="61">
        <f>$D$101*1317</f>
        <v>26340</v>
      </c>
      <c r="CC78" s="61">
        <v>214195</v>
      </c>
      <c r="CD78" s="138">
        <f t="shared" si="39"/>
        <v>8.1319286256643881</v>
      </c>
    </row>
    <row r="79" spans="1:82" x14ac:dyDescent="0.3">
      <c r="A79" s="17" t="s">
        <v>284</v>
      </c>
      <c r="B79" s="140" t="s">
        <v>306</v>
      </c>
      <c r="C79" s="51" t="s">
        <v>4</v>
      </c>
      <c r="D79" s="2"/>
      <c r="E79" s="2"/>
      <c r="F79" s="138" t="str">
        <f t="shared" si="20"/>
        <v/>
      </c>
      <c r="G79" s="12"/>
      <c r="H79" s="57"/>
      <c r="J79" s="9"/>
      <c r="K79" s="9"/>
      <c r="L79" s="138" t="str">
        <f t="shared" si="21"/>
        <v/>
      </c>
      <c r="M79" s="51"/>
      <c r="P79" s="2"/>
      <c r="Q79" s="2"/>
      <c r="R79" s="138" t="str">
        <f t="shared" si="22"/>
        <v/>
      </c>
      <c r="T79" s="2"/>
      <c r="U79" s="2"/>
      <c r="V79" s="2"/>
      <c r="W79" s="2"/>
      <c r="X79" s="138" t="str">
        <f t="shared" si="23"/>
        <v/>
      </c>
      <c r="Y79" s="2"/>
      <c r="Z79" s="2"/>
      <c r="AA79" s="2"/>
      <c r="AB79" s="2"/>
      <c r="AC79" s="138" t="str">
        <f t="shared" si="24"/>
        <v/>
      </c>
      <c r="AG79" s="138" t="str">
        <f t="shared" si="25"/>
        <v/>
      </c>
      <c r="AJ79" s="138" t="str">
        <f t="shared" si="26"/>
        <v/>
      </c>
      <c r="AM79" s="138" t="str">
        <f t="shared" si="27"/>
        <v/>
      </c>
      <c r="AQ79" s="138" t="str">
        <f t="shared" si="28"/>
        <v/>
      </c>
      <c r="AT79" s="138" t="str">
        <f t="shared" si="29"/>
        <v/>
      </c>
      <c r="AX79" s="138" t="str">
        <f t="shared" si="30"/>
        <v/>
      </c>
      <c r="AZ79" s="65"/>
      <c r="BA79" s="65"/>
      <c r="BB79" s="138" t="str">
        <f t="shared" si="31"/>
        <v/>
      </c>
      <c r="BD79" s="65"/>
      <c r="BE79" s="65"/>
      <c r="BF79" s="138" t="str">
        <f t="shared" si="32"/>
        <v/>
      </c>
      <c r="BG79" s="17" t="s">
        <v>32</v>
      </c>
      <c r="BH79" s="9">
        <v>190</v>
      </c>
      <c r="BI79" s="61">
        <v>5013</v>
      </c>
      <c r="BJ79" s="138">
        <f t="shared" si="33"/>
        <v>26.38421052631579</v>
      </c>
      <c r="BK79" s="17">
        <v>75</v>
      </c>
      <c r="BL79" s="63">
        <v>1687</v>
      </c>
      <c r="BM79" s="138">
        <f t="shared" si="34"/>
        <v>22.493333333333332</v>
      </c>
      <c r="BN79" s="17" t="s">
        <v>32</v>
      </c>
      <c r="BO79" s="61">
        <v>107</v>
      </c>
      <c r="BP79" s="61">
        <v>3072</v>
      </c>
      <c r="BQ79" s="138">
        <f t="shared" si="35"/>
        <v>28.710280373831775</v>
      </c>
      <c r="BR79" s="61">
        <v>211</v>
      </c>
      <c r="BS79" s="61">
        <v>4675</v>
      </c>
      <c r="BT79" s="138">
        <f t="shared" si="36"/>
        <v>22.156398104265403</v>
      </c>
      <c r="BU79" s="17" t="s">
        <v>32</v>
      </c>
      <c r="BV79" s="61">
        <f>$D$101*18</f>
        <v>360</v>
      </c>
      <c r="BW79" s="61">
        <v>7015</v>
      </c>
      <c r="BX79" s="138">
        <f t="shared" si="37"/>
        <v>19.486111111111111</v>
      </c>
      <c r="BY79" s="61">
        <f>$D$101*234</f>
        <v>4680</v>
      </c>
      <c r="BZ79" s="61">
        <v>12683</v>
      </c>
      <c r="CA79" s="138">
        <f t="shared" si="38"/>
        <v>2.7100427350427352</v>
      </c>
      <c r="CB79" s="61">
        <f>$D$101*26</f>
        <v>520</v>
      </c>
      <c r="CC79" s="61">
        <v>9380</v>
      </c>
      <c r="CD79" s="138">
        <f t="shared" si="39"/>
        <v>18.03846153846154</v>
      </c>
    </row>
    <row r="80" spans="1:82" x14ac:dyDescent="0.3">
      <c r="A80" s="17" t="s">
        <v>285</v>
      </c>
      <c r="B80" s="140" t="s">
        <v>306</v>
      </c>
      <c r="C80" s="51" t="s">
        <v>4</v>
      </c>
      <c r="E80" s="51"/>
      <c r="F80" s="138" t="str">
        <f t="shared" si="20"/>
        <v/>
      </c>
      <c r="G80" s="12"/>
      <c r="H80" s="57"/>
      <c r="J80" s="2"/>
      <c r="K80" s="2"/>
      <c r="L80" s="138" t="str">
        <f t="shared" si="21"/>
        <v/>
      </c>
      <c r="M80" s="51"/>
      <c r="P80" s="2"/>
      <c r="Q80" s="2"/>
      <c r="R80" s="138" t="str">
        <f t="shared" si="22"/>
        <v/>
      </c>
      <c r="X80" s="138" t="str">
        <f t="shared" si="23"/>
        <v/>
      </c>
      <c r="AC80" s="138" t="str">
        <f t="shared" si="24"/>
        <v/>
      </c>
      <c r="AG80" s="138" t="str">
        <f t="shared" si="25"/>
        <v/>
      </c>
      <c r="AJ80" s="138" t="str">
        <f t="shared" si="26"/>
        <v/>
      </c>
      <c r="AM80" s="138" t="str">
        <f t="shared" si="27"/>
        <v/>
      </c>
      <c r="AQ80" s="138" t="str">
        <f t="shared" si="28"/>
        <v/>
      </c>
      <c r="AT80" s="138" t="str">
        <f t="shared" si="29"/>
        <v/>
      </c>
      <c r="AX80" s="138" t="str">
        <f t="shared" si="30"/>
        <v/>
      </c>
      <c r="BB80" s="138" t="str">
        <f t="shared" si="31"/>
        <v/>
      </c>
      <c r="BF80" s="138" t="str">
        <f t="shared" si="32"/>
        <v/>
      </c>
      <c r="BH80" s="2"/>
      <c r="BI80" s="2"/>
      <c r="BJ80" s="138" t="str">
        <f t="shared" si="33"/>
        <v/>
      </c>
      <c r="BM80" s="138" t="str">
        <f t="shared" si="34"/>
        <v/>
      </c>
      <c r="BO80" s="2"/>
      <c r="BP80" s="2"/>
      <c r="BQ80" s="138" t="str">
        <f t="shared" si="35"/>
        <v/>
      </c>
      <c r="BR80" s="2"/>
      <c r="BS80" s="2"/>
      <c r="BT80" s="138" t="str">
        <f t="shared" si="36"/>
        <v/>
      </c>
      <c r="BU80" s="17" t="s">
        <v>32</v>
      </c>
      <c r="BV80" s="61">
        <f>$D$101*12</f>
        <v>240</v>
      </c>
      <c r="BW80" s="61">
        <v>3635</v>
      </c>
      <c r="BX80" s="138">
        <f t="shared" si="37"/>
        <v>15.145833333333334</v>
      </c>
      <c r="BY80" s="61">
        <f>$D$101*10</f>
        <v>200</v>
      </c>
      <c r="BZ80" s="61">
        <v>3045</v>
      </c>
      <c r="CA80" s="138">
        <f t="shared" si="38"/>
        <v>15.225</v>
      </c>
      <c r="CB80" s="61">
        <f>$D$101*11</f>
        <v>220</v>
      </c>
      <c r="CC80" s="61">
        <v>3308</v>
      </c>
      <c r="CD80" s="138">
        <f t="shared" si="39"/>
        <v>15.036363636363637</v>
      </c>
    </row>
    <row r="81" spans="1:103" x14ac:dyDescent="0.3">
      <c r="A81" s="17" t="s">
        <v>286</v>
      </c>
      <c r="B81" s="140" t="s">
        <v>306</v>
      </c>
      <c r="C81" s="51" t="s">
        <v>4</v>
      </c>
      <c r="D81" s="2"/>
      <c r="E81" s="2"/>
      <c r="F81" s="138" t="str">
        <f t="shared" si="20"/>
        <v/>
      </c>
      <c r="G81" s="12"/>
      <c r="H81" s="57"/>
      <c r="J81" s="2"/>
      <c r="K81" s="2"/>
      <c r="L81" s="138" t="str">
        <f t="shared" si="21"/>
        <v/>
      </c>
      <c r="M81" s="51"/>
      <c r="P81" s="2"/>
      <c r="Q81" s="2"/>
      <c r="R81" s="138" t="str">
        <f t="shared" si="22"/>
        <v/>
      </c>
      <c r="T81" s="2"/>
      <c r="U81" s="2"/>
      <c r="V81" s="2"/>
      <c r="W81" s="2"/>
      <c r="X81" s="138" t="str">
        <f t="shared" si="23"/>
        <v/>
      </c>
      <c r="Y81" s="2"/>
      <c r="Z81" s="2"/>
      <c r="AA81" s="2"/>
      <c r="AB81" s="2"/>
      <c r="AC81" s="138" t="str">
        <f t="shared" si="24"/>
        <v/>
      </c>
      <c r="AG81" s="138" t="str">
        <f t="shared" si="25"/>
        <v/>
      </c>
      <c r="AJ81" s="138" t="str">
        <f t="shared" si="26"/>
        <v/>
      </c>
      <c r="AM81" s="138" t="str">
        <f t="shared" si="27"/>
        <v/>
      </c>
      <c r="AQ81" s="138" t="str">
        <f t="shared" si="28"/>
        <v/>
      </c>
      <c r="AT81" s="138" t="str">
        <f t="shared" si="29"/>
        <v/>
      </c>
      <c r="AX81" s="138" t="str">
        <f t="shared" si="30"/>
        <v/>
      </c>
      <c r="BB81" s="138" t="str">
        <f t="shared" si="31"/>
        <v/>
      </c>
      <c r="BF81" s="138" t="str">
        <f t="shared" si="32"/>
        <v/>
      </c>
      <c r="BG81" s="17"/>
      <c r="BH81" s="9"/>
      <c r="BI81" s="61"/>
      <c r="BJ81" s="138" t="str">
        <f t="shared" si="33"/>
        <v/>
      </c>
      <c r="BK81" s="17"/>
      <c r="BL81" s="63"/>
      <c r="BM81" s="138" t="str">
        <f t="shared" si="34"/>
        <v/>
      </c>
      <c r="BN81" s="17" t="s">
        <v>32</v>
      </c>
      <c r="BO81" s="9">
        <v>8462</v>
      </c>
      <c r="BP81" s="9">
        <v>1683</v>
      </c>
      <c r="BQ81" s="138">
        <f t="shared" si="35"/>
        <v>0.19888915150082723</v>
      </c>
      <c r="BR81" s="9">
        <v>4491</v>
      </c>
      <c r="BS81" s="9">
        <v>1671</v>
      </c>
      <c r="BT81" s="138">
        <f t="shared" si="36"/>
        <v>0.37207748830995324</v>
      </c>
      <c r="BU81" s="17" t="s">
        <v>32</v>
      </c>
      <c r="BV81" s="61">
        <f>$D$101*443</f>
        <v>8860</v>
      </c>
      <c r="BW81" s="61">
        <v>3161</v>
      </c>
      <c r="BX81" s="138">
        <f t="shared" si="37"/>
        <v>0.35677200902934536</v>
      </c>
      <c r="BY81" s="61">
        <f>$D$101*743</f>
        <v>14860</v>
      </c>
      <c r="BZ81" s="61">
        <v>3835</v>
      </c>
      <c r="CA81" s="138">
        <f t="shared" si="38"/>
        <v>0.25807537012113058</v>
      </c>
      <c r="CB81" s="61">
        <f>$D$101*983</f>
        <v>19660</v>
      </c>
      <c r="CC81" s="61">
        <v>5284</v>
      </c>
      <c r="CD81" s="138">
        <f t="shared" si="39"/>
        <v>0.26876907426246183</v>
      </c>
    </row>
    <row r="82" spans="1:103" x14ac:dyDescent="0.3">
      <c r="A82" s="76" t="s">
        <v>18</v>
      </c>
      <c r="B82" s="9" t="s">
        <v>311</v>
      </c>
      <c r="C82" s="17" t="s">
        <v>36</v>
      </c>
      <c r="D82" s="57">
        <v>316</v>
      </c>
      <c r="E82" s="57">
        <v>144</v>
      </c>
      <c r="F82" s="138">
        <f t="shared" si="20"/>
        <v>0.45569620253164556</v>
      </c>
      <c r="G82" s="12"/>
      <c r="H82" s="57"/>
      <c r="J82" s="2"/>
      <c r="K82" s="2"/>
      <c r="L82" s="138" t="str">
        <f t="shared" si="21"/>
        <v/>
      </c>
      <c r="M82" s="51"/>
      <c r="P82" s="2"/>
      <c r="Q82" s="2"/>
      <c r="R82" s="138" t="str">
        <f t="shared" si="22"/>
        <v/>
      </c>
      <c r="S82" s="17" t="s">
        <v>26</v>
      </c>
      <c r="T82" s="9">
        <v>606</v>
      </c>
      <c r="U82" s="9">
        <v>560</v>
      </c>
      <c r="V82" s="9">
        <v>0</v>
      </c>
      <c r="W82" s="60">
        <f>U82+(V82/$D$187)</f>
        <v>560</v>
      </c>
      <c r="X82" s="138">
        <f t="shared" si="23"/>
        <v>0.92409240924092406</v>
      </c>
      <c r="Y82" s="57">
        <v>682</v>
      </c>
      <c r="Z82" s="57">
        <v>496</v>
      </c>
      <c r="AA82" s="9">
        <v>10</v>
      </c>
      <c r="AB82" s="60">
        <f>Z82+(AA82/$D$187)</f>
        <v>496.5</v>
      </c>
      <c r="AC82" s="138">
        <f t="shared" si="24"/>
        <v>0.72800586510263932</v>
      </c>
      <c r="AG82" s="138" t="str">
        <f t="shared" si="25"/>
        <v/>
      </c>
      <c r="AJ82" s="138" t="str">
        <f t="shared" si="26"/>
        <v/>
      </c>
      <c r="AM82" s="138" t="str">
        <f t="shared" si="27"/>
        <v/>
      </c>
      <c r="AQ82" s="138" t="str">
        <f t="shared" si="28"/>
        <v/>
      </c>
      <c r="AT82" s="138" t="str">
        <f t="shared" si="29"/>
        <v/>
      </c>
      <c r="AV82" s="63"/>
      <c r="AX82" s="138" t="str">
        <f t="shared" si="30"/>
        <v/>
      </c>
      <c r="BB82" s="138" t="str">
        <f t="shared" si="31"/>
        <v/>
      </c>
      <c r="BF82" s="138" t="str">
        <f t="shared" si="32"/>
        <v/>
      </c>
      <c r="BH82" s="2"/>
      <c r="BI82" s="2"/>
      <c r="BJ82" s="138" t="str">
        <f t="shared" si="33"/>
        <v/>
      </c>
      <c r="BM82" s="138" t="str">
        <f t="shared" si="34"/>
        <v/>
      </c>
      <c r="BO82" s="2"/>
      <c r="BP82" s="2"/>
      <c r="BQ82" s="138" t="str">
        <f t="shared" si="35"/>
        <v/>
      </c>
      <c r="BR82" s="2"/>
      <c r="BS82" s="2"/>
      <c r="BT82" s="138" t="str">
        <f t="shared" si="36"/>
        <v/>
      </c>
      <c r="BV82" s="61"/>
      <c r="BW82" s="61"/>
      <c r="BX82" s="138" t="str">
        <f t="shared" si="37"/>
        <v/>
      </c>
      <c r="BY82" s="61"/>
      <c r="BZ82" s="61"/>
      <c r="CA82" s="138" t="str">
        <f t="shared" si="38"/>
        <v/>
      </c>
      <c r="CB82" s="61"/>
      <c r="CC82" s="61"/>
      <c r="CD82" s="138" t="str">
        <f t="shared" si="39"/>
        <v/>
      </c>
    </row>
    <row r="83" spans="1:103" x14ac:dyDescent="0.3">
      <c r="A83" s="17" t="s">
        <v>87</v>
      </c>
      <c r="B83" s="9" t="s">
        <v>312</v>
      </c>
      <c r="C83" s="17" t="s">
        <v>25</v>
      </c>
      <c r="D83" s="57">
        <v>53</v>
      </c>
      <c r="E83" s="66">
        <v>1100</v>
      </c>
      <c r="F83" s="138">
        <f t="shared" si="20"/>
        <v>20.754716981132077</v>
      </c>
      <c r="G83" s="58" t="s">
        <v>21</v>
      </c>
      <c r="H83" s="57">
        <v>240</v>
      </c>
      <c r="I83" s="70">
        <v>1920</v>
      </c>
      <c r="J83" s="94">
        <v>0</v>
      </c>
      <c r="K83" s="60">
        <f>I83+(J83/$D$187)</f>
        <v>1920</v>
      </c>
      <c r="L83" s="138">
        <f t="shared" si="21"/>
        <v>8</v>
      </c>
      <c r="M83" s="17" t="s">
        <v>25</v>
      </c>
      <c r="N83" s="57">
        <v>119</v>
      </c>
      <c r="O83" s="60">
        <v>892</v>
      </c>
      <c r="P83" s="60">
        <v>10</v>
      </c>
      <c r="Q83" s="60">
        <f>O83+(P83/$D$187)</f>
        <v>892.5</v>
      </c>
      <c r="R83" s="138">
        <f t="shared" si="22"/>
        <v>7.5</v>
      </c>
      <c r="T83" s="2"/>
      <c r="U83" s="2"/>
      <c r="V83" s="2"/>
      <c r="W83" s="2"/>
      <c r="X83" s="138" t="str">
        <f t="shared" si="23"/>
        <v/>
      </c>
      <c r="Y83" s="2"/>
      <c r="Z83" s="2"/>
      <c r="AA83" s="2"/>
      <c r="AB83" s="2"/>
      <c r="AC83" s="138" t="str">
        <f t="shared" si="24"/>
        <v/>
      </c>
      <c r="AG83" s="138" t="str">
        <f t="shared" si="25"/>
        <v/>
      </c>
      <c r="AJ83" s="138" t="str">
        <f t="shared" si="26"/>
        <v/>
      </c>
      <c r="AM83" s="138" t="str">
        <f t="shared" si="27"/>
        <v/>
      </c>
      <c r="AQ83" s="138" t="str">
        <f t="shared" si="28"/>
        <v/>
      </c>
      <c r="AT83" s="138" t="str">
        <f t="shared" si="29"/>
        <v/>
      </c>
      <c r="AX83" s="138" t="str">
        <f t="shared" si="30"/>
        <v/>
      </c>
      <c r="BA83" s="65"/>
      <c r="BB83" s="138" t="str">
        <f t="shared" si="31"/>
        <v/>
      </c>
      <c r="BF83" s="138" t="str">
        <f t="shared" si="32"/>
        <v/>
      </c>
      <c r="BG83" s="17"/>
      <c r="BH83" s="61"/>
      <c r="BI83" s="9"/>
      <c r="BJ83" s="138" t="str">
        <f t="shared" si="33"/>
        <v/>
      </c>
      <c r="BK83" s="63"/>
      <c r="BL83" s="63"/>
      <c r="BM83" s="138" t="str">
        <f t="shared" si="34"/>
        <v/>
      </c>
      <c r="BN83" s="17"/>
      <c r="BO83" s="9"/>
      <c r="BP83" s="9"/>
      <c r="BQ83" s="138" t="str">
        <f t="shared" si="35"/>
        <v/>
      </c>
      <c r="BR83" s="9"/>
      <c r="BS83" s="9"/>
      <c r="BT83" s="138" t="str">
        <f t="shared" si="36"/>
        <v/>
      </c>
      <c r="BU83" s="17"/>
      <c r="BV83" s="61"/>
      <c r="BW83" s="61"/>
      <c r="BX83" s="138" t="str">
        <f t="shared" si="37"/>
        <v/>
      </c>
      <c r="BY83" s="61"/>
      <c r="BZ83" s="61"/>
      <c r="CA83" s="138" t="str">
        <f t="shared" si="38"/>
        <v/>
      </c>
      <c r="CB83" s="61"/>
      <c r="CC83" s="61"/>
      <c r="CD83" s="138" t="str">
        <f t="shared" si="39"/>
        <v/>
      </c>
    </row>
    <row r="84" spans="1:103" x14ac:dyDescent="0.3">
      <c r="A84" s="51" t="s">
        <v>12</v>
      </c>
      <c r="B84" s="9" t="s">
        <v>306</v>
      </c>
      <c r="C84" s="51" t="s">
        <v>4</v>
      </c>
      <c r="D84" s="2"/>
      <c r="E84" s="2"/>
      <c r="F84" s="138" t="str">
        <f t="shared" si="20"/>
        <v/>
      </c>
      <c r="G84" s="12"/>
      <c r="H84" s="57"/>
      <c r="J84" s="2"/>
      <c r="K84" s="2"/>
      <c r="L84" s="138" t="str">
        <f t="shared" si="21"/>
        <v/>
      </c>
      <c r="M84" s="17"/>
      <c r="N84" s="57"/>
      <c r="O84" s="59"/>
      <c r="P84" s="59"/>
      <c r="Q84" s="59"/>
      <c r="R84" s="138" t="str">
        <f t="shared" si="22"/>
        <v/>
      </c>
      <c r="S84" s="17"/>
      <c r="T84" s="9"/>
      <c r="U84" s="9"/>
      <c r="V84" s="9"/>
      <c r="W84" s="9"/>
      <c r="X84" s="138" t="str">
        <f t="shared" si="23"/>
        <v/>
      </c>
      <c r="Y84" s="57"/>
      <c r="Z84" s="57"/>
      <c r="AA84" s="9"/>
      <c r="AB84" s="9"/>
      <c r="AC84" s="138" t="str">
        <f t="shared" si="24"/>
        <v/>
      </c>
      <c r="AD84" s="17" t="s">
        <v>32</v>
      </c>
      <c r="AG84" s="138" t="str">
        <f t="shared" si="25"/>
        <v/>
      </c>
      <c r="AJ84" s="138" t="str">
        <f t="shared" si="26"/>
        <v/>
      </c>
      <c r="AK84" s="63">
        <v>50752</v>
      </c>
      <c r="AL84" s="63">
        <v>17146</v>
      </c>
      <c r="AM84" s="138">
        <f t="shared" si="27"/>
        <v>0.33783890290037832</v>
      </c>
      <c r="AN84" s="17"/>
      <c r="AO84" s="17"/>
      <c r="AP84" s="17"/>
      <c r="AQ84" s="138" t="str">
        <f t="shared" si="28"/>
        <v/>
      </c>
      <c r="AT84" s="138" t="str">
        <f t="shared" si="29"/>
        <v/>
      </c>
      <c r="AX84" s="138" t="str">
        <f t="shared" si="30"/>
        <v/>
      </c>
      <c r="AY84" s="51" t="s">
        <v>4</v>
      </c>
      <c r="AZ84" s="65">
        <v>9724</v>
      </c>
      <c r="BA84" s="65">
        <v>3943</v>
      </c>
      <c r="BB84" s="138">
        <f t="shared" si="31"/>
        <v>0.40549156725627311</v>
      </c>
      <c r="BC84" s="51" t="s">
        <v>4</v>
      </c>
      <c r="BD84" s="65">
        <v>5013</v>
      </c>
      <c r="BE84" s="65">
        <v>1279</v>
      </c>
      <c r="BF84" s="138">
        <f t="shared" si="32"/>
        <v>0.25513664472371833</v>
      </c>
      <c r="BH84" s="2"/>
      <c r="BI84" s="2"/>
      <c r="BJ84" s="138" t="str">
        <f t="shared" si="33"/>
        <v/>
      </c>
      <c r="BM84" s="138" t="str">
        <f t="shared" si="34"/>
        <v/>
      </c>
      <c r="BO84" s="2"/>
      <c r="BP84" s="2"/>
      <c r="BQ84" s="138" t="str">
        <f t="shared" si="35"/>
        <v/>
      </c>
      <c r="BR84" s="2"/>
      <c r="BS84" s="2"/>
      <c r="BT84" s="138" t="str">
        <f t="shared" si="36"/>
        <v/>
      </c>
      <c r="BV84" s="61"/>
      <c r="BW84" s="61"/>
      <c r="BX84" s="138" t="str">
        <f t="shared" si="37"/>
        <v/>
      </c>
      <c r="BY84" s="61"/>
      <c r="BZ84" s="61"/>
      <c r="CA84" s="138" t="str">
        <f t="shared" si="38"/>
        <v/>
      </c>
      <c r="CB84" s="61"/>
      <c r="CC84" s="61"/>
      <c r="CD84" s="138" t="str">
        <f t="shared" si="39"/>
        <v/>
      </c>
    </row>
    <row r="85" spans="1:103" x14ac:dyDescent="0.3">
      <c r="A85" s="17" t="s">
        <v>61</v>
      </c>
      <c r="B85" s="140" t="s">
        <v>306</v>
      </c>
      <c r="C85" s="17" t="s">
        <v>4</v>
      </c>
      <c r="D85" s="57"/>
      <c r="E85" s="57"/>
      <c r="F85" s="138" t="str">
        <f t="shared" si="20"/>
        <v/>
      </c>
      <c r="G85" s="12"/>
      <c r="H85" s="57"/>
      <c r="J85" s="2"/>
      <c r="K85" s="2"/>
      <c r="L85" s="138" t="str">
        <f t="shared" si="21"/>
        <v/>
      </c>
      <c r="M85" s="51"/>
      <c r="P85" s="2"/>
      <c r="Q85" s="2"/>
      <c r="R85" s="138" t="str">
        <f t="shared" si="22"/>
        <v/>
      </c>
      <c r="T85" s="2"/>
      <c r="U85" s="2"/>
      <c r="V85" s="2"/>
      <c r="W85" s="2"/>
      <c r="X85" s="138" t="str">
        <f t="shared" si="23"/>
        <v/>
      </c>
      <c r="Y85" s="2"/>
      <c r="Z85" s="2"/>
      <c r="AA85" s="2"/>
      <c r="AB85" s="2"/>
      <c r="AC85" s="138" t="str">
        <f t="shared" si="24"/>
        <v/>
      </c>
      <c r="AG85" s="138" t="str">
        <f t="shared" si="25"/>
        <v/>
      </c>
      <c r="AJ85" s="138" t="str">
        <f t="shared" si="26"/>
        <v/>
      </c>
      <c r="AM85" s="138" t="str">
        <f t="shared" si="27"/>
        <v/>
      </c>
      <c r="AQ85" s="138" t="str">
        <f t="shared" si="28"/>
        <v/>
      </c>
      <c r="AT85" s="138" t="str">
        <f t="shared" si="29"/>
        <v/>
      </c>
      <c r="AX85" s="138" t="str">
        <f t="shared" si="30"/>
        <v/>
      </c>
      <c r="BB85" s="138" t="str">
        <f t="shared" si="31"/>
        <v/>
      </c>
      <c r="BF85" s="138" t="str">
        <f t="shared" si="32"/>
        <v/>
      </c>
      <c r="BG85" s="17" t="s">
        <v>32</v>
      </c>
      <c r="BH85" s="61">
        <v>7621</v>
      </c>
      <c r="BI85" s="61">
        <v>2514</v>
      </c>
      <c r="BJ85" s="138">
        <f t="shared" si="33"/>
        <v>0.32987796877050257</v>
      </c>
      <c r="BK85" s="63">
        <v>2930</v>
      </c>
      <c r="BL85" s="63">
        <v>1056</v>
      </c>
      <c r="BM85" s="138">
        <f t="shared" si="34"/>
        <v>0.36040955631399318</v>
      </c>
      <c r="BN85" s="17" t="s">
        <v>32</v>
      </c>
      <c r="BO85" s="9">
        <v>47689</v>
      </c>
      <c r="BP85" s="9">
        <v>4993</v>
      </c>
      <c r="BQ85" s="138">
        <f t="shared" si="35"/>
        <v>0.1046991968797836</v>
      </c>
      <c r="BR85" s="9">
        <v>20250</v>
      </c>
      <c r="BS85" s="9">
        <v>4115</v>
      </c>
      <c r="BT85" s="138">
        <f t="shared" si="36"/>
        <v>0.20320987654320988</v>
      </c>
      <c r="BU85" s="17" t="s">
        <v>32</v>
      </c>
      <c r="BV85" s="61">
        <f>$D$101*870</f>
        <v>17400</v>
      </c>
      <c r="BW85" s="61">
        <v>5598</v>
      </c>
      <c r="BX85" s="138">
        <f t="shared" si="37"/>
        <v>0.32172413793103449</v>
      </c>
      <c r="BY85" s="61">
        <f>$D$101*671</f>
        <v>13420</v>
      </c>
      <c r="BZ85" s="61">
        <v>5478</v>
      </c>
      <c r="CA85" s="138">
        <f t="shared" si="38"/>
        <v>0.40819672131147539</v>
      </c>
      <c r="CB85" s="61">
        <f>$D$101*1832</f>
        <v>36640</v>
      </c>
      <c r="CC85" s="61">
        <v>15455</v>
      </c>
      <c r="CD85" s="138">
        <f t="shared" si="39"/>
        <v>0.42180676855895194</v>
      </c>
    </row>
    <row r="86" spans="1:103" x14ac:dyDescent="0.3">
      <c r="A86" s="17" t="s">
        <v>71</v>
      </c>
      <c r="B86" s="140" t="s">
        <v>306</v>
      </c>
      <c r="C86" s="51" t="s">
        <v>4</v>
      </c>
      <c r="D86" s="2"/>
      <c r="E86" s="2"/>
      <c r="F86" s="138" t="str">
        <f t="shared" si="20"/>
        <v/>
      </c>
      <c r="G86" s="12"/>
      <c r="H86" s="57"/>
      <c r="J86" s="9"/>
      <c r="K86" s="9"/>
      <c r="L86" s="138" t="str">
        <f t="shared" si="21"/>
        <v/>
      </c>
      <c r="M86" s="51"/>
      <c r="P86" s="2"/>
      <c r="Q86" s="2"/>
      <c r="R86" s="138" t="str">
        <f t="shared" si="22"/>
        <v/>
      </c>
      <c r="T86" s="2"/>
      <c r="U86" s="2"/>
      <c r="V86" s="2"/>
      <c r="W86" s="2"/>
      <c r="X86" s="138" t="str">
        <f t="shared" si="23"/>
        <v/>
      </c>
      <c r="Y86" s="2"/>
      <c r="Z86" s="2"/>
      <c r="AA86" s="2"/>
      <c r="AB86" s="2"/>
      <c r="AC86" s="138" t="str">
        <f t="shared" si="24"/>
        <v/>
      </c>
      <c r="AG86" s="138" t="str">
        <f t="shared" si="25"/>
        <v/>
      </c>
      <c r="AJ86" s="138" t="str">
        <f t="shared" si="26"/>
        <v/>
      </c>
      <c r="AM86" s="138" t="str">
        <f t="shared" si="27"/>
        <v/>
      </c>
      <c r="AQ86" s="138" t="str">
        <f t="shared" si="28"/>
        <v/>
      </c>
      <c r="AT86" s="138" t="str">
        <f t="shared" si="29"/>
        <v/>
      </c>
      <c r="AX86" s="138" t="str">
        <f t="shared" si="30"/>
        <v/>
      </c>
      <c r="BB86" s="138" t="str">
        <f t="shared" si="31"/>
        <v/>
      </c>
      <c r="BF86" s="138" t="str">
        <f t="shared" si="32"/>
        <v/>
      </c>
      <c r="BG86" s="17" t="s">
        <v>32</v>
      </c>
      <c r="BH86" s="9"/>
      <c r="BI86" s="9"/>
      <c r="BJ86" s="138" t="str">
        <f t="shared" si="33"/>
        <v/>
      </c>
      <c r="BK86" s="17">
        <v>142</v>
      </c>
      <c r="BL86" s="17">
        <v>189</v>
      </c>
      <c r="BM86" s="138">
        <f t="shared" si="34"/>
        <v>1.3309859154929577</v>
      </c>
      <c r="BN86" s="17" t="s">
        <v>32</v>
      </c>
      <c r="BO86" s="9">
        <v>252</v>
      </c>
      <c r="BP86" s="9">
        <v>407</v>
      </c>
      <c r="BQ86" s="138">
        <f t="shared" si="35"/>
        <v>1.6150793650793651</v>
      </c>
      <c r="BR86" s="9">
        <v>88</v>
      </c>
      <c r="BS86" s="9">
        <v>118</v>
      </c>
      <c r="BT86" s="138">
        <f t="shared" si="36"/>
        <v>1.3409090909090908</v>
      </c>
      <c r="BU86" s="17" t="s">
        <v>32</v>
      </c>
      <c r="BV86" s="61">
        <f>$D$101*8</f>
        <v>160</v>
      </c>
      <c r="BW86" s="61">
        <v>246</v>
      </c>
      <c r="BX86" s="138">
        <f t="shared" si="37"/>
        <v>1.5375000000000001</v>
      </c>
      <c r="BY86" s="61">
        <f>$D$101*4</f>
        <v>80</v>
      </c>
      <c r="BZ86" s="61">
        <v>153</v>
      </c>
      <c r="CA86" s="138">
        <f t="shared" si="38"/>
        <v>1.9125000000000001</v>
      </c>
      <c r="CB86" s="61">
        <f>$D$101*12</f>
        <v>240</v>
      </c>
      <c r="CC86" s="61">
        <v>291</v>
      </c>
      <c r="CD86" s="138">
        <f t="shared" si="39"/>
        <v>1.2124999999999999</v>
      </c>
    </row>
    <row r="87" spans="1:103" x14ac:dyDescent="0.3">
      <c r="A87" s="17" t="s">
        <v>287</v>
      </c>
      <c r="B87" s="9" t="s">
        <v>306</v>
      </c>
      <c r="C87" s="51" t="s">
        <v>4</v>
      </c>
      <c r="D87" s="2"/>
      <c r="E87" s="2"/>
      <c r="F87" s="138" t="str">
        <f t="shared" si="20"/>
        <v/>
      </c>
      <c r="G87" s="12"/>
      <c r="H87" s="57"/>
      <c r="J87" s="9"/>
      <c r="K87" s="9"/>
      <c r="L87" s="138" t="str">
        <f t="shared" si="21"/>
        <v/>
      </c>
      <c r="M87" s="51"/>
      <c r="P87" s="2"/>
      <c r="Q87" s="2"/>
      <c r="R87" s="138" t="str">
        <f t="shared" si="22"/>
        <v/>
      </c>
      <c r="T87" s="2"/>
      <c r="U87" s="2"/>
      <c r="V87" s="2"/>
      <c r="W87" s="2"/>
      <c r="X87" s="138" t="str">
        <f t="shared" si="23"/>
        <v/>
      </c>
      <c r="Y87" s="2"/>
      <c r="Z87" s="2"/>
      <c r="AA87" s="2"/>
      <c r="AB87" s="2"/>
      <c r="AC87" s="138" t="str">
        <f t="shared" si="24"/>
        <v/>
      </c>
      <c r="AG87" s="138" t="str">
        <f t="shared" si="25"/>
        <v/>
      </c>
      <c r="AJ87" s="138" t="str">
        <f t="shared" si="26"/>
        <v/>
      </c>
      <c r="AM87" s="138" t="str">
        <f t="shared" si="27"/>
        <v/>
      </c>
      <c r="AQ87" s="138" t="str">
        <f t="shared" si="28"/>
        <v/>
      </c>
      <c r="AT87" s="138" t="str">
        <f t="shared" si="29"/>
        <v/>
      </c>
      <c r="AX87" s="138" t="str">
        <f t="shared" si="30"/>
        <v/>
      </c>
      <c r="BB87" s="138" t="str">
        <f t="shared" si="31"/>
        <v/>
      </c>
      <c r="BF87" s="138" t="str">
        <f t="shared" si="32"/>
        <v/>
      </c>
      <c r="BG87" s="17" t="s">
        <v>32</v>
      </c>
      <c r="BH87" s="9">
        <v>94</v>
      </c>
      <c r="BI87" s="61">
        <v>1316</v>
      </c>
      <c r="BJ87" s="138">
        <f t="shared" si="33"/>
        <v>14</v>
      </c>
      <c r="BK87" s="17">
        <v>40</v>
      </c>
      <c r="BL87" s="17">
        <v>552</v>
      </c>
      <c r="BM87" s="138">
        <f t="shared" si="34"/>
        <v>13.8</v>
      </c>
      <c r="BN87" s="17" t="s">
        <v>32</v>
      </c>
      <c r="BO87" s="9">
        <v>22</v>
      </c>
      <c r="BP87" s="9">
        <v>229</v>
      </c>
      <c r="BQ87" s="138">
        <f t="shared" si="35"/>
        <v>10.409090909090908</v>
      </c>
      <c r="BR87" s="9">
        <v>113</v>
      </c>
      <c r="BS87" s="9">
        <v>1855</v>
      </c>
      <c r="BT87" s="138">
        <f t="shared" si="36"/>
        <v>16.415929203539822</v>
      </c>
      <c r="BU87" s="17"/>
      <c r="BV87" s="2"/>
      <c r="BW87" s="2"/>
      <c r="BX87" s="138" t="str">
        <f t="shared" si="37"/>
        <v/>
      </c>
      <c r="BY87" s="2"/>
      <c r="BZ87" s="2"/>
      <c r="CA87" s="138" t="str">
        <f t="shared" si="38"/>
        <v/>
      </c>
      <c r="CB87" s="2"/>
      <c r="CC87" s="2"/>
      <c r="CD87" s="138" t="str">
        <f t="shared" si="39"/>
        <v/>
      </c>
    </row>
    <row r="88" spans="1:103" x14ac:dyDescent="0.3">
      <c r="C88" s="2"/>
      <c r="D88" s="2"/>
      <c r="H88" s="57"/>
      <c r="S88" s="2"/>
      <c r="T88" s="2"/>
      <c r="U88" s="2"/>
      <c r="V88" s="2"/>
      <c r="W88" s="2"/>
      <c r="Y88" s="2"/>
      <c r="Z88" s="2"/>
      <c r="BG88" s="2"/>
      <c r="BH88" s="2"/>
      <c r="BN88" s="2"/>
      <c r="BO88" s="2"/>
      <c r="BP88" s="2"/>
      <c r="BR88" s="2"/>
      <c r="BU88" s="61"/>
      <c r="BV88" s="61"/>
      <c r="BW88" s="61"/>
      <c r="BY88" s="61"/>
      <c r="BZ88" s="61"/>
      <c r="CB88" s="61"/>
    </row>
    <row r="90" spans="1:103" x14ac:dyDescent="0.3">
      <c r="A90" s="1" t="s">
        <v>99</v>
      </c>
      <c r="B90" s="2"/>
      <c r="E90" s="51"/>
      <c r="F90" s="3"/>
      <c r="H90" s="51"/>
      <c r="I90" s="51"/>
      <c r="L90" s="3"/>
      <c r="M90" s="51"/>
      <c r="N90" s="51"/>
      <c r="P90" s="2"/>
      <c r="R90" s="3"/>
      <c r="X90" s="3"/>
      <c r="AC90" s="51"/>
      <c r="AD90" s="3"/>
      <c r="AG90" s="51"/>
      <c r="AH90" s="3"/>
      <c r="AJ90" s="2"/>
      <c r="AM90" s="3"/>
      <c r="AQ90" s="51"/>
      <c r="AR90" s="3"/>
      <c r="AT90" s="51"/>
      <c r="AV90" s="3"/>
      <c r="AX90" s="51"/>
      <c r="BB90" s="3"/>
      <c r="BD90" s="3"/>
      <c r="BF90" s="51"/>
      <c r="BG90" s="2"/>
      <c r="BJ90" s="3"/>
      <c r="BM90" s="51"/>
      <c r="BO90" s="3"/>
      <c r="BQ90" s="51"/>
      <c r="BT90" s="51"/>
      <c r="BU90" s="3"/>
      <c r="BX90" s="51"/>
      <c r="BY90" s="3"/>
      <c r="CA90" s="51"/>
      <c r="CD90" s="51"/>
      <c r="CE90" s="3"/>
      <c r="CH90" s="3"/>
      <c r="CL90" s="3"/>
      <c r="CO90" s="3"/>
      <c r="CR90" s="3"/>
      <c r="CV90" s="3"/>
      <c r="CY90" s="3"/>
    </row>
    <row r="91" spans="1:103" s="2" customFormat="1" x14ac:dyDescent="0.3">
      <c r="A91" s="2" t="s">
        <v>100</v>
      </c>
      <c r="B91" s="2">
        <v>1</v>
      </c>
      <c r="C91" s="3" t="s">
        <v>101</v>
      </c>
      <c r="D91" s="95">
        <v>108</v>
      </c>
      <c r="E91" s="3" t="s">
        <v>102</v>
      </c>
      <c r="H91" s="95"/>
      <c r="I91" s="3"/>
      <c r="J91" s="3"/>
      <c r="K91" s="3"/>
      <c r="M91" s="5"/>
      <c r="O91" s="3"/>
      <c r="P91" s="3"/>
      <c r="Q91" s="3"/>
      <c r="S91" s="95"/>
      <c r="T91" s="4"/>
      <c r="U91" s="3"/>
      <c r="V91" s="3"/>
      <c r="W91" s="3"/>
      <c r="X91" s="12"/>
      <c r="Z91" s="95"/>
      <c r="AA91" s="95"/>
      <c r="AB91" s="3"/>
      <c r="AC91" s="3"/>
      <c r="AF91" s="3"/>
      <c r="AG91" s="3"/>
      <c r="AI91" s="3"/>
      <c r="AJ91" s="95"/>
      <c r="AK91" s="3"/>
      <c r="AL91" s="3"/>
      <c r="AP91" s="3"/>
      <c r="AQ91" s="3"/>
      <c r="AS91" s="3"/>
      <c r="AT91" s="95"/>
      <c r="AU91" s="3"/>
      <c r="AW91" s="3"/>
      <c r="AY91" s="95"/>
      <c r="AZ91" s="3"/>
      <c r="BA91" s="3"/>
      <c r="BE91" s="3"/>
      <c r="BG91" s="95"/>
      <c r="BH91" s="3"/>
      <c r="BI91" s="3"/>
      <c r="BL91" s="3"/>
      <c r="BM91" s="95"/>
      <c r="BN91" s="3"/>
      <c r="BP91" s="3"/>
      <c r="BR91" s="95"/>
      <c r="BS91" s="3"/>
      <c r="BT91" s="3"/>
      <c r="BW91" s="3"/>
      <c r="BX91" s="3"/>
      <c r="BZ91" s="3"/>
      <c r="CA91" s="95"/>
      <c r="CC91" s="3"/>
      <c r="CD91" s="3"/>
      <c r="CF91" s="95"/>
      <c r="CG91" s="3"/>
      <c r="CK91" s="3"/>
      <c r="CN91" s="3"/>
      <c r="CQ91" s="3"/>
      <c r="CU91" s="3"/>
      <c r="CX91" s="3"/>
    </row>
    <row r="92" spans="1:103" s="2" customFormat="1" x14ac:dyDescent="0.3">
      <c r="A92" s="2" t="s">
        <v>100</v>
      </c>
      <c r="B92" s="2">
        <v>1</v>
      </c>
      <c r="C92" s="3" t="s">
        <v>103</v>
      </c>
      <c r="D92" s="95">
        <v>32.5</v>
      </c>
      <c r="E92" s="3" t="s">
        <v>102</v>
      </c>
      <c r="H92" s="95"/>
      <c r="I92" s="3"/>
      <c r="J92" s="3"/>
      <c r="K92" s="3"/>
      <c r="O92" s="3"/>
      <c r="P92" s="3"/>
      <c r="Q92" s="3"/>
      <c r="R92" s="51"/>
      <c r="S92" s="95"/>
      <c r="U92" s="3"/>
      <c r="V92" s="3"/>
      <c r="W92" s="3"/>
      <c r="X92" s="12"/>
      <c r="Z92" s="95"/>
      <c r="AA92" s="95"/>
      <c r="AB92" s="3"/>
      <c r="AC92" s="3"/>
      <c r="AF92" s="3"/>
      <c r="AG92" s="3"/>
      <c r="AI92" s="3"/>
      <c r="AJ92" s="95"/>
      <c r="AK92" s="3"/>
      <c r="AL92" s="3"/>
      <c r="AP92" s="3"/>
      <c r="AQ92" s="3"/>
      <c r="AS92" s="3"/>
      <c r="AT92" s="95"/>
      <c r="AU92" s="3"/>
      <c r="AW92" s="3"/>
      <c r="AY92" s="95"/>
      <c r="AZ92" s="3"/>
      <c r="BA92" s="3"/>
      <c r="BE92" s="3"/>
      <c r="BG92" s="95"/>
      <c r="BH92" s="3"/>
      <c r="BI92" s="3"/>
      <c r="BL92" s="3"/>
      <c r="BM92" s="95"/>
      <c r="BN92" s="3"/>
      <c r="BP92" s="3"/>
      <c r="BR92" s="95"/>
      <c r="BS92" s="3"/>
      <c r="BT92" s="3"/>
      <c r="BW92" s="3"/>
      <c r="BX92" s="3"/>
      <c r="BZ92" s="3"/>
      <c r="CA92" s="95"/>
      <c r="CC92" s="3"/>
      <c r="CD92" s="3"/>
      <c r="CF92" s="95"/>
      <c r="CG92" s="3"/>
      <c r="CK92" s="3"/>
      <c r="CN92" s="3"/>
      <c r="CQ92" s="3"/>
      <c r="CU92" s="3"/>
      <c r="CX92" s="3"/>
    </row>
    <row r="93" spans="1:103" x14ac:dyDescent="0.3">
      <c r="A93" s="2"/>
      <c r="B93" s="2">
        <v>1</v>
      </c>
      <c r="C93" s="3" t="s">
        <v>104</v>
      </c>
      <c r="D93" s="95">
        <v>6.5</v>
      </c>
      <c r="E93" s="6" t="s">
        <v>102</v>
      </c>
      <c r="F93" s="2"/>
      <c r="G93" s="3"/>
      <c r="H93" s="95"/>
      <c r="I93" s="3"/>
      <c r="J93" s="3"/>
      <c r="K93" s="6"/>
      <c r="L93" s="3"/>
      <c r="M93" s="95"/>
      <c r="N93" s="3"/>
      <c r="O93" s="3"/>
      <c r="P93" s="3"/>
      <c r="Q93" s="6"/>
      <c r="R93" s="51"/>
      <c r="S93" s="95"/>
      <c r="U93" s="3"/>
      <c r="V93" s="3"/>
      <c r="W93" s="6"/>
      <c r="X93" s="51"/>
      <c r="Z93" s="95"/>
      <c r="AA93" s="95"/>
      <c r="AB93" s="6"/>
      <c r="AC93" s="3"/>
      <c r="AE93" s="12"/>
      <c r="AF93" s="6"/>
      <c r="AG93" s="3"/>
      <c r="AI93" s="6"/>
      <c r="AJ93" s="95"/>
      <c r="AK93" s="3"/>
      <c r="AL93" s="6"/>
      <c r="AM93" s="51"/>
      <c r="AP93" s="6"/>
      <c r="AQ93" s="3"/>
      <c r="AS93" s="6"/>
      <c r="AT93" s="95"/>
      <c r="AU93" s="3"/>
      <c r="AW93" s="6"/>
      <c r="AX93" s="51"/>
      <c r="AY93" s="95"/>
      <c r="AZ93" s="3"/>
      <c r="BA93" s="6"/>
      <c r="BB93" s="51"/>
      <c r="BE93" s="6"/>
      <c r="BF93" s="51"/>
      <c r="BG93" s="95"/>
      <c r="BH93" s="3"/>
      <c r="BI93" s="6"/>
      <c r="BJ93" s="51"/>
      <c r="BL93" s="6"/>
      <c r="BM93" s="95"/>
      <c r="BN93" s="3"/>
      <c r="BP93" s="6"/>
      <c r="BQ93" s="51"/>
      <c r="BR93" s="95"/>
      <c r="BS93" s="6"/>
      <c r="BT93" s="3"/>
      <c r="BW93" s="6"/>
      <c r="BX93" s="3"/>
      <c r="BZ93" s="6"/>
      <c r="CA93" s="95"/>
      <c r="CC93" s="6"/>
      <c r="CD93" s="3"/>
      <c r="CF93" s="95"/>
      <c r="CG93" s="3"/>
      <c r="CK93" s="3"/>
      <c r="CN93" s="3"/>
      <c r="CQ93" s="3"/>
      <c r="CU93" s="3"/>
      <c r="CX93" s="3"/>
    </row>
    <row r="94" spans="1:103" x14ac:dyDescent="0.3">
      <c r="A94" s="2"/>
      <c r="B94" s="2">
        <v>1</v>
      </c>
      <c r="C94" s="3" t="s">
        <v>105</v>
      </c>
      <c r="D94" s="95">
        <v>112</v>
      </c>
      <c r="E94" s="3" t="s">
        <v>106</v>
      </c>
      <c r="F94" s="2"/>
      <c r="G94" s="3"/>
      <c r="H94" s="95"/>
      <c r="I94" s="3"/>
      <c r="J94" s="3"/>
      <c r="K94" s="3"/>
      <c r="L94" s="3"/>
      <c r="M94" s="95"/>
      <c r="N94" s="3"/>
      <c r="O94" s="3"/>
      <c r="P94" s="3"/>
      <c r="Q94" s="3"/>
      <c r="R94" s="51"/>
      <c r="S94" s="95"/>
      <c r="U94" s="3"/>
      <c r="V94" s="3"/>
      <c r="W94" s="3"/>
      <c r="X94" s="51"/>
      <c r="Z94" s="95"/>
      <c r="AA94" s="95"/>
      <c r="AB94" s="3"/>
      <c r="AC94" s="3"/>
      <c r="AE94" s="12"/>
      <c r="AF94" s="3"/>
      <c r="AG94" s="3"/>
      <c r="AI94" s="3"/>
      <c r="AJ94" s="95"/>
      <c r="AK94" s="3"/>
      <c r="AL94" s="3"/>
      <c r="AM94" s="51"/>
      <c r="AP94" s="3"/>
      <c r="AQ94" s="3"/>
      <c r="AS94" s="3"/>
      <c r="AT94" s="95"/>
      <c r="AU94" s="3"/>
      <c r="AW94" s="3"/>
      <c r="AX94" s="51"/>
      <c r="AY94" s="95"/>
      <c r="AZ94" s="3"/>
      <c r="BA94" s="3"/>
      <c r="BB94" s="51"/>
      <c r="BE94" s="3"/>
      <c r="BF94" s="51"/>
      <c r="BG94" s="95"/>
      <c r="BH94" s="3"/>
      <c r="BI94" s="3"/>
      <c r="BJ94" s="51"/>
      <c r="BL94" s="3"/>
      <c r="BM94" s="95"/>
      <c r="BN94" s="3"/>
      <c r="BP94" s="3"/>
      <c r="BQ94" s="51"/>
      <c r="BR94" s="95"/>
      <c r="BS94" s="3"/>
      <c r="BT94" s="3"/>
      <c r="BW94" s="3"/>
      <c r="BX94" s="3"/>
      <c r="BZ94" s="3"/>
      <c r="CA94" s="95"/>
      <c r="CC94" s="3"/>
      <c r="CD94" s="3"/>
      <c r="CF94" s="95"/>
      <c r="CG94" s="3"/>
      <c r="CK94" s="3"/>
      <c r="CN94" s="3"/>
      <c r="CQ94" s="3"/>
      <c r="CU94" s="3"/>
      <c r="CX94" s="3"/>
    </row>
    <row r="95" spans="1:103" x14ac:dyDescent="0.3">
      <c r="A95" s="2"/>
      <c r="B95" s="2">
        <v>1</v>
      </c>
      <c r="C95" s="3" t="s">
        <v>105</v>
      </c>
      <c r="D95" s="95">
        <f>D94/D93</f>
        <v>17.23076923076923</v>
      </c>
      <c r="E95" s="3" t="s">
        <v>104</v>
      </c>
      <c r="F95" s="2"/>
      <c r="G95" s="95"/>
      <c r="H95" s="95"/>
      <c r="I95" s="3"/>
      <c r="J95" s="3"/>
      <c r="K95" s="3"/>
      <c r="L95" s="95"/>
      <c r="M95" s="51"/>
      <c r="N95" s="95"/>
      <c r="O95" s="3"/>
      <c r="P95" s="3"/>
      <c r="Q95" s="3"/>
      <c r="R95" s="51"/>
      <c r="S95" s="95"/>
      <c r="T95" s="95"/>
      <c r="U95" s="3"/>
      <c r="V95" s="3"/>
      <c r="W95" s="3"/>
      <c r="X95" s="51"/>
      <c r="Z95" s="95"/>
      <c r="AA95" s="95"/>
      <c r="AB95" s="3"/>
      <c r="AC95" s="3"/>
      <c r="AD95" s="12"/>
      <c r="AE95" s="2"/>
      <c r="AF95" s="3"/>
      <c r="AG95" s="3"/>
      <c r="AI95" s="3"/>
      <c r="AJ95" s="95"/>
      <c r="AK95" s="3"/>
      <c r="AL95" s="3"/>
      <c r="AM95" s="51"/>
      <c r="AP95" s="3"/>
      <c r="AQ95" s="3"/>
      <c r="AS95" s="3"/>
      <c r="AT95" s="95"/>
      <c r="AU95" s="3"/>
      <c r="AW95" s="3"/>
      <c r="AX95" s="51"/>
      <c r="AY95" s="95"/>
      <c r="AZ95" s="3"/>
      <c r="BA95" s="3"/>
      <c r="BB95" s="51"/>
      <c r="BC95" s="12"/>
      <c r="BE95" s="3"/>
      <c r="BF95" s="51"/>
      <c r="BG95" s="95"/>
      <c r="BH95" s="3"/>
      <c r="BI95" s="3"/>
      <c r="BJ95" s="51"/>
      <c r="BL95" s="3"/>
      <c r="BM95" s="95"/>
      <c r="BN95" s="3"/>
      <c r="BP95" s="3"/>
      <c r="BQ95" s="51"/>
      <c r="BR95" s="95"/>
      <c r="BS95" s="3"/>
      <c r="BT95" s="3"/>
      <c r="BW95" s="3"/>
      <c r="BX95" s="3"/>
      <c r="BZ95" s="3"/>
      <c r="CA95" s="95"/>
      <c r="CC95" s="3"/>
      <c r="CD95" s="3"/>
      <c r="CF95" s="95"/>
      <c r="CG95" s="3"/>
      <c r="CK95" s="3"/>
      <c r="CN95" s="3"/>
      <c r="CQ95" s="3"/>
      <c r="CU95" s="3"/>
      <c r="CX95" s="3"/>
    </row>
    <row r="96" spans="1:103" s="2" customFormat="1" ht="15" customHeight="1" x14ac:dyDescent="0.3">
      <c r="B96" s="154">
        <v>1</v>
      </c>
      <c r="C96" s="155" t="s">
        <v>107</v>
      </c>
      <c r="D96" s="156">
        <v>130</v>
      </c>
      <c r="E96" s="157" t="s">
        <v>102</v>
      </c>
      <c r="F96" s="7"/>
      <c r="G96" s="8"/>
      <c r="H96" s="96"/>
      <c r="I96" s="3"/>
      <c r="J96" s="3"/>
      <c r="K96" s="10"/>
      <c r="L96" s="8"/>
      <c r="M96" s="8"/>
      <c r="N96" s="8"/>
      <c r="O96" s="3"/>
      <c r="P96" s="3"/>
      <c r="Q96" s="10"/>
      <c r="R96" s="8"/>
      <c r="S96" s="96"/>
      <c r="T96" s="8"/>
      <c r="U96" s="3"/>
      <c r="V96" s="3"/>
      <c r="W96" s="10"/>
      <c r="X96" s="8"/>
      <c r="Y96" s="8"/>
      <c r="Z96" s="96"/>
      <c r="AA96" s="96"/>
      <c r="AB96" s="10"/>
      <c r="AC96" s="3"/>
      <c r="AD96" s="8"/>
      <c r="AF96" s="10"/>
      <c r="AG96" s="3"/>
      <c r="AI96" s="10"/>
      <c r="AJ96" s="96"/>
      <c r="AK96" s="3"/>
      <c r="AL96" s="10"/>
      <c r="AP96" s="10"/>
      <c r="AQ96" s="3"/>
      <c r="AS96" s="10"/>
      <c r="AT96" s="96"/>
      <c r="AU96" s="3"/>
      <c r="AW96" s="10"/>
      <c r="AY96" s="96"/>
      <c r="AZ96" s="3"/>
      <c r="BA96" s="10"/>
      <c r="BE96" s="10"/>
      <c r="BG96" s="96"/>
      <c r="BH96" s="3"/>
      <c r="BI96" s="10"/>
      <c r="BL96" s="10"/>
      <c r="BM96" s="96"/>
      <c r="BN96" s="3"/>
      <c r="BP96" s="10"/>
      <c r="BR96" s="96"/>
      <c r="BS96" s="10"/>
      <c r="BT96" s="3"/>
      <c r="BW96" s="10"/>
      <c r="BX96" s="3"/>
      <c r="BZ96" s="10"/>
      <c r="CA96" s="96"/>
      <c r="CC96" s="10"/>
      <c r="CD96" s="3"/>
      <c r="CF96" s="96"/>
      <c r="CG96" s="3"/>
      <c r="CK96" s="3"/>
      <c r="CN96" s="3"/>
      <c r="CQ96" s="3"/>
      <c r="CU96" s="3"/>
      <c r="CX96" s="3"/>
    </row>
    <row r="97" spans="1:102" s="2" customFormat="1" ht="28.8" customHeight="1" x14ac:dyDescent="0.3">
      <c r="B97" s="154"/>
      <c r="C97" s="155"/>
      <c r="D97" s="156"/>
      <c r="E97" s="157"/>
      <c r="H97" s="96"/>
      <c r="I97" s="51"/>
      <c r="J97" s="51"/>
      <c r="K97" s="10"/>
      <c r="O97" s="51"/>
      <c r="P97" s="51"/>
      <c r="Q97" s="10"/>
      <c r="S97" s="96"/>
      <c r="U97" s="51"/>
      <c r="V97" s="51"/>
      <c r="W97" s="10"/>
      <c r="Z97" s="96"/>
      <c r="AA97" s="96"/>
      <c r="AB97" s="10"/>
      <c r="AC97" s="51"/>
      <c r="AF97" s="10"/>
      <c r="AG97" s="51"/>
      <c r="AI97" s="10"/>
      <c r="AJ97" s="96"/>
      <c r="AK97" s="51"/>
      <c r="AL97" s="10"/>
      <c r="AP97" s="10"/>
      <c r="AQ97" s="51"/>
      <c r="AS97" s="10"/>
      <c r="AT97" s="96"/>
      <c r="AU97" s="51"/>
      <c r="AW97" s="10"/>
      <c r="AY97" s="96"/>
      <c r="AZ97" s="51"/>
      <c r="BA97" s="10"/>
      <c r="BE97" s="10"/>
      <c r="BG97" s="96"/>
      <c r="BH97" s="51"/>
      <c r="BI97" s="10"/>
      <c r="BL97" s="10"/>
      <c r="BM97" s="96"/>
      <c r="BN97" s="51"/>
      <c r="BP97" s="10"/>
      <c r="BR97" s="96"/>
      <c r="BS97" s="10"/>
      <c r="BT97" s="51"/>
      <c r="BW97" s="10"/>
      <c r="BX97" s="51"/>
      <c r="BZ97" s="10"/>
      <c r="CA97" s="96"/>
      <c r="CC97" s="10"/>
      <c r="CD97" s="51"/>
      <c r="CF97" s="96"/>
      <c r="CG97" s="51"/>
      <c r="CK97" s="51"/>
      <c r="CN97" s="51"/>
      <c r="CQ97" s="51"/>
      <c r="CU97" s="51"/>
      <c r="CX97" s="51"/>
    </row>
    <row r="98" spans="1:102" s="2" customFormat="1" x14ac:dyDescent="0.3">
      <c r="B98" s="9">
        <v>1</v>
      </c>
      <c r="C98" s="3" t="s">
        <v>108</v>
      </c>
      <c r="D98" s="95">
        <v>260</v>
      </c>
      <c r="E98" s="3" t="s">
        <v>102</v>
      </c>
      <c r="H98" s="95"/>
      <c r="I98" s="3"/>
      <c r="J98" s="3"/>
      <c r="K98" s="3"/>
      <c r="O98" s="3"/>
      <c r="P98" s="3"/>
      <c r="Q98" s="3"/>
      <c r="S98" s="95"/>
      <c r="U98" s="3"/>
      <c r="V98" s="3"/>
      <c r="W98" s="3"/>
      <c r="Z98" s="95"/>
      <c r="AA98" s="95"/>
      <c r="AB98" s="3"/>
      <c r="AC98" s="3"/>
      <c r="AF98" s="3"/>
      <c r="AG98" s="3"/>
      <c r="AI98" s="3"/>
      <c r="AJ98" s="95"/>
      <c r="AK98" s="3"/>
      <c r="AL98" s="3"/>
      <c r="AP98" s="3"/>
      <c r="AQ98" s="3"/>
      <c r="AS98" s="3"/>
      <c r="AT98" s="95"/>
      <c r="AU98" s="3"/>
      <c r="AW98" s="3"/>
      <c r="AY98" s="95"/>
      <c r="AZ98" s="3"/>
      <c r="BA98" s="3"/>
      <c r="BE98" s="3"/>
      <c r="BG98" s="95"/>
      <c r="BH98" s="3"/>
      <c r="BI98" s="3"/>
      <c r="BL98" s="3"/>
      <c r="BM98" s="95"/>
      <c r="BN98" s="3"/>
      <c r="BP98" s="3"/>
      <c r="BR98" s="95"/>
      <c r="BS98" s="3"/>
      <c r="BT98" s="3"/>
      <c r="BW98" s="3"/>
      <c r="BX98" s="3"/>
      <c r="BZ98" s="3"/>
      <c r="CA98" s="95"/>
      <c r="CC98" s="3"/>
      <c r="CD98" s="3"/>
      <c r="CF98" s="95"/>
      <c r="CG98" s="3"/>
      <c r="CK98" s="3"/>
      <c r="CN98" s="3"/>
      <c r="CQ98" s="3"/>
      <c r="CU98" s="3"/>
      <c r="CX98" s="3"/>
    </row>
    <row r="99" spans="1:102" s="2" customFormat="1" x14ac:dyDescent="0.3">
      <c r="B99" s="9">
        <v>1</v>
      </c>
      <c r="C99" s="3" t="s">
        <v>352</v>
      </c>
      <c r="D99" s="95">
        <f>D96/D94</f>
        <v>1.1607142857142858</v>
      </c>
      <c r="E99" s="3" t="s">
        <v>109</v>
      </c>
      <c r="H99" s="95"/>
      <c r="I99" s="3"/>
      <c r="J99" s="3"/>
      <c r="K99" s="3"/>
      <c r="O99" s="3"/>
      <c r="P99" s="3"/>
      <c r="Q99" s="3"/>
      <c r="S99" s="95"/>
      <c r="U99" s="3"/>
      <c r="V99" s="3"/>
      <c r="W99" s="3"/>
      <c r="Z99" s="95"/>
      <c r="AA99" s="95"/>
      <c r="AB99" s="3"/>
      <c r="AC99" s="3"/>
      <c r="AF99" s="3"/>
      <c r="AG99" s="3"/>
      <c r="AI99" s="3"/>
      <c r="AJ99" s="95"/>
      <c r="AK99" s="3"/>
      <c r="AL99" s="3"/>
      <c r="AP99" s="3"/>
      <c r="AQ99" s="3"/>
      <c r="AS99" s="3"/>
      <c r="AT99" s="95"/>
      <c r="AU99" s="3"/>
      <c r="AW99" s="3"/>
      <c r="AY99" s="95"/>
      <c r="AZ99" s="3"/>
      <c r="BA99" s="3"/>
      <c r="BE99" s="3"/>
      <c r="BG99" s="95"/>
      <c r="BH99" s="3"/>
      <c r="BI99" s="3"/>
      <c r="BL99" s="3"/>
      <c r="BM99" s="95"/>
      <c r="BN99" s="3"/>
      <c r="BP99" s="3"/>
      <c r="BR99" s="95"/>
      <c r="BS99" s="3"/>
      <c r="BT99" s="3"/>
      <c r="BW99" s="3"/>
      <c r="BX99" s="3"/>
      <c r="BZ99" s="3"/>
      <c r="CA99" s="95"/>
      <c r="CC99" s="3"/>
      <c r="CD99" s="3"/>
      <c r="CF99" s="95"/>
      <c r="CG99" s="3"/>
      <c r="CK99" s="3"/>
      <c r="CN99" s="3"/>
      <c r="CQ99" s="3"/>
      <c r="CU99" s="3"/>
      <c r="CX99" s="3"/>
    </row>
    <row r="100" spans="1:102" s="2" customFormat="1" x14ac:dyDescent="0.3">
      <c r="B100" s="9">
        <v>1</v>
      </c>
      <c r="C100" s="3" t="s">
        <v>108</v>
      </c>
      <c r="D100" s="95">
        <f>D98/D94</f>
        <v>2.3214285714285716</v>
      </c>
      <c r="E100" s="3" t="s">
        <v>109</v>
      </c>
      <c r="H100" s="95"/>
      <c r="I100" s="3"/>
      <c r="J100" s="3"/>
      <c r="K100" s="3"/>
      <c r="O100" s="3"/>
      <c r="P100" s="3"/>
      <c r="Q100" s="3"/>
      <c r="S100" s="95"/>
      <c r="U100" s="3"/>
      <c r="V100" s="3"/>
      <c r="W100" s="3"/>
      <c r="Z100" s="95"/>
      <c r="AA100" s="95"/>
      <c r="AB100" s="3"/>
      <c r="AC100" s="3"/>
      <c r="AF100" s="3"/>
      <c r="AG100" s="3"/>
      <c r="AI100" s="3"/>
      <c r="AJ100" s="95"/>
      <c r="AK100" s="3"/>
      <c r="AL100" s="3"/>
      <c r="AP100" s="3"/>
      <c r="AQ100" s="3"/>
      <c r="AS100" s="3"/>
      <c r="AT100" s="95"/>
      <c r="AU100" s="3"/>
      <c r="AW100" s="3"/>
      <c r="AY100" s="95"/>
      <c r="AZ100" s="3"/>
      <c r="BA100" s="3"/>
      <c r="BE100" s="3"/>
      <c r="BG100" s="95"/>
      <c r="BH100" s="3"/>
      <c r="BI100" s="3"/>
      <c r="BL100" s="3"/>
      <c r="BM100" s="95"/>
      <c r="BN100" s="3"/>
      <c r="BP100" s="3"/>
      <c r="BR100" s="95"/>
      <c r="BS100" s="3"/>
      <c r="BT100" s="3"/>
      <c r="BW100" s="3"/>
      <c r="BX100" s="3"/>
      <c r="BZ100" s="3"/>
      <c r="CA100" s="95"/>
      <c r="CC100" s="3"/>
      <c r="CD100" s="3"/>
      <c r="CF100" s="95"/>
      <c r="CG100" s="3"/>
      <c r="CK100" s="3"/>
      <c r="CN100" s="3"/>
      <c r="CQ100" s="3"/>
      <c r="CU100" s="3"/>
      <c r="CX100" s="3"/>
    </row>
    <row r="101" spans="1:102" x14ac:dyDescent="0.3">
      <c r="A101" s="2"/>
      <c r="B101" s="9">
        <v>1</v>
      </c>
      <c r="C101" s="3" t="s">
        <v>299</v>
      </c>
      <c r="D101" s="95">
        <v>20</v>
      </c>
      <c r="E101" s="3" t="s">
        <v>109</v>
      </c>
      <c r="F101" s="97">
        <f>D101*D94</f>
        <v>2240</v>
      </c>
      <c r="G101" s="3" t="s">
        <v>102</v>
      </c>
      <c r="H101" s="97">
        <f>F101/D103</f>
        <v>420</v>
      </c>
      <c r="I101" s="11" t="s">
        <v>111</v>
      </c>
      <c r="J101" s="97">
        <f>F101/D102</f>
        <v>1016.048117135833</v>
      </c>
      <c r="K101" s="3" t="s">
        <v>112</v>
      </c>
      <c r="L101" s="10"/>
      <c r="M101" s="51"/>
      <c r="N101" s="51"/>
      <c r="O101" s="3"/>
      <c r="R101" s="10"/>
      <c r="U101" s="3"/>
      <c r="X101" s="10"/>
      <c r="Y101" s="10"/>
      <c r="Z101" s="3"/>
      <c r="AB101" s="2"/>
      <c r="AC101" s="10"/>
      <c r="AD101" s="3"/>
      <c r="AG101" s="3"/>
      <c r="AH101" s="10"/>
      <c r="AI101" s="12"/>
      <c r="AJ101" s="3"/>
      <c r="AK101" s="12"/>
      <c r="AM101" s="10"/>
      <c r="AN101" s="3"/>
      <c r="AQ101" s="3"/>
      <c r="AR101" s="10"/>
      <c r="AT101" s="51"/>
      <c r="AU101" s="3"/>
      <c r="AW101" s="10"/>
      <c r="AX101" s="51"/>
      <c r="AY101" s="3"/>
      <c r="BB101" s="51"/>
      <c r="BC101" s="3"/>
      <c r="BE101" s="10"/>
      <c r="BG101" s="3"/>
      <c r="BJ101" s="3"/>
      <c r="BK101" s="10"/>
      <c r="BM101" s="51"/>
      <c r="BN101" s="3"/>
      <c r="BP101" s="10"/>
      <c r="BQ101" s="3"/>
      <c r="BT101" s="10"/>
      <c r="BU101" s="3"/>
      <c r="BX101" s="3"/>
      <c r="BZ101" s="10"/>
      <c r="CA101" s="3"/>
      <c r="CD101" s="10"/>
      <c r="CH101" s="10"/>
      <c r="CK101" s="10"/>
      <c r="CN101" s="10"/>
      <c r="CR101" s="10"/>
      <c r="CU101" s="10"/>
    </row>
    <row r="102" spans="1:102" x14ac:dyDescent="0.3">
      <c r="A102" s="2"/>
      <c r="B102" s="9">
        <v>1</v>
      </c>
      <c r="C102" s="3" t="s">
        <v>113</v>
      </c>
      <c r="D102" s="95">
        <v>2.2046199999999998</v>
      </c>
      <c r="E102" s="3" t="s">
        <v>102</v>
      </c>
      <c r="F102" s="97">
        <f>D102/D94</f>
        <v>1.9684107142857142E-2</v>
      </c>
      <c r="G102" s="11" t="s">
        <v>109</v>
      </c>
      <c r="H102" s="51"/>
      <c r="I102" s="12"/>
      <c r="J102" s="12"/>
      <c r="L102" s="10"/>
      <c r="M102" s="51"/>
      <c r="N102" s="51"/>
      <c r="O102" s="3"/>
      <c r="R102" s="10"/>
      <c r="U102" s="3"/>
      <c r="X102" s="10"/>
      <c r="Y102" s="10"/>
      <c r="Z102" s="3"/>
      <c r="AB102" s="2"/>
      <c r="AC102" s="10"/>
      <c r="AD102" s="3"/>
      <c r="AG102" s="3"/>
      <c r="AH102" s="10"/>
      <c r="AI102" s="12"/>
      <c r="AJ102" s="3"/>
      <c r="AK102" s="12"/>
      <c r="AM102" s="10"/>
      <c r="AN102" s="3"/>
      <c r="AQ102" s="3"/>
      <c r="AR102" s="10"/>
      <c r="AT102" s="51"/>
      <c r="AU102" s="3"/>
      <c r="AW102" s="10"/>
      <c r="AX102" s="51"/>
      <c r="AY102" s="3"/>
      <c r="BB102" s="51"/>
      <c r="BC102" s="3"/>
      <c r="BE102" s="10"/>
      <c r="BG102" s="3"/>
      <c r="BJ102" s="3"/>
      <c r="BK102" s="10"/>
      <c r="BM102" s="51"/>
      <c r="BN102" s="3"/>
      <c r="BP102" s="10"/>
      <c r="BQ102" s="3"/>
      <c r="BT102" s="10"/>
      <c r="BU102" s="3"/>
      <c r="BX102" s="3"/>
      <c r="BZ102" s="10"/>
      <c r="CA102" s="3"/>
      <c r="CD102" s="10"/>
      <c r="CH102" s="10"/>
      <c r="CK102" s="10"/>
      <c r="CN102" s="10"/>
      <c r="CR102" s="10"/>
      <c r="CU102" s="10"/>
    </row>
    <row r="103" spans="1:102" x14ac:dyDescent="0.3">
      <c r="A103" s="2"/>
      <c r="B103" s="9">
        <v>1</v>
      </c>
      <c r="C103" s="3" t="s">
        <v>114</v>
      </c>
      <c r="D103" s="95">
        <f>16/3</f>
        <v>5.333333333333333</v>
      </c>
      <c r="E103" s="3" t="s">
        <v>102</v>
      </c>
      <c r="F103" s="97">
        <f>D103/D94</f>
        <v>4.7619047619047616E-2</v>
      </c>
      <c r="G103" s="11" t="s">
        <v>109</v>
      </c>
      <c r="H103" s="51"/>
      <c r="I103" s="12"/>
      <c r="J103" s="12"/>
      <c r="L103" s="3"/>
      <c r="M103" s="51"/>
      <c r="N103" s="51"/>
      <c r="O103" s="3"/>
      <c r="R103" s="3"/>
      <c r="U103" s="3"/>
      <c r="X103" s="3"/>
      <c r="Y103" s="3"/>
      <c r="Z103" s="3"/>
      <c r="AB103" s="2"/>
      <c r="AC103" s="3"/>
      <c r="AD103" s="3"/>
      <c r="AG103" s="3"/>
      <c r="AH103" s="3"/>
      <c r="AI103" s="12"/>
      <c r="AJ103" s="3"/>
      <c r="AK103" s="12"/>
      <c r="AM103" s="3"/>
      <c r="AN103" s="3"/>
      <c r="AQ103" s="3"/>
      <c r="AR103" s="3"/>
      <c r="AT103" s="51"/>
      <c r="AU103" s="3"/>
      <c r="AW103" s="3"/>
      <c r="AX103" s="51"/>
      <c r="AY103" s="3"/>
      <c r="BB103" s="51"/>
      <c r="BC103" s="3"/>
      <c r="BE103" s="3"/>
      <c r="BG103" s="3"/>
      <c r="BJ103" s="3"/>
      <c r="BK103" s="3"/>
      <c r="BM103" s="51"/>
      <c r="BN103" s="3"/>
      <c r="BP103" s="3"/>
      <c r="BQ103" s="3"/>
      <c r="BT103" s="3"/>
      <c r="BU103" s="3"/>
      <c r="BX103" s="3"/>
      <c r="BZ103" s="3"/>
      <c r="CA103" s="3"/>
      <c r="CD103" s="3"/>
      <c r="CH103" s="3"/>
      <c r="CK103" s="3"/>
      <c r="CN103" s="3"/>
      <c r="CR103" s="3"/>
      <c r="CU103" s="3"/>
    </row>
    <row r="104" spans="1:102" x14ac:dyDescent="0.3">
      <c r="A104" s="2"/>
      <c r="B104" s="9">
        <v>1</v>
      </c>
      <c r="C104" s="3" t="s">
        <v>115</v>
      </c>
      <c r="D104" s="95">
        <v>100</v>
      </c>
      <c r="E104" s="3" t="s">
        <v>114</v>
      </c>
      <c r="F104" s="97">
        <f>D104*F103</f>
        <v>4.7619047619047619</v>
      </c>
      <c r="G104" s="11" t="s">
        <v>109</v>
      </c>
      <c r="H104" s="95">
        <f>F104/D101</f>
        <v>0.23809523809523808</v>
      </c>
      <c r="I104" s="11" t="s">
        <v>116</v>
      </c>
      <c r="J104" s="12"/>
      <c r="L104" s="3"/>
      <c r="M104" s="51"/>
      <c r="N104" s="51"/>
      <c r="O104" s="3"/>
      <c r="R104" s="3"/>
      <c r="U104" s="3"/>
      <c r="X104" s="3"/>
      <c r="Y104" s="3"/>
      <c r="Z104" s="3"/>
      <c r="AB104" s="2"/>
      <c r="AC104" s="3"/>
      <c r="AD104" s="3"/>
      <c r="AG104" s="3"/>
      <c r="AH104" s="3"/>
      <c r="AI104" s="12"/>
      <c r="AJ104" s="3"/>
      <c r="AK104" s="12"/>
      <c r="AM104" s="3"/>
      <c r="AN104" s="3"/>
      <c r="AQ104" s="3"/>
      <c r="AR104" s="3"/>
      <c r="AT104" s="51"/>
      <c r="AU104" s="3"/>
      <c r="AW104" s="3"/>
      <c r="AX104" s="51"/>
      <c r="AY104" s="3"/>
      <c r="BB104" s="51"/>
      <c r="BC104" s="3"/>
      <c r="BE104" s="3"/>
      <c r="BG104" s="3"/>
      <c r="BJ104" s="3"/>
      <c r="BK104" s="3"/>
      <c r="BM104" s="51"/>
      <c r="BN104" s="3"/>
      <c r="BP104" s="3"/>
      <c r="BQ104" s="3"/>
      <c r="BT104" s="3"/>
      <c r="BU104" s="3"/>
      <c r="BX104" s="3"/>
      <c r="BZ104" s="3"/>
      <c r="CA104" s="3"/>
      <c r="CD104" s="3"/>
      <c r="CH104" s="3"/>
      <c r="CK104" s="3"/>
      <c r="CN104" s="3"/>
      <c r="CR104" s="3"/>
      <c r="CU104" s="3"/>
    </row>
    <row r="105" spans="1:102" x14ac:dyDescent="0.3">
      <c r="A105" s="2"/>
      <c r="B105" s="9">
        <v>1</v>
      </c>
      <c r="C105" s="3" t="s">
        <v>117</v>
      </c>
      <c r="D105" s="95">
        <f>D94/D103</f>
        <v>21</v>
      </c>
      <c r="E105" s="3" t="s">
        <v>114</v>
      </c>
      <c r="F105" s="97"/>
      <c r="G105" s="11"/>
      <c r="H105" s="51"/>
      <c r="I105" s="3"/>
      <c r="J105" s="12"/>
      <c r="K105" s="3"/>
      <c r="M105" s="51"/>
      <c r="N105" s="3"/>
      <c r="O105" s="51"/>
      <c r="Q105" s="3"/>
      <c r="R105" s="51"/>
      <c r="T105" s="3"/>
      <c r="W105" s="3"/>
      <c r="X105" s="51"/>
      <c r="Z105" s="3"/>
      <c r="AA105" s="3"/>
      <c r="AB105" s="3"/>
      <c r="AC105" s="51"/>
      <c r="AD105" s="2"/>
      <c r="AE105" s="3"/>
      <c r="AF105" s="3"/>
      <c r="AG105" s="51"/>
      <c r="AI105" s="3"/>
      <c r="AJ105" s="3"/>
      <c r="AK105" s="12"/>
      <c r="AL105" s="3"/>
      <c r="AO105" s="3"/>
      <c r="AP105" s="3"/>
      <c r="AQ105" s="51"/>
      <c r="AS105" s="3"/>
      <c r="AT105" s="3"/>
      <c r="AW105" s="3"/>
      <c r="AX105" s="51"/>
      <c r="AY105" s="3"/>
      <c r="BA105" s="3"/>
      <c r="BB105" s="51"/>
      <c r="BE105" s="3"/>
      <c r="BF105" s="51"/>
      <c r="BG105" s="3"/>
      <c r="BH105" s="12"/>
      <c r="BI105" s="3"/>
      <c r="BJ105" s="51"/>
      <c r="BL105" s="3"/>
      <c r="BM105" s="3"/>
      <c r="BP105" s="3"/>
      <c r="BQ105" s="51"/>
      <c r="BR105" s="3"/>
      <c r="BS105" s="3"/>
      <c r="BT105" s="51"/>
      <c r="BV105" s="3"/>
      <c r="BW105" s="3"/>
      <c r="BX105" s="51"/>
      <c r="BZ105" s="3"/>
      <c r="CA105" s="51"/>
      <c r="CB105" s="3"/>
      <c r="CC105" s="3"/>
      <c r="CD105" s="51"/>
      <c r="CF105" s="3"/>
      <c r="CJ105" s="3"/>
      <c r="CM105" s="3"/>
      <c r="CP105" s="3"/>
      <c r="CT105" s="3"/>
      <c r="CW105" s="3"/>
    </row>
    <row r="106" spans="1:102" x14ac:dyDescent="0.3">
      <c r="A106" s="2"/>
      <c r="B106" s="12"/>
      <c r="E106" s="51"/>
      <c r="G106" s="12"/>
      <c r="H106" s="12"/>
      <c r="J106" s="2"/>
      <c r="L106" s="51"/>
      <c r="M106" s="12"/>
      <c r="N106" s="12"/>
      <c r="P106" s="2"/>
      <c r="R106" s="51"/>
      <c r="U106" s="2"/>
      <c r="V106" s="2"/>
      <c r="X106" s="51"/>
      <c r="AC106" s="2"/>
      <c r="AG106" s="2"/>
      <c r="AH106" s="2"/>
      <c r="AJ106" s="51"/>
      <c r="AK106" s="2"/>
      <c r="AM106" s="51"/>
      <c r="AN106" s="12"/>
      <c r="AO106" s="12"/>
      <c r="AQ106" s="2"/>
      <c r="AT106" s="51"/>
      <c r="AU106" s="2"/>
      <c r="AX106" s="51"/>
      <c r="AZ106" s="2"/>
      <c r="BB106" s="51"/>
      <c r="BF106" s="51"/>
      <c r="BH106" s="2"/>
      <c r="BJ106" s="51"/>
      <c r="BK106" s="12"/>
      <c r="BM106" s="51"/>
      <c r="BN106" s="2"/>
      <c r="BQ106" s="51"/>
      <c r="BT106" s="2"/>
      <c r="BX106" s="2"/>
      <c r="CA106" s="51"/>
      <c r="CD106" s="2"/>
      <c r="CG106" s="2"/>
      <c r="CK106" s="2"/>
      <c r="CN106" s="2"/>
      <c r="CQ106" s="2"/>
      <c r="CU106" s="2"/>
      <c r="CX106" s="2"/>
    </row>
    <row r="107" spans="1:102" x14ac:dyDescent="0.3">
      <c r="A107" s="2"/>
      <c r="B107" s="2">
        <v>1</v>
      </c>
      <c r="C107" s="3" t="s">
        <v>101</v>
      </c>
      <c r="D107" s="95">
        <v>108</v>
      </c>
      <c r="E107" s="3" t="s">
        <v>102</v>
      </c>
      <c r="F107" s="51"/>
      <c r="G107" s="51"/>
      <c r="H107" s="3"/>
      <c r="I107" s="3"/>
      <c r="J107" s="3"/>
      <c r="K107" s="3"/>
      <c r="L107" s="95"/>
      <c r="M107" s="95"/>
      <c r="N107" s="3"/>
      <c r="O107" s="3"/>
      <c r="P107" s="3"/>
      <c r="Q107" s="3"/>
      <c r="R107" s="51"/>
      <c r="S107" s="98"/>
      <c r="T107" s="98"/>
      <c r="U107" s="3"/>
      <c r="V107" s="3"/>
      <c r="W107" s="3"/>
      <c r="X107" s="98"/>
      <c r="Y107" s="98"/>
      <c r="Z107" s="2"/>
      <c r="AA107" s="2"/>
      <c r="AB107" s="3"/>
      <c r="AC107" s="3"/>
      <c r="AD107" s="2"/>
      <c r="AE107" s="99"/>
      <c r="AF107" s="3"/>
      <c r="AG107" s="3"/>
      <c r="AH107" s="99"/>
      <c r="AI107" s="3"/>
      <c r="AJ107" s="99"/>
      <c r="AK107" s="3"/>
      <c r="AL107" s="3"/>
      <c r="AN107" s="2"/>
      <c r="AO107" s="2"/>
      <c r="AP107" s="3"/>
      <c r="AQ107" s="3"/>
      <c r="AR107" s="2"/>
      <c r="AS107" s="3"/>
      <c r="AT107" s="2"/>
      <c r="AU107" s="3"/>
      <c r="AW107" s="3"/>
      <c r="AX107" s="51"/>
      <c r="AZ107" s="3"/>
      <c r="BA107" s="3"/>
      <c r="BB107" s="51"/>
      <c r="BE107" s="3"/>
      <c r="BF107" s="51"/>
      <c r="BH107" s="3"/>
      <c r="BI107" s="3"/>
      <c r="BJ107" s="51"/>
      <c r="BL107" s="3"/>
      <c r="BM107" s="51"/>
      <c r="BN107" s="3"/>
      <c r="BP107" s="3"/>
      <c r="BQ107" s="51"/>
      <c r="BS107" s="3"/>
      <c r="BT107" s="3"/>
      <c r="BW107" s="3"/>
      <c r="BX107" s="3"/>
      <c r="BZ107" s="3"/>
      <c r="CA107" s="51"/>
      <c r="CC107" s="3"/>
      <c r="CD107" s="3"/>
      <c r="CG107" s="3"/>
      <c r="CK107" s="3"/>
      <c r="CN107" s="3"/>
      <c r="CQ107" s="3"/>
      <c r="CU107" s="3"/>
      <c r="CX107" s="3"/>
    </row>
    <row r="108" spans="1:102" x14ac:dyDescent="0.3">
      <c r="A108" s="2"/>
      <c r="B108" s="2">
        <v>1</v>
      </c>
      <c r="C108" s="3" t="s">
        <v>103</v>
      </c>
      <c r="D108" s="95">
        <v>32.5</v>
      </c>
      <c r="E108" s="3" t="s">
        <v>102</v>
      </c>
      <c r="F108" s="2"/>
      <c r="H108" s="3"/>
      <c r="I108" s="3"/>
      <c r="J108" s="3"/>
      <c r="K108" s="3"/>
      <c r="L108" s="95"/>
      <c r="M108" s="95"/>
      <c r="N108" s="3"/>
      <c r="O108" s="3"/>
      <c r="P108" s="3"/>
      <c r="Q108" s="3"/>
      <c r="R108" s="51"/>
      <c r="S108" s="98"/>
      <c r="T108" s="98"/>
      <c r="U108" s="3"/>
      <c r="V108" s="3"/>
      <c r="W108" s="3"/>
      <c r="X108" s="98"/>
      <c r="Y108" s="98"/>
      <c r="Z108" s="2"/>
      <c r="AA108" s="2"/>
      <c r="AB108" s="3"/>
      <c r="AC108" s="3"/>
      <c r="AD108" s="2"/>
      <c r="AE108" s="99"/>
      <c r="AF108" s="3"/>
      <c r="AG108" s="3"/>
      <c r="AH108" s="99"/>
      <c r="AI108" s="3"/>
      <c r="AJ108" s="99"/>
      <c r="AK108" s="3"/>
      <c r="AL108" s="3"/>
      <c r="AN108" s="2"/>
      <c r="AO108" s="2"/>
      <c r="AP108" s="3"/>
      <c r="AQ108" s="3"/>
      <c r="AR108" s="2"/>
      <c r="AS108" s="3"/>
      <c r="AT108" s="2"/>
      <c r="AU108" s="3"/>
      <c r="AW108" s="3"/>
      <c r="AX108" s="51"/>
      <c r="AZ108" s="3"/>
      <c r="BA108" s="3"/>
      <c r="BB108" s="51"/>
      <c r="BE108" s="3"/>
      <c r="BF108" s="51"/>
      <c r="BH108" s="3"/>
      <c r="BI108" s="3"/>
      <c r="BJ108" s="51"/>
      <c r="BL108" s="3"/>
      <c r="BM108" s="51"/>
      <c r="BN108" s="3"/>
      <c r="BP108" s="3"/>
      <c r="BQ108" s="51"/>
      <c r="BS108" s="3"/>
      <c r="BT108" s="3"/>
      <c r="BW108" s="3"/>
      <c r="BX108" s="3"/>
      <c r="BZ108" s="3"/>
      <c r="CA108" s="51"/>
      <c r="CC108" s="3"/>
      <c r="CD108" s="3"/>
      <c r="CG108" s="3"/>
      <c r="CK108" s="3"/>
      <c r="CN108" s="3"/>
      <c r="CQ108" s="3"/>
      <c r="CU108" s="3"/>
      <c r="CX108" s="3"/>
    </row>
    <row r="109" spans="1:102" x14ac:dyDescent="0.3">
      <c r="A109" s="2"/>
      <c r="B109" s="2">
        <v>1</v>
      </c>
      <c r="C109" s="3" t="s">
        <v>105</v>
      </c>
      <c r="D109" s="95">
        <v>112</v>
      </c>
      <c r="E109" s="3" t="s">
        <v>106</v>
      </c>
      <c r="F109" s="51"/>
      <c r="G109" s="51"/>
      <c r="H109" s="3"/>
      <c r="I109" s="3"/>
      <c r="J109" s="3"/>
      <c r="K109" s="3"/>
      <c r="L109" s="95"/>
      <c r="M109" s="95"/>
      <c r="N109" s="3"/>
      <c r="O109" s="3"/>
      <c r="P109" s="3"/>
      <c r="Q109" s="3"/>
      <c r="R109" s="51"/>
      <c r="S109" s="98"/>
      <c r="T109" s="98"/>
      <c r="U109" s="3"/>
      <c r="V109" s="3"/>
      <c r="W109" s="3"/>
      <c r="X109" s="98"/>
      <c r="Y109" s="98"/>
      <c r="Z109" s="2"/>
      <c r="AA109" s="2"/>
      <c r="AB109" s="3"/>
      <c r="AC109" s="3"/>
      <c r="AD109" s="2"/>
      <c r="AE109" s="99"/>
      <c r="AF109" s="3"/>
      <c r="AG109" s="3"/>
      <c r="AH109" s="99"/>
      <c r="AI109" s="3"/>
      <c r="AJ109" s="99"/>
      <c r="AK109" s="3"/>
      <c r="AL109" s="3"/>
      <c r="AN109" s="2"/>
      <c r="AO109" s="2"/>
      <c r="AP109" s="3"/>
      <c r="AQ109" s="3"/>
      <c r="AR109" s="2"/>
      <c r="AS109" s="3"/>
      <c r="AT109" s="2"/>
      <c r="AU109" s="3"/>
      <c r="AW109" s="3"/>
      <c r="AX109" s="51"/>
      <c r="AZ109" s="3"/>
      <c r="BA109" s="3"/>
      <c r="BB109" s="51"/>
      <c r="BE109" s="3"/>
      <c r="BF109" s="51"/>
      <c r="BH109" s="3"/>
      <c r="BI109" s="3"/>
      <c r="BJ109" s="51"/>
      <c r="BL109" s="3"/>
      <c r="BM109" s="51"/>
      <c r="BN109" s="3"/>
      <c r="BP109" s="3"/>
      <c r="BQ109" s="51"/>
      <c r="BS109" s="3"/>
      <c r="BT109" s="3"/>
      <c r="BW109" s="3"/>
      <c r="BX109" s="3"/>
      <c r="BZ109" s="3"/>
      <c r="CA109" s="51"/>
      <c r="CC109" s="3"/>
      <c r="CD109" s="3"/>
      <c r="CG109" s="3"/>
      <c r="CK109" s="3"/>
      <c r="CN109" s="3"/>
      <c r="CQ109" s="3"/>
      <c r="CU109" s="3"/>
      <c r="CX109" s="3"/>
    </row>
    <row r="110" spans="1:102" ht="14.4" customHeight="1" x14ac:dyDescent="0.3">
      <c r="A110" s="2"/>
      <c r="B110" s="154">
        <v>1</v>
      </c>
      <c r="C110" s="155" t="s">
        <v>107</v>
      </c>
      <c r="D110" s="156">
        <v>130</v>
      </c>
      <c r="E110" s="157" t="s">
        <v>102</v>
      </c>
      <c r="F110" s="51"/>
      <c r="G110" s="51"/>
      <c r="H110" s="3"/>
      <c r="I110" s="3"/>
      <c r="J110" s="3"/>
      <c r="K110" s="10"/>
      <c r="L110" s="95"/>
      <c r="M110" s="95"/>
      <c r="N110" s="3"/>
      <c r="O110" s="3"/>
      <c r="P110" s="3"/>
      <c r="Q110" s="10"/>
      <c r="R110" s="51"/>
      <c r="S110" s="98"/>
      <c r="T110" s="98"/>
      <c r="U110" s="3"/>
      <c r="V110" s="3"/>
      <c r="W110" s="10"/>
      <c r="X110" s="98"/>
      <c r="Y110" s="98"/>
      <c r="Z110" s="2"/>
      <c r="AA110" s="2"/>
      <c r="AB110" s="10"/>
      <c r="AC110" s="3"/>
      <c r="AD110" s="2"/>
      <c r="AE110" s="99"/>
      <c r="AF110" s="10"/>
      <c r="AG110" s="3"/>
      <c r="AH110" s="99"/>
      <c r="AI110" s="10"/>
      <c r="AJ110" s="99"/>
      <c r="AK110" s="3"/>
      <c r="AL110" s="10"/>
      <c r="AN110" s="2"/>
      <c r="AO110" s="2"/>
      <c r="AP110" s="10"/>
      <c r="AQ110" s="3"/>
      <c r="AR110" s="2"/>
      <c r="AS110" s="10"/>
      <c r="AT110" s="2"/>
      <c r="AU110" s="3"/>
      <c r="AW110" s="10"/>
      <c r="AX110" s="51"/>
      <c r="AZ110" s="3"/>
      <c r="BA110" s="10"/>
      <c r="BB110" s="51"/>
      <c r="BE110" s="10"/>
      <c r="BF110" s="51"/>
      <c r="BH110" s="3"/>
      <c r="BI110" s="10"/>
      <c r="BJ110" s="51"/>
      <c r="BL110" s="10"/>
      <c r="BM110" s="51"/>
      <c r="BN110" s="3"/>
      <c r="BP110" s="10"/>
      <c r="BQ110" s="51"/>
      <c r="BS110" s="10"/>
      <c r="BT110" s="3"/>
      <c r="BW110" s="10"/>
      <c r="BX110" s="3"/>
      <c r="BZ110" s="10"/>
      <c r="CA110" s="51"/>
      <c r="CC110" s="10"/>
      <c r="CD110" s="3"/>
      <c r="CG110" s="3"/>
      <c r="CK110" s="3"/>
      <c r="CN110" s="3"/>
      <c r="CQ110" s="3"/>
      <c r="CU110" s="3"/>
      <c r="CX110" s="3"/>
    </row>
    <row r="111" spans="1:102" ht="14.4" customHeight="1" x14ac:dyDescent="0.3">
      <c r="A111" s="2"/>
      <c r="B111" s="154"/>
      <c r="C111" s="155"/>
      <c r="D111" s="156"/>
      <c r="E111" s="157"/>
      <c r="F111" s="2"/>
      <c r="H111" s="3"/>
      <c r="I111" s="3"/>
      <c r="J111" s="3"/>
      <c r="K111" s="10"/>
      <c r="L111" s="95"/>
      <c r="M111" s="95"/>
      <c r="N111" s="3"/>
      <c r="O111" s="3"/>
      <c r="P111" s="3"/>
      <c r="Q111" s="10"/>
      <c r="R111" s="51"/>
      <c r="S111" s="98"/>
      <c r="T111" s="98"/>
      <c r="U111" s="3"/>
      <c r="V111" s="3"/>
      <c r="W111" s="10"/>
      <c r="X111" s="98"/>
      <c r="Y111" s="98"/>
      <c r="Z111" s="2"/>
      <c r="AA111" s="2"/>
      <c r="AB111" s="10"/>
      <c r="AC111" s="3"/>
      <c r="AD111" s="2"/>
      <c r="AE111" s="99"/>
      <c r="AF111" s="10"/>
      <c r="AG111" s="3"/>
      <c r="AH111" s="99"/>
      <c r="AI111" s="10"/>
      <c r="AJ111" s="99"/>
      <c r="AK111" s="3"/>
      <c r="AL111" s="10"/>
      <c r="AN111" s="2"/>
      <c r="AO111" s="2"/>
      <c r="AP111" s="10"/>
      <c r="AQ111" s="3"/>
      <c r="AR111" s="2"/>
      <c r="AS111" s="10"/>
      <c r="AT111" s="2"/>
      <c r="AU111" s="3"/>
      <c r="AW111" s="10"/>
      <c r="AX111" s="51"/>
      <c r="AZ111" s="3"/>
      <c r="BA111" s="10"/>
      <c r="BB111" s="51"/>
      <c r="BE111" s="10"/>
      <c r="BF111" s="51"/>
      <c r="BH111" s="3"/>
      <c r="BI111" s="10"/>
      <c r="BJ111" s="51"/>
      <c r="BL111" s="10"/>
      <c r="BM111" s="51"/>
      <c r="BN111" s="3"/>
      <c r="BP111" s="10"/>
      <c r="BQ111" s="51"/>
      <c r="BS111" s="10"/>
      <c r="BT111" s="3"/>
      <c r="BW111" s="10"/>
      <c r="BX111" s="3"/>
      <c r="BZ111" s="10"/>
      <c r="CA111" s="51"/>
      <c r="CC111" s="10"/>
      <c r="CD111" s="3"/>
      <c r="CG111" s="3"/>
      <c r="CK111" s="3"/>
      <c r="CN111" s="3"/>
      <c r="CQ111" s="3"/>
      <c r="CU111" s="3"/>
      <c r="CX111" s="3"/>
    </row>
    <row r="112" spans="1:102" x14ac:dyDescent="0.3">
      <c r="A112" s="2"/>
      <c r="B112" s="9">
        <v>1</v>
      </c>
      <c r="C112" s="3" t="s">
        <v>108</v>
      </c>
      <c r="D112" s="95">
        <v>260</v>
      </c>
      <c r="E112" s="3" t="s">
        <v>102</v>
      </c>
      <c r="F112" s="2"/>
      <c r="H112" s="3"/>
      <c r="I112" s="3"/>
      <c r="J112" s="3"/>
      <c r="K112" s="3"/>
      <c r="L112" s="95"/>
      <c r="M112" s="95"/>
      <c r="N112" s="3"/>
      <c r="O112" s="3"/>
      <c r="P112" s="3"/>
      <c r="Q112" s="3"/>
      <c r="R112" s="51"/>
      <c r="S112" s="98"/>
      <c r="T112" s="98"/>
      <c r="U112" s="3"/>
      <c r="V112" s="3"/>
      <c r="W112" s="3"/>
      <c r="X112" s="98"/>
      <c r="Y112" s="98"/>
      <c r="Z112" s="2"/>
      <c r="AA112" s="2"/>
      <c r="AB112" s="3"/>
      <c r="AC112" s="3"/>
      <c r="AD112" s="2"/>
      <c r="AE112" s="99"/>
      <c r="AF112" s="3"/>
      <c r="AG112" s="3"/>
      <c r="AH112" s="99"/>
      <c r="AI112" s="3"/>
      <c r="AJ112" s="99"/>
      <c r="AK112" s="3"/>
      <c r="AL112" s="3"/>
      <c r="AN112" s="2"/>
      <c r="AO112" s="2"/>
      <c r="AP112" s="3"/>
      <c r="AQ112" s="3"/>
      <c r="AR112" s="2"/>
      <c r="AS112" s="3"/>
      <c r="AT112" s="2"/>
      <c r="AU112" s="3"/>
      <c r="AW112" s="3"/>
      <c r="AX112" s="51"/>
      <c r="AZ112" s="3"/>
      <c r="BA112" s="3"/>
      <c r="BB112" s="51"/>
      <c r="BE112" s="3"/>
      <c r="BF112" s="51"/>
      <c r="BH112" s="3"/>
      <c r="BI112" s="3"/>
      <c r="BJ112" s="51"/>
      <c r="BL112" s="3"/>
      <c r="BM112" s="51"/>
      <c r="BN112" s="3"/>
      <c r="BP112" s="3"/>
      <c r="BQ112" s="51"/>
      <c r="BS112" s="3"/>
      <c r="BT112" s="3"/>
      <c r="BW112" s="3"/>
      <c r="BX112" s="3"/>
      <c r="BZ112" s="3"/>
      <c r="CA112" s="51"/>
      <c r="CC112" s="3"/>
      <c r="CD112" s="3"/>
      <c r="CG112" s="3"/>
      <c r="CK112" s="3"/>
      <c r="CN112" s="3"/>
      <c r="CQ112" s="3"/>
      <c r="CU112" s="3"/>
      <c r="CX112" s="3"/>
    </row>
    <row r="113" spans="1:102" x14ac:dyDescent="0.3">
      <c r="A113" s="2"/>
      <c r="B113" s="9">
        <v>1</v>
      </c>
      <c r="C113" s="3" t="s">
        <v>352</v>
      </c>
      <c r="D113" s="95">
        <f>D110/D109</f>
        <v>1.1607142857142858</v>
      </c>
      <c r="E113" s="3" t="s">
        <v>109</v>
      </c>
      <c r="F113" s="2"/>
      <c r="H113" s="3"/>
      <c r="I113" s="3"/>
      <c r="J113" s="3"/>
      <c r="K113" s="3"/>
      <c r="L113" s="95"/>
      <c r="M113" s="95"/>
      <c r="N113" s="3"/>
      <c r="O113" s="3"/>
      <c r="P113" s="3"/>
      <c r="Q113" s="3"/>
      <c r="R113" s="51"/>
      <c r="S113" s="98"/>
      <c r="T113" s="98"/>
      <c r="U113" s="3"/>
      <c r="V113" s="3"/>
      <c r="W113" s="3"/>
      <c r="X113" s="98"/>
      <c r="Y113" s="98"/>
      <c r="Z113" s="2"/>
      <c r="AA113" s="2"/>
      <c r="AB113" s="3"/>
      <c r="AC113" s="3"/>
      <c r="AD113" s="2"/>
      <c r="AE113" s="99"/>
      <c r="AF113" s="3"/>
      <c r="AG113" s="3"/>
      <c r="AH113" s="99"/>
      <c r="AI113" s="3"/>
      <c r="AJ113" s="99"/>
      <c r="AK113" s="3"/>
      <c r="AL113" s="3"/>
      <c r="AN113" s="2"/>
      <c r="AO113" s="2"/>
      <c r="AP113" s="3"/>
      <c r="AQ113" s="3"/>
      <c r="AR113" s="2"/>
      <c r="AS113" s="3"/>
      <c r="AT113" s="2"/>
      <c r="AU113" s="3"/>
      <c r="AW113" s="3"/>
      <c r="AX113" s="51"/>
      <c r="AZ113" s="3"/>
      <c r="BA113" s="3"/>
      <c r="BB113" s="51"/>
      <c r="BE113" s="3"/>
      <c r="BF113" s="51"/>
      <c r="BH113" s="3"/>
      <c r="BI113" s="3"/>
      <c r="BJ113" s="51"/>
      <c r="BL113" s="3"/>
      <c r="BM113" s="51"/>
      <c r="BN113" s="3"/>
      <c r="BP113" s="3"/>
      <c r="BQ113" s="51"/>
      <c r="BS113" s="3"/>
      <c r="BT113" s="3"/>
      <c r="BW113" s="3"/>
      <c r="BX113" s="3"/>
      <c r="BZ113" s="3"/>
      <c r="CA113" s="51"/>
      <c r="CC113" s="3"/>
      <c r="CD113" s="3"/>
      <c r="CG113" s="3"/>
      <c r="CK113" s="3"/>
      <c r="CN113" s="3"/>
      <c r="CQ113" s="3"/>
      <c r="CU113" s="3"/>
      <c r="CX113" s="3"/>
    </row>
    <row r="114" spans="1:102" x14ac:dyDescent="0.3">
      <c r="A114" s="2"/>
      <c r="B114" s="9">
        <v>1</v>
      </c>
      <c r="C114" s="3" t="s">
        <v>108</v>
      </c>
      <c r="D114" s="95">
        <f>D112/D109</f>
        <v>2.3214285714285716</v>
      </c>
      <c r="E114" s="3" t="s">
        <v>109</v>
      </c>
      <c r="F114" s="2"/>
      <c r="H114" s="3"/>
      <c r="I114" s="3"/>
      <c r="J114" s="3"/>
      <c r="K114" s="3"/>
      <c r="L114" s="95"/>
      <c r="M114" s="95"/>
      <c r="N114" s="3"/>
      <c r="O114" s="3"/>
      <c r="P114" s="3"/>
      <c r="Q114" s="3"/>
      <c r="R114" s="51"/>
      <c r="S114" s="98"/>
      <c r="T114" s="98"/>
      <c r="U114" s="3"/>
      <c r="V114" s="3"/>
      <c r="W114" s="3"/>
      <c r="X114" s="98"/>
      <c r="Y114" s="98"/>
      <c r="Z114" s="2"/>
      <c r="AA114" s="2"/>
      <c r="AB114" s="3"/>
      <c r="AC114" s="3"/>
      <c r="AD114" s="2"/>
      <c r="AE114" s="99"/>
      <c r="AF114" s="3"/>
      <c r="AG114" s="3"/>
      <c r="AH114" s="99"/>
      <c r="AI114" s="3"/>
      <c r="AJ114" s="99"/>
      <c r="AK114" s="3"/>
      <c r="AL114" s="3"/>
      <c r="AN114" s="2"/>
      <c r="AO114" s="2"/>
      <c r="AP114" s="3"/>
      <c r="AQ114" s="3"/>
      <c r="AR114" s="2"/>
      <c r="AS114" s="3"/>
      <c r="AT114" s="2"/>
      <c r="AU114" s="3"/>
      <c r="AW114" s="3"/>
      <c r="AX114" s="51"/>
      <c r="AZ114" s="3"/>
      <c r="BA114" s="3"/>
      <c r="BB114" s="51"/>
      <c r="BE114" s="3"/>
      <c r="BF114" s="51"/>
      <c r="BH114" s="3"/>
      <c r="BI114" s="3"/>
      <c r="BJ114" s="51"/>
      <c r="BL114" s="3"/>
      <c r="BM114" s="51"/>
      <c r="BN114" s="3"/>
      <c r="BP114" s="3"/>
      <c r="BQ114" s="51"/>
      <c r="BS114" s="3"/>
      <c r="BT114" s="3"/>
      <c r="BW114" s="3"/>
      <c r="BX114" s="3"/>
      <c r="BZ114" s="3"/>
      <c r="CA114" s="51"/>
      <c r="CC114" s="3"/>
      <c r="CD114" s="3"/>
      <c r="CG114" s="3"/>
      <c r="CK114" s="3"/>
      <c r="CN114" s="3"/>
      <c r="CQ114" s="3"/>
      <c r="CU114" s="3"/>
      <c r="CX114" s="3"/>
    </row>
    <row r="115" spans="1:102" x14ac:dyDescent="0.3">
      <c r="A115" s="2"/>
      <c r="B115" s="2"/>
      <c r="C115" s="2"/>
      <c r="D115" s="2"/>
      <c r="E115" s="2"/>
      <c r="F115" s="2"/>
      <c r="H115" s="3"/>
      <c r="I115" s="3"/>
      <c r="J115" s="3"/>
      <c r="K115" s="2"/>
      <c r="L115" s="95"/>
      <c r="M115" s="95"/>
      <c r="N115" s="3"/>
      <c r="O115" s="3"/>
      <c r="P115" s="3"/>
      <c r="Q115" s="2"/>
      <c r="R115" s="51"/>
      <c r="S115" s="98"/>
      <c r="T115" s="98"/>
      <c r="U115" s="3"/>
      <c r="V115" s="3"/>
      <c r="W115" s="2"/>
      <c r="X115" s="98"/>
      <c r="Y115" s="98"/>
      <c r="Z115" s="2"/>
      <c r="AA115" s="2"/>
      <c r="AB115" s="2"/>
      <c r="AC115" s="3"/>
      <c r="AD115" s="2"/>
      <c r="AE115" s="99"/>
      <c r="AF115" s="2"/>
      <c r="AG115" s="3"/>
      <c r="AH115" s="99"/>
      <c r="AI115" s="2"/>
      <c r="AJ115" s="99"/>
      <c r="AK115" s="3"/>
      <c r="AL115" s="2"/>
      <c r="AN115" s="2"/>
      <c r="AO115" s="2"/>
      <c r="AP115" s="2"/>
      <c r="AQ115" s="3"/>
      <c r="AR115" s="2"/>
      <c r="AS115" s="2"/>
      <c r="AT115" s="2"/>
      <c r="AU115" s="3"/>
      <c r="AW115" s="2"/>
      <c r="AX115" s="51"/>
      <c r="AZ115" s="3"/>
      <c r="BA115" s="2"/>
      <c r="BB115" s="51"/>
      <c r="BE115" s="2"/>
      <c r="BF115" s="51"/>
      <c r="BH115" s="3"/>
      <c r="BI115" s="2"/>
      <c r="BJ115" s="51"/>
      <c r="BL115" s="2"/>
      <c r="BM115" s="51"/>
      <c r="BN115" s="3"/>
      <c r="BP115" s="2"/>
      <c r="BQ115" s="51"/>
      <c r="BS115" s="2"/>
      <c r="BT115" s="3"/>
      <c r="BW115" s="2"/>
      <c r="BX115" s="3"/>
      <c r="BZ115" s="2"/>
      <c r="CA115" s="51"/>
      <c r="CC115" s="2"/>
      <c r="CD115" s="3"/>
      <c r="CG115" s="3"/>
      <c r="CK115" s="3"/>
      <c r="CN115" s="3"/>
      <c r="CQ115" s="3"/>
      <c r="CU115" s="3"/>
      <c r="CX115" s="3"/>
    </row>
    <row r="116" spans="1:102" x14ac:dyDescent="0.3">
      <c r="A116" s="2" t="s">
        <v>118</v>
      </c>
      <c r="B116" s="2">
        <v>1</v>
      </c>
      <c r="C116" s="6" t="s">
        <v>119</v>
      </c>
      <c r="D116" s="2">
        <v>373.33</v>
      </c>
      <c r="E116" s="3" t="s">
        <v>102</v>
      </c>
      <c r="F116" s="97">
        <f>D116/D109</f>
        <v>3.3333035714285715</v>
      </c>
      <c r="G116" s="3" t="s">
        <v>109</v>
      </c>
      <c r="H116" s="3"/>
      <c r="I116" s="3"/>
      <c r="J116" s="3"/>
      <c r="K116" s="3"/>
      <c r="L116" s="95"/>
      <c r="M116" s="95"/>
      <c r="N116" s="3"/>
      <c r="O116" s="3"/>
      <c r="P116" s="3"/>
      <c r="Q116" s="3"/>
      <c r="R116" s="51"/>
      <c r="S116" s="98"/>
      <c r="T116" s="98"/>
      <c r="U116" s="3"/>
      <c r="V116" s="3"/>
      <c r="W116" s="3"/>
      <c r="X116" s="98"/>
      <c r="Y116" s="98"/>
      <c r="Z116" s="2"/>
      <c r="AA116" s="2"/>
      <c r="AB116" s="3"/>
      <c r="AC116" s="3"/>
      <c r="AD116" s="2"/>
      <c r="AE116" s="99"/>
      <c r="AF116" s="3"/>
      <c r="AG116" s="3"/>
      <c r="AH116" s="99"/>
      <c r="AI116" s="3"/>
      <c r="AJ116" s="99"/>
      <c r="AK116" s="3"/>
      <c r="AL116" s="3"/>
      <c r="AN116" s="2"/>
      <c r="AO116" s="2"/>
      <c r="AP116" s="3"/>
      <c r="AQ116" s="3"/>
      <c r="AR116" s="2"/>
      <c r="AS116" s="3"/>
      <c r="AT116" s="2"/>
      <c r="AU116" s="3"/>
      <c r="AW116" s="3"/>
      <c r="AX116" s="51"/>
      <c r="AZ116" s="3"/>
      <c r="BA116" s="3"/>
      <c r="BB116" s="51"/>
      <c r="BE116" s="3"/>
      <c r="BF116" s="51"/>
      <c r="BH116" s="3"/>
      <c r="BI116" s="3"/>
      <c r="BJ116" s="51"/>
      <c r="BL116" s="3"/>
      <c r="BM116" s="51"/>
      <c r="BN116" s="3"/>
      <c r="BP116" s="3"/>
      <c r="BQ116" s="51"/>
      <c r="BS116" s="3"/>
      <c r="BT116" s="3"/>
      <c r="BW116" s="3"/>
      <c r="BX116" s="3"/>
      <c r="BZ116" s="3"/>
      <c r="CA116" s="51"/>
      <c r="CC116" s="3"/>
      <c r="CD116" s="3"/>
      <c r="CG116" s="3"/>
      <c r="CK116" s="3"/>
      <c r="CN116" s="3"/>
      <c r="CQ116" s="3"/>
      <c r="CU116" s="3"/>
      <c r="CX116" s="3"/>
    </row>
    <row r="117" spans="1:102" x14ac:dyDescent="0.3">
      <c r="A117" s="2" t="s">
        <v>23</v>
      </c>
      <c r="B117" s="2">
        <v>1</v>
      </c>
      <c r="C117" s="6" t="s">
        <v>101</v>
      </c>
      <c r="D117" s="2">
        <v>0.5</v>
      </c>
      <c r="E117" s="3" t="s">
        <v>109</v>
      </c>
      <c r="F117" s="2"/>
      <c r="H117" s="3"/>
      <c r="I117" s="3"/>
      <c r="J117" s="3"/>
      <c r="K117" s="3"/>
      <c r="L117" s="95"/>
      <c r="M117" s="95"/>
      <c r="N117" s="3"/>
      <c r="O117" s="3"/>
      <c r="P117" s="3"/>
      <c r="Q117" s="3"/>
      <c r="R117" s="51"/>
      <c r="S117" s="98"/>
      <c r="T117" s="98"/>
      <c r="U117" s="3"/>
      <c r="V117" s="3"/>
      <c r="W117" s="3"/>
      <c r="X117" s="98"/>
      <c r="Y117" s="98"/>
      <c r="Z117" s="2"/>
      <c r="AA117" s="2"/>
      <c r="AB117" s="3"/>
      <c r="AC117" s="3"/>
      <c r="AD117" s="2"/>
      <c r="AE117" s="99"/>
      <c r="AF117" s="3"/>
      <c r="AG117" s="3"/>
      <c r="AH117" s="99"/>
      <c r="AI117" s="3"/>
      <c r="AJ117" s="99"/>
      <c r="AK117" s="3"/>
      <c r="AL117" s="3"/>
      <c r="AN117" s="2"/>
      <c r="AO117" s="2"/>
      <c r="AP117" s="3"/>
      <c r="AQ117" s="3"/>
      <c r="AR117" s="2"/>
      <c r="AS117" s="3"/>
      <c r="AT117" s="2"/>
      <c r="AU117" s="3"/>
      <c r="AW117" s="3"/>
      <c r="AX117" s="51"/>
      <c r="AZ117" s="3"/>
      <c r="BA117" s="3"/>
      <c r="BB117" s="51"/>
      <c r="BE117" s="3"/>
      <c r="BF117" s="51"/>
      <c r="BH117" s="3"/>
      <c r="BI117" s="3"/>
      <c r="BJ117" s="51"/>
      <c r="BL117" s="3"/>
      <c r="BM117" s="51"/>
      <c r="BN117" s="3"/>
      <c r="BP117" s="3"/>
      <c r="BQ117" s="51"/>
      <c r="BS117" s="3"/>
      <c r="BT117" s="3"/>
      <c r="BW117" s="3"/>
      <c r="BX117" s="3"/>
      <c r="BZ117" s="3"/>
      <c r="CA117" s="51"/>
      <c r="CC117" s="3"/>
      <c r="CD117" s="3"/>
      <c r="CG117" s="3"/>
      <c r="CK117" s="3"/>
      <c r="CN117" s="3"/>
      <c r="CQ117" s="3"/>
      <c r="CU117" s="3"/>
      <c r="CX117" s="3"/>
    </row>
    <row r="118" spans="1:102" x14ac:dyDescent="0.3">
      <c r="A118" s="2" t="s">
        <v>10</v>
      </c>
      <c r="B118" s="2">
        <v>1</v>
      </c>
      <c r="C118" s="3" t="s">
        <v>120</v>
      </c>
      <c r="D118" s="95">
        <v>1.5</v>
      </c>
      <c r="E118" s="3" t="s">
        <v>109</v>
      </c>
      <c r="F118" s="51"/>
      <c r="G118" s="3"/>
      <c r="H118" s="3"/>
      <c r="I118" s="3"/>
      <c r="J118" s="3"/>
      <c r="K118" s="3"/>
      <c r="L118" s="95"/>
      <c r="M118" s="95"/>
      <c r="N118" s="3"/>
      <c r="O118" s="3"/>
      <c r="P118" s="3"/>
      <c r="Q118" s="3"/>
      <c r="R118" s="51"/>
      <c r="S118" s="98"/>
      <c r="T118" s="98"/>
      <c r="U118" s="3"/>
      <c r="V118" s="3"/>
      <c r="W118" s="3"/>
      <c r="X118" s="98"/>
      <c r="Y118" s="98"/>
      <c r="Z118" s="2"/>
      <c r="AA118" s="2"/>
      <c r="AB118" s="3"/>
      <c r="AC118" s="3"/>
      <c r="AD118" s="2"/>
      <c r="AE118" s="99"/>
      <c r="AF118" s="3"/>
      <c r="AG118" s="3"/>
      <c r="AH118" s="99"/>
      <c r="AI118" s="3"/>
      <c r="AJ118" s="99"/>
      <c r="AK118" s="3"/>
      <c r="AL118" s="3"/>
      <c r="AN118" s="2"/>
      <c r="AO118" s="2"/>
      <c r="AP118" s="3"/>
      <c r="AQ118" s="3"/>
      <c r="AR118" s="2"/>
      <c r="AS118" s="3"/>
      <c r="AT118" s="2"/>
      <c r="AU118" s="3"/>
      <c r="AW118" s="3"/>
      <c r="AX118" s="51"/>
      <c r="AZ118" s="3"/>
      <c r="BA118" s="3"/>
      <c r="BB118" s="51"/>
      <c r="BE118" s="3"/>
      <c r="BF118" s="51"/>
      <c r="BH118" s="3"/>
      <c r="BI118" s="3"/>
      <c r="BJ118" s="51"/>
      <c r="BL118" s="3"/>
      <c r="BM118" s="51"/>
      <c r="BN118" s="3"/>
      <c r="BP118" s="3"/>
      <c r="BQ118" s="51"/>
      <c r="BS118" s="3"/>
      <c r="BT118" s="3"/>
      <c r="BW118" s="3"/>
      <c r="BX118" s="3"/>
      <c r="BZ118" s="3"/>
      <c r="CA118" s="51"/>
      <c r="CC118" s="3"/>
      <c r="CD118" s="3"/>
      <c r="CG118" s="3"/>
      <c r="CK118" s="3"/>
      <c r="CN118" s="3"/>
      <c r="CQ118" s="3"/>
      <c r="CU118" s="3"/>
      <c r="CX118" s="3"/>
    </row>
    <row r="119" spans="1:102" x14ac:dyDescent="0.3">
      <c r="A119" s="2" t="s">
        <v>12</v>
      </c>
      <c r="B119" s="2">
        <v>1</v>
      </c>
      <c r="C119" s="3" t="s">
        <v>120</v>
      </c>
      <c r="D119" s="95">
        <v>1.75</v>
      </c>
      <c r="E119" s="3" t="s">
        <v>109</v>
      </c>
      <c r="F119" s="51"/>
      <c r="G119" s="3"/>
      <c r="H119" s="3"/>
      <c r="I119" s="3"/>
      <c r="J119" s="3"/>
      <c r="K119" s="3"/>
      <c r="L119" s="95"/>
      <c r="M119" s="95"/>
      <c r="N119" s="3"/>
      <c r="O119" s="3"/>
      <c r="P119" s="3"/>
      <c r="Q119" s="3"/>
      <c r="R119" s="51"/>
      <c r="S119" s="98"/>
      <c r="T119" s="98"/>
      <c r="U119" s="3"/>
      <c r="V119" s="3"/>
      <c r="W119" s="3"/>
      <c r="X119" s="98"/>
      <c r="Y119" s="98"/>
      <c r="Z119" s="2"/>
      <c r="AA119" s="2"/>
      <c r="AB119" s="3"/>
      <c r="AC119" s="3"/>
      <c r="AD119" s="2"/>
      <c r="AE119" s="99"/>
      <c r="AF119" s="3"/>
      <c r="AG119" s="3"/>
      <c r="AH119" s="99"/>
      <c r="AI119" s="3"/>
      <c r="AJ119" s="99"/>
      <c r="AK119" s="3"/>
      <c r="AL119" s="3"/>
      <c r="AN119" s="2"/>
      <c r="AO119" s="2"/>
      <c r="AP119" s="3"/>
      <c r="AQ119" s="3"/>
      <c r="AR119" s="2"/>
      <c r="AS119" s="3"/>
      <c r="AT119" s="2"/>
      <c r="AU119" s="3"/>
      <c r="AW119" s="3"/>
      <c r="AX119" s="51"/>
      <c r="AZ119" s="3"/>
      <c r="BA119" s="3"/>
      <c r="BB119" s="51"/>
      <c r="BE119" s="3"/>
      <c r="BF119" s="51"/>
      <c r="BH119" s="3"/>
      <c r="BI119" s="3"/>
      <c r="BJ119" s="51"/>
      <c r="BL119" s="3"/>
      <c r="BM119" s="51"/>
      <c r="BN119" s="3"/>
      <c r="BP119" s="3"/>
      <c r="BQ119" s="51"/>
      <c r="BS119" s="3"/>
      <c r="BT119" s="3"/>
      <c r="BW119" s="3"/>
      <c r="BX119" s="3"/>
      <c r="BZ119" s="3"/>
      <c r="CA119" s="51"/>
      <c r="CC119" s="3"/>
      <c r="CD119" s="3"/>
      <c r="CG119" s="3"/>
      <c r="CK119" s="3"/>
      <c r="CN119" s="3"/>
      <c r="CQ119" s="3"/>
      <c r="CU119" s="3"/>
      <c r="CX119" s="3"/>
    </row>
    <row r="120" spans="1:102" x14ac:dyDescent="0.3">
      <c r="A120" s="2" t="s">
        <v>121</v>
      </c>
      <c r="B120" s="2">
        <v>1</v>
      </c>
      <c r="C120" s="3" t="s">
        <v>120</v>
      </c>
      <c r="D120" s="95">
        <v>1.5</v>
      </c>
      <c r="E120" s="3" t="s">
        <v>109</v>
      </c>
      <c r="F120" s="51"/>
      <c r="G120" s="3"/>
      <c r="H120" s="3"/>
      <c r="I120" s="3"/>
      <c r="J120" s="3"/>
      <c r="K120" s="3"/>
      <c r="L120" s="95"/>
      <c r="M120" s="95"/>
      <c r="N120" s="3"/>
      <c r="O120" s="3"/>
      <c r="P120" s="3"/>
      <c r="Q120" s="3"/>
      <c r="R120" s="51"/>
      <c r="S120" s="98"/>
      <c r="T120" s="98"/>
      <c r="U120" s="3"/>
      <c r="V120" s="3"/>
      <c r="W120" s="3"/>
      <c r="X120" s="98"/>
      <c r="Y120" s="98"/>
      <c r="Z120" s="2"/>
      <c r="AA120" s="2"/>
      <c r="AB120" s="3"/>
      <c r="AC120" s="3"/>
      <c r="AD120" s="2"/>
      <c r="AE120" s="99"/>
      <c r="AF120" s="3"/>
      <c r="AG120" s="3"/>
      <c r="AH120" s="99"/>
      <c r="AI120" s="3"/>
      <c r="AJ120" s="99"/>
      <c r="AK120" s="3"/>
      <c r="AL120" s="3"/>
      <c r="AN120" s="2"/>
      <c r="AO120" s="2"/>
      <c r="AP120" s="3"/>
      <c r="AQ120" s="3"/>
      <c r="AR120" s="2"/>
      <c r="AS120" s="3"/>
      <c r="AT120" s="2"/>
      <c r="AU120" s="3"/>
      <c r="AW120" s="3"/>
      <c r="AX120" s="51"/>
      <c r="AZ120" s="3"/>
      <c r="BA120" s="3"/>
      <c r="BB120" s="51"/>
      <c r="BE120" s="3"/>
      <c r="BF120" s="51"/>
      <c r="BH120" s="3"/>
      <c r="BI120" s="3"/>
      <c r="BJ120" s="51"/>
      <c r="BL120" s="3"/>
      <c r="BM120" s="51"/>
      <c r="BN120" s="3"/>
      <c r="BP120" s="3"/>
      <c r="BQ120" s="51"/>
      <c r="BS120" s="3"/>
      <c r="BT120" s="3"/>
      <c r="BW120" s="3"/>
      <c r="BX120" s="3"/>
      <c r="BZ120" s="3"/>
      <c r="CA120" s="51"/>
      <c r="CC120" s="3"/>
      <c r="CD120" s="3"/>
      <c r="CG120" s="3"/>
      <c r="CK120" s="3"/>
      <c r="CN120" s="3"/>
      <c r="CQ120" s="3"/>
      <c r="CU120" s="3"/>
      <c r="CX120" s="3"/>
    </row>
    <row r="121" spans="1:102" x14ac:dyDescent="0.3">
      <c r="A121" s="2" t="s">
        <v>16</v>
      </c>
      <c r="B121" s="2">
        <v>1</v>
      </c>
      <c r="C121" s="3" t="s">
        <v>119</v>
      </c>
      <c r="D121" s="95">
        <v>1.26</v>
      </c>
      <c r="E121" s="3" t="s">
        <v>109</v>
      </c>
      <c r="F121" s="51"/>
      <c r="G121" s="3"/>
      <c r="H121" s="3"/>
      <c r="I121" s="3"/>
      <c r="J121" s="3"/>
      <c r="K121" s="3"/>
      <c r="L121" s="95"/>
      <c r="M121" s="95"/>
      <c r="N121" s="3"/>
      <c r="O121" s="3"/>
      <c r="P121" s="3"/>
      <c r="Q121" s="3"/>
      <c r="R121" s="51"/>
      <c r="S121" s="98"/>
      <c r="T121" s="98"/>
      <c r="U121" s="3"/>
      <c r="V121" s="3"/>
      <c r="W121" s="3"/>
      <c r="X121" s="98"/>
      <c r="Y121" s="98"/>
      <c r="Z121" s="2"/>
      <c r="AA121" s="2"/>
      <c r="AB121" s="3"/>
      <c r="AC121" s="3"/>
      <c r="AD121" s="2"/>
      <c r="AE121" s="99"/>
      <c r="AF121" s="3"/>
      <c r="AG121" s="3"/>
      <c r="AH121" s="99"/>
      <c r="AI121" s="3"/>
      <c r="AJ121" s="99"/>
      <c r="AK121" s="3"/>
      <c r="AL121" s="3"/>
      <c r="AN121" s="2"/>
      <c r="AO121" s="2"/>
      <c r="AP121" s="3"/>
      <c r="AQ121" s="3"/>
      <c r="AR121" s="2"/>
      <c r="AS121" s="3"/>
      <c r="AT121" s="2"/>
      <c r="AU121" s="3"/>
      <c r="AW121" s="3"/>
      <c r="AX121" s="51"/>
      <c r="AZ121" s="3"/>
      <c r="BA121" s="3"/>
      <c r="BB121" s="51"/>
      <c r="BE121" s="3"/>
      <c r="BF121" s="51"/>
      <c r="BH121" s="3"/>
      <c r="BI121" s="3"/>
      <c r="BJ121" s="51"/>
      <c r="BL121" s="3"/>
      <c r="BM121" s="51"/>
      <c r="BN121" s="3"/>
      <c r="BP121" s="3"/>
      <c r="BQ121" s="51"/>
      <c r="BS121" s="3"/>
      <c r="BT121" s="3"/>
      <c r="BW121" s="3"/>
      <c r="BX121" s="3"/>
      <c r="BZ121" s="3"/>
      <c r="CA121" s="51"/>
      <c r="CC121" s="3"/>
      <c r="CD121" s="3"/>
      <c r="CG121" s="3"/>
      <c r="CK121" s="3"/>
      <c r="CN121" s="3"/>
      <c r="CQ121" s="3"/>
      <c r="CU121" s="3"/>
      <c r="CX121" s="3"/>
    </row>
    <row r="122" spans="1:102" x14ac:dyDescent="0.3">
      <c r="A122" s="2" t="s">
        <v>122</v>
      </c>
      <c r="B122" s="2">
        <v>1</v>
      </c>
      <c r="C122" s="3" t="s">
        <v>123</v>
      </c>
      <c r="D122" s="95">
        <v>15.9</v>
      </c>
      <c r="E122" s="3" t="s">
        <v>109</v>
      </c>
      <c r="F122" s="51"/>
      <c r="G122" s="3"/>
      <c r="H122" s="3"/>
      <c r="I122" s="3"/>
      <c r="J122" s="3"/>
      <c r="K122" s="3"/>
      <c r="L122" s="95"/>
      <c r="M122" s="95"/>
      <c r="N122" s="3"/>
      <c r="O122" s="3"/>
      <c r="P122" s="3"/>
      <c r="Q122" s="3"/>
      <c r="R122" s="51"/>
      <c r="S122" s="98"/>
      <c r="T122" s="98"/>
      <c r="U122" s="3"/>
      <c r="V122" s="3"/>
      <c r="W122" s="3"/>
      <c r="X122" s="98"/>
      <c r="Y122" s="98"/>
      <c r="Z122" s="2"/>
      <c r="AA122" s="2"/>
      <c r="AB122" s="3"/>
      <c r="AC122" s="3"/>
      <c r="AD122" s="2"/>
      <c r="AE122" s="99"/>
      <c r="AF122" s="3"/>
      <c r="AG122" s="3"/>
      <c r="AH122" s="99"/>
      <c r="AI122" s="3"/>
      <c r="AJ122" s="99"/>
      <c r="AK122" s="3"/>
      <c r="AL122" s="3"/>
      <c r="AN122" s="2"/>
      <c r="AO122" s="2"/>
      <c r="AP122" s="3"/>
      <c r="AQ122" s="3"/>
      <c r="AR122" s="2"/>
      <c r="AS122" s="3"/>
      <c r="AT122" s="2"/>
      <c r="AU122" s="3"/>
      <c r="AW122" s="3"/>
      <c r="AX122" s="51"/>
      <c r="AZ122" s="3"/>
      <c r="BA122" s="3"/>
      <c r="BB122" s="51"/>
      <c r="BE122" s="3"/>
      <c r="BF122" s="51"/>
      <c r="BH122" s="3"/>
      <c r="BI122" s="3"/>
      <c r="BJ122" s="51"/>
      <c r="BL122" s="3"/>
      <c r="BM122" s="51"/>
      <c r="BN122" s="3"/>
      <c r="BP122" s="3"/>
      <c r="BQ122" s="51"/>
      <c r="BS122" s="3"/>
      <c r="BT122" s="3"/>
      <c r="BW122" s="3"/>
      <c r="BX122" s="3"/>
      <c r="BZ122" s="3"/>
      <c r="CA122" s="51"/>
      <c r="CC122" s="3"/>
      <c r="CD122" s="3"/>
      <c r="CG122" s="3"/>
      <c r="CK122" s="3"/>
      <c r="CN122" s="3"/>
      <c r="CQ122" s="3"/>
      <c r="CU122" s="3"/>
      <c r="CX122" s="3"/>
    </row>
    <row r="123" spans="1:102" x14ac:dyDescent="0.3">
      <c r="A123" s="2" t="s">
        <v>34</v>
      </c>
      <c r="B123" s="2">
        <v>1</v>
      </c>
      <c r="C123" s="3" t="s">
        <v>124</v>
      </c>
      <c r="D123" s="95">
        <f>439.681/D109</f>
        <v>3.9257232142857141</v>
      </c>
      <c r="E123" s="3" t="s">
        <v>109</v>
      </c>
      <c r="F123" s="51"/>
      <c r="G123" s="3"/>
      <c r="H123" s="51"/>
      <c r="I123" s="3"/>
      <c r="J123" s="3"/>
      <c r="K123" s="3"/>
      <c r="L123" s="95"/>
      <c r="M123" s="95"/>
      <c r="N123" s="3"/>
      <c r="O123" s="3"/>
      <c r="P123" s="3"/>
      <c r="Q123" s="3"/>
      <c r="R123" s="51"/>
      <c r="S123" s="98"/>
      <c r="T123" s="98"/>
      <c r="U123" s="3"/>
      <c r="V123" s="3"/>
      <c r="W123" s="3"/>
      <c r="X123" s="98"/>
      <c r="Y123" s="98"/>
      <c r="Z123" s="2"/>
      <c r="AA123" s="2"/>
      <c r="AB123" s="3"/>
      <c r="AC123" s="3"/>
      <c r="AD123" s="2"/>
      <c r="AE123" s="99"/>
      <c r="AF123" s="3"/>
      <c r="AG123" s="3"/>
      <c r="AH123" s="99"/>
      <c r="AI123" s="3"/>
      <c r="AJ123" s="99"/>
      <c r="AK123" s="3"/>
      <c r="AL123" s="3"/>
      <c r="AN123" s="2"/>
      <c r="AO123" s="2"/>
      <c r="AP123" s="3"/>
      <c r="AQ123" s="3"/>
      <c r="AR123" s="2"/>
      <c r="AS123" s="3"/>
      <c r="AT123" s="2"/>
      <c r="AU123" s="3"/>
      <c r="AW123" s="3"/>
      <c r="AX123" s="51"/>
      <c r="AZ123" s="3"/>
      <c r="BA123" s="3"/>
      <c r="BB123" s="51"/>
      <c r="BE123" s="3"/>
      <c r="BF123" s="51"/>
      <c r="BH123" s="3"/>
      <c r="BI123" s="3"/>
      <c r="BJ123" s="51"/>
      <c r="BL123" s="3"/>
      <c r="BM123" s="51"/>
      <c r="BN123" s="3"/>
      <c r="BP123" s="3"/>
      <c r="BQ123" s="51"/>
      <c r="BS123" s="3"/>
      <c r="BT123" s="3"/>
      <c r="BW123" s="3"/>
      <c r="BX123" s="3"/>
      <c r="BZ123" s="3"/>
      <c r="CA123" s="51"/>
      <c r="CC123" s="3"/>
      <c r="CD123" s="3"/>
      <c r="CG123" s="3"/>
      <c r="CK123" s="3"/>
      <c r="CN123" s="3"/>
      <c r="CQ123" s="3"/>
      <c r="CU123" s="3"/>
      <c r="CX123" s="3"/>
    </row>
    <row r="124" spans="1:102" x14ac:dyDescent="0.3">
      <c r="A124" s="2" t="s">
        <v>96</v>
      </c>
      <c r="B124" s="2">
        <v>1</v>
      </c>
      <c r="C124" s="3" t="s">
        <v>124</v>
      </c>
      <c r="D124" s="95">
        <v>3</v>
      </c>
      <c r="E124" s="3" t="s">
        <v>109</v>
      </c>
      <c r="F124" s="51"/>
      <c r="G124" s="3"/>
      <c r="H124" s="51"/>
      <c r="I124" s="3"/>
      <c r="J124" s="3"/>
      <c r="K124" s="3"/>
      <c r="L124" s="51"/>
      <c r="M124" s="51"/>
      <c r="N124" s="51"/>
      <c r="O124" s="3"/>
      <c r="P124" s="3"/>
      <c r="Q124" s="3"/>
      <c r="R124" s="51"/>
      <c r="S124" s="98"/>
      <c r="T124" s="98"/>
      <c r="U124" s="3"/>
      <c r="V124" s="3"/>
      <c r="W124" s="3"/>
      <c r="X124" s="98"/>
      <c r="Y124" s="98"/>
      <c r="Z124" s="12"/>
      <c r="AA124" s="12"/>
      <c r="AB124" s="3"/>
      <c r="AC124" s="3"/>
      <c r="AD124" s="12"/>
      <c r="AE124" s="99"/>
      <c r="AF124" s="3"/>
      <c r="AG124" s="3"/>
      <c r="AH124" s="99"/>
      <c r="AI124" s="3"/>
      <c r="AJ124" s="99"/>
      <c r="AK124" s="3"/>
      <c r="AL124" s="3"/>
      <c r="AN124" s="2"/>
      <c r="AO124" s="2"/>
      <c r="AP124" s="3"/>
      <c r="AQ124" s="3"/>
      <c r="AR124" s="2"/>
      <c r="AS124" s="3"/>
      <c r="AT124" s="2"/>
      <c r="AU124" s="3"/>
      <c r="AW124" s="3"/>
      <c r="AX124" s="51"/>
      <c r="AZ124" s="3"/>
      <c r="BA124" s="3"/>
      <c r="BB124" s="51"/>
      <c r="BE124" s="3"/>
      <c r="BF124" s="51"/>
      <c r="BH124" s="3"/>
      <c r="BI124" s="3"/>
      <c r="BJ124" s="51"/>
      <c r="BL124" s="3"/>
      <c r="BM124" s="51"/>
      <c r="BN124" s="3"/>
      <c r="BP124" s="3"/>
      <c r="BQ124" s="51"/>
      <c r="BS124" s="3"/>
      <c r="BT124" s="3"/>
      <c r="BW124" s="3"/>
      <c r="BX124" s="3"/>
      <c r="BZ124" s="3"/>
      <c r="CA124" s="51"/>
      <c r="CC124" s="3"/>
      <c r="CD124" s="3"/>
      <c r="CG124" s="3"/>
      <c r="CK124" s="3"/>
      <c r="CN124" s="3"/>
      <c r="CQ124" s="3"/>
      <c r="CU124" s="3"/>
      <c r="CX124" s="3"/>
    </row>
    <row r="125" spans="1:102" x14ac:dyDescent="0.3">
      <c r="A125" s="2" t="s">
        <v>47</v>
      </c>
      <c r="B125" s="2">
        <v>1</v>
      </c>
      <c r="C125" s="3" t="s">
        <v>124</v>
      </c>
      <c r="D125" s="95">
        <v>2.98</v>
      </c>
      <c r="E125" s="3" t="s">
        <v>109</v>
      </c>
      <c r="F125" s="51"/>
      <c r="G125" s="3"/>
      <c r="H125" s="51"/>
      <c r="I125" s="3"/>
      <c r="J125" s="3"/>
      <c r="K125" s="3"/>
      <c r="L125" s="51"/>
      <c r="M125" s="51"/>
      <c r="N125" s="51"/>
      <c r="O125" s="3"/>
      <c r="P125" s="3"/>
      <c r="Q125" s="3"/>
      <c r="R125" s="51"/>
      <c r="S125" s="98"/>
      <c r="T125" s="98"/>
      <c r="U125" s="3"/>
      <c r="V125" s="3"/>
      <c r="W125" s="3"/>
      <c r="X125" s="98"/>
      <c r="Y125" s="98"/>
      <c r="Z125" s="12"/>
      <c r="AA125" s="12"/>
      <c r="AB125" s="3"/>
      <c r="AC125" s="3"/>
      <c r="AD125" s="12"/>
      <c r="AE125" s="99"/>
      <c r="AF125" s="3"/>
      <c r="AG125" s="3"/>
      <c r="AH125" s="99"/>
      <c r="AI125" s="3"/>
      <c r="AJ125" s="99"/>
      <c r="AK125" s="3"/>
      <c r="AL125" s="3"/>
      <c r="AN125" s="2"/>
      <c r="AO125" s="2"/>
      <c r="AP125" s="3"/>
      <c r="AQ125" s="3"/>
      <c r="AR125" s="2"/>
      <c r="AS125" s="3"/>
      <c r="AT125" s="2"/>
      <c r="AU125" s="3"/>
      <c r="AW125" s="3"/>
      <c r="AX125" s="51"/>
      <c r="AZ125" s="3"/>
      <c r="BA125" s="3"/>
      <c r="BB125" s="51"/>
      <c r="BE125" s="3"/>
      <c r="BF125" s="51"/>
      <c r="BH125" s="3"/>
      <c r="BI125" s="3"/>
      <c r="BJ125" s="51"/>
      <c r="BL125" s="3"/>
      <c r="BM125" s="51"/>
      <c r="BN125" s="3"/>
      <c r="BP125" s="3"/>
      <c r="BQ125" s="51"/>
      <c r="BS125" s="3"/>
      <c r="BT125" s="3"/>
      <c r="BW125" s="3"/>
      <c r="BX125" s="3"/>
      <c r="BZ125" s="3"/>
      <c r="CA125" s="51"/>
      <c r="CC125" s="3"/>
      <c r="CD125" s="3"/>
      <c r="CG125" s="3"/>
      <c r="CK125" s="3"/>
      <c r="CN125" s="3"/>
      <c r="CQ125" s="3"/>
      <c r="CU125" s="3"/>
      <c r="CX125" s="3"/>
    </row>
    <row r="126" spans="1:102" x14ac:dyDescent="0.3">
      <c r="A126" s="2" t="s">
        <v>31</v>
      </c>
      <c r="B126" s="2">
        <v>1</v>
      </c>
      <c r="C126" s="3" t="s">
        <v>125</v>
      </c>
      <c r="D126" s="95">
        <v>9</v>
      </c>
      <c r="E126" s="3" t="s">
        <v>126</v>
      </c>
      <c r="F126" s="51"/>
      <c r="G126" s="3"/>
      <c r="H126" s="51"/>
      <c r="I126" s="3"/>
      <c r="J126" s="3"/>
      <c r="K126" s="3"/>
      <c r="L126" s="51"/>
      <c r="M126" s="51"/>
      <c r="N126" s="51"/>
      <c r="O126" s="3"/>
      <c r="P126" s="3"/>
      <c r="Q126" s="3"/>
      <c r="R126" s="51"/>
      <c r="S126" s="98"/>
      <c r="T126" s="98"/>
      <c r="U126" s="3"/>
      <c r="V126" s="3"/>
      <c r="W126" s="3"/>
      <c r="X126" s="98"/>
      <c r="Y126" s="98"/>
      <c r="Z126" s="12"/>
      <c r="AA126" s="12"/>
      <c r="AB126" s="3"/>
      <c r="AC126" s="3"/>
      <c r="AD126" s="12"/>
      <c r="AE126" s="99"/>
      <c r="AF126" s="3"/>
      <c r="AG126" s="3"/>
      <c r="AH126" s="99"/>
      <c r="AI126" s="3"/>
      <c r="AJ126" s="99"/>
      <c r="AK126" s="3"/>
      <c r="AL126" s="3"/>
      <c r="AN126" s="2"/>
      <c r="AO126" s="2"/>
      <c r="AP126" s="3"/>
      <c r="AQ126" s="3"/>
      <c r="AR126" s="2"/>
      <c r="AS126" s="3"/>
      <c r="AT126" s="2"/>
      <c r="AU126" s="3"/>
      <c r="AW126" s="3"/>
      <c r="AX126" s="51"/>
      <c r="AZ126" s="3"/>
      <c r="BA126" s="3"/>
      <c r="BB126" s="51"/>
      <c r="BE126" s="3"/>
      <c r="BF126" s="51"/>
      <c r="BH126" s="3"/>
      <c r="BI126" s="3"/>
      <c r="BJ126" s="51"/>
      <c r="BL126" s="3"/>
      <c r="BM126" s="51"/>
      <c r="BN126" s="3"/>
      <c r="BP126" s="3"/>
      <c r="BQ126" s="51"/>
      <c r="BS126" s="3"/>
      <c r="BT126" s="3"/>
      <c r="BW126" s="3"/>
      <c r="BX126" s="3"/>
      <c r="BZ126" s="3"/>
      <c r="CA126" s="51"/>
      <c r="CC126" s="3"/>
      <c r="CD126" s="3"/>
      <c r="CG126" s="3"/>
      <c r="CK126" s="3"/>
      <c r="CN126" s="3"/>
      <c r="CQ126" s="3"/>
      <c r="CU126" s="3"/>
      <c r="CX126" s="3"/>
    </row>
    <row r="127" spans="1:102" x14ac:dyDescent="0.3">
      <c r="A127" s="2" t="s">
        <v>127</v>
      </c>
      <c r="B127" s="2">
        <v>1</v>
      </c>
      <c r="C127" s="3" t="s">
        <v>128</v>
      </c>
      <c r="D127" s="95">
        <v>9</v>
      </c>
      <c r="E127" s="3" t="s">
        <v>126</v>
      </c>
      <c r="F127" s="51"/>
      <c r="G127" s="3"/>
      <c r="H127" s="51"/>
      <c r="I127" s="3"/>
      <c r="J127" s="3"/>
      <c r="K127" s="3"/>
      <c r="L127" s="51"/>
      <c r="M127" s="51"/>
      <c r="N127" s="51"/>
      <c r="O127" s="3"/>
      <c r="P127" s="3"/>
      <c r="Q127" s="3"/>
      <c r="R127" s="51"/>
      <c r="S127" s="98"/>
      <c r="T127" s="98"/>
      <c r="U127" s="3"/>
      <c r="V127" s="3"/>
      <c r="W127" s="3"/>
      <c r="X127" s="98"/>
      <c r="Y127" s="98"/>
      <c r="Z127" s="12"/>
      <c r="AA127" s="12"/>
      <c r="AB127" s="3"/>
      <c r="AC127" s="3"/>
      <c r="AD127" s="12"/>
      <c r="AE127" s="99"/>
      <c r="AF127" s="3"/>
      <c r="AG127" s="3"/>
      <c r="AH127" s="99"/>
      <c r="AI127" s="3"/>
      <c r="AJ127" s="99"/>
      <c r="AK127" s="3"/>
      <c r="AL127" s="3"/>
      <c r="AN127" s="2"/>
      <c r="AO127" s="2"/>
      <c r="AP127" s="3"/>
      <c r="AQ127" s="3"/>
      <c r="AR127" s="2"/>
      <c r="AS127" s="3"/>
      <c r="AT127" s="2"/>
      <c r="AU127" s="3"/>
      <c r="AW127" s="3"/>
      <c r="AX127" s="51"/>
      <c r="AZ127" s="3"/>
      <c r="BA127" s="3"/>
      <c r="BB127" s="51"/>
      <c r="BE127" s="3"/>
      <c r="BF127" s="51"/>
      <c r="BH127" s="3"/>
      <c r="BI127" s="3"/>
      <c r="BJ127" s="51"/>
      <c r="BL127" s="3"/>
      <c r="BM127" s="51"/>
      <c r="BN127" s="3"/>
      <c r="BP127" s="3"/>
      <c r="BQ127" s="51"/>
      <c r="BS127" s="3"/>
      <c r="BT127" s="3"/>
      <c r="BW127" s="3"/>
      <c r="BX127" s="3"/>
      <c r="BZ127" s="3"/>
      <c r="CA127" s="51"/>
      <c r="CC127" s="3"/>
      <c r="CD127" s="3"/>
      <c r="CG127" s="3"/>
      <c r="CK127" s="3"/>
      <c r="CN127" s="3"/>
      <c r="CQ127" s="3"/>
      <c r="CU127" s="3"/>
      <c r="CX127" s="3"/>
    </row>
    <row r="128" spans="1:102" x14ac:dyDescent="0.3">
      <c r="A128" s="2" t="s">
        <v>9</v>
      </c>
      <c r="B128" s="2">
        <v>1</v>
      </c>
      <c r="C128" s="3" t="s">
        <v>120</v>
      </c>
      <c r="D128" s="95">
        <v>1.75</v>
      </c>
      <c r="E128" s="3" t="s">
        <v>109</v>
      </c>
      <c r="F128" s="51">
        <f>D128*D109</f>
        <v>196</v>
      </c>
      <c r="G128" s="3" t="s">
        <v>102</v>
      </c>
      <c r="H128" s="51"/>
      <c r="I128" s="3"/>
      <c r="J128" s="3"/>
      <c r="K128" s="3"/>
      <c r="L128" s="51"/>
      <c r="M128" s="51"/>
      <c r="N128" s="51"/>
      <c r="O128" s="3"/>
      <c r="P128" s="3"/>
      <c r="Q128" s="3"/>
      <c r="R128" s="51"/>
      <c r="S128" s="98"/>
      <c r="T128" s="98"/>
      <c r="U128" s="3"/>
      <c r="V128" s="3"/>
      <c r="W128" s="3"/>
      <c r="X128" s="98"/>
      <c r="Y128" s="98"/>
      <c r="Z128" s="12"/>
      <c r="AA128" s="12"/>
      <c r="AB128" s="3"/>
      <c r="AC128" s="3"/>
      <c r="AD128" s="12"/>
      <c r="AE128" s="99"/>
      <c r="AF128" s="3"/>
      <c r="AG128" s="3"/>
      <c r="AH128" s="99"/>
      <c r="AI128" s="3"/>
      <c r="AJ128" s="99"/>
      <c r="AK128" s="3"/>
      <c r="AL128" s="3"/>
      <c r="AN128" s="2"/>
      <c r="AO128" s="2"/>
      <c r="AP128" s="3"/>
      <c r="AQ128" s="3"/>
      <c r="AR128" s="2"/>
      <c r="AS128" s="3"/>
      <c r="AT128" s="2"/>
      <c r="AU128" s="3"/>
      <c r="AW128" s="3"/>
      <c r="AX128" s="51"/>
      <c r="AZ128" s="3"/>
      <c r="BA128" s="3"/>
      <c r="BB128" s="51"/>
      <c r="BE128" s="3"/>
      <c r="BF128" s="51"/>
      <c r="BH128" s="3"/>
      <c r="BI128" s="3"/>
      <c r="BJ128" s="51"/>
      <c r="BL128" s="3"/>
      <c r="BM128" s="51"/>
      <c r="BN128" s="3"/>
      <c r="BP128" s="3"/>
      <c r="BQ128" s="51"/>
      <c r="BS128" s="3"/>
      <c r="BT128" s="3"/>
      <c r="BW128" s="3"/>
      <c r="BX128" s="3"/>
      <c r="BZ128" s="3"/>
      <c r="CA128" s="51"/>
      <c r="CC128" s="3"/>
      <c r="CD128" s="3"/>
      <c r="CG128" s="3"/>
      <c r="CK128" s="3"/>
      <c r="CN128" s="3"/>
      <c r="CQ128" s="3"/>
      <c r="CU128" s="3"/>
      <c r="CX128" s="3"/>
    </row>
    <row r="129" spans="1:102" x14ac:dyDescent="0.3">
      <c r="A129" s="2" t="s">
        <v>9</v>
      </c>
      <c r="B129" s="2">
        <v>1</v>
      </c>
      <c r="C129" s="3" t="s">
        <v>119</v>
      </c>
      <c r="D129" s="95">
        <v>175</v>
      </c>
      <c r="E129" s="3" t="s">
        <v>102</v>
      </c>
      <c r="F129" s="95">
        <f>D129/D109</f>
        <v>1.5625</v>
      </c>
      <c r="G129" s="3" t="s">
        <v>105</v>
      </c>
      <c r="H129" s="51"/>
      <c r="I129" s="3"/>
      <c r="J129" s="3"/>
      <c r="K129" s="3"/>
      <c r="L129" s="51"/>
      <c r="M129" s="51"/>
      <c r="N129" s="51"/>
      <c r="O129" s="3"/>
      <c r="P129" s="3"/>
      <c r="Q129" s="3"/>
      <c r="R129" s="51"/>
      <c r="S129" s="98"/>
      <c r="T129" s="98"/>
      <c r="U129" s="3"/>
      <c r="V129" s="3"/>
      <c r="W129" s="3"/>
      <c r="X129" s="98"/>
      <c r="Y129" s="98"/>
      <c r="Z129" s="12"/>
      <c r="AA129" s="12"/>
      <c r="AB129" s="3"/>
      <c r="AC129" s="3"/>
      <c r="AD129" s="12"/>
      <c r="AE129" s="99"/>
      <c r="AF129" s="3"/>
      <c r="AG129" s="3"/>
      <c r="AH129" s="99"/>
      <c r="AI129" s="3"/>
      <c r="AJ129" s="99"/>
      <c r="AK129" s="3"/>
      <c r="AL129" s="3"/>
      <c r="AN129" s="2"/>
      <c r="AO129" s="2"/>
      <c r="AP129" s="3"/>
      <c r="AQ129" s="3"/>
      <c r="AR129" s="2"/>
      <c r="AS129" s="3"/>
      <c r="AT129" s="2"/>
      <c r="AU129" s="3"/>
      <c r="AW129" s="3"/>
      <c r="AX129" s="51"/>
      <c r="AZ129" s="3"/>
      <c r="BA129" s="3"/>
      <c r="BB129" s="51"/>
      <c r="BE129" s="3"/>
      <c r="BF129" s="51"/>
      <c r="BH129" s="3"/>
      <c r="BI129" s="3"/>
      <c r="BJ129" s="51"/>
      <c r="BL129" s="3"/>
      <c r="BM129" s="51"/>
      <c r="BN129" s="3"/>
      <c r="BP129" s="3"/>
      <c r="BQ129" s="51"/>
      <c r="BS129" s="3"/>
      <c r="BT129" s="3"/>
      <c r="BW129" s="3"/>
      <c r="BX129" s="3"/>
      <c r="BZ129" s="3"/>
      <c r="CA129" s="51"/>
      <c r="CC129" s="3"/>
      <c r="CD129" s="3"/>
      <c r="CG129" s="3"/>
      <c r="CK129" s="3"/>
      <c r="CN129" s="3"/>
      <c r="CQ129" s="3"/>
      <c r="CU129" s="3"/>
      <c r="CX129" s="3"/>
    </row>
    <row r="130" spans="1:102" x14ac:dyDescent="0.3">
      <c r="A130" s="2" t="s">
        <v>129</v>
      </c>
      <c r="B130" s="2">
        <v>1</v>
      </c>
      <c r="C130" s="3" t="s">
        <v>130</v>
      </c>
      <c r="D130" s="95">
        <v>0.15175</v>
      </c>
      <c r="E130" s="3" t="s">
        <v>109</v>
      </c>
      <c r="F130" s="95">
        <v>16.997</v>
      </c>
      <c r="G130" s="3" t="s">
        <v>102</v>
      </c>
      <c r="H130" s="51"/>
      <c r="I130" s="3"/>
      <c r="J130" s="3"/>
      <c r="K130" s="3"/>
      <c r="L130" s="51"/>
      <c r="M130" s="51"/>
      <c r="N130" s="51"/>
      <c r="O130" s="3"/>
      <c r="P130" s="3"/>
      <c r="Q130" s="3"/>
      <c r="R130" s="51"/>
      <c r="S130" s="98"/>
      <c r="T130" s="98"/>
      <c r="U130" s="3"/>
      <c r="V130" s="3"/>
      <c r="W130" s="3"/>
      <c r="X130" s="98"/>
      <c r="Y130" s="98"/>
      <c r="Z130" s="12"/>
      <c r="AA130" s="12"/>
      <c r="AB130" s="3"/>
      <c r="AC130" s="3"/>
      <c r="AD130" s="12"/>
      <c r="AE130" s="99"/>
      <c r="AF130" s="3"/>
      <c r="AG130" s="3"/>
      <c r="AH130" s="99"/>
      <c r="AI130" s="3"/>
      <c r="AJ130" s="99"/>
      <c r="AK130" s="3"/>
      <c r="AL130" s="3"/>
      <c r="AN130" s="2"/>
      <c r="AO130" s="2"/>
      <c r="AP130" s="3"/>
      <c r="AQ130" s="3"/>
      <c r="AR130" s="2"/>
      <c r="AS130" s="3"/>
      <c r="AT130" s="2"/>
      <c r="AU130" s="3"/>
      <c r="AW130" s="3"/>
      <c r="AX130" s="51"/>
      <c r="AZ130" s="3"/>
      <c r="BA130" s="3"/>
      <c r="BB130" s="51"/>
      <c r="BE130" s="3"/>
      <c r="BF130" s="51"/>
      <c r="BH130" s="3"/>
      <c r="BI130" s="3"/>
      <c r="BJ130" s="51"/>
      <c r="BL130" s="3"/>
      <c r="BM130" s="51"/>
      <c r="BN130" s="3"/>
      <c r="BP130" s="3"/>
      <c r="BQ130" s="51"/>
      <c r="BS130" s="3"/>
      <c r="BT130" s="3"/>
      <c r="BW130" s="3"/>
      <c r="BX130" s="3"/>
      <c r="BZ130" s="3"/>
      <c r="CA130" s="51"/>
      <c r="CC130" s="3"/>
      <c r="CD130" s="3"/>
      <c r="CG130" s="3"/>
      <c r="CK130" s="3"/>
      <c r="CN130" s="3"/>
      <c r="CQ130" s="3"/>
      <c r="CU130" s="3"/>
      <c r="CX130" s="3"/>
    </row>
    <row r="131" spans="1:102" x14ac:dyDescent="0.3">
      <c r="A131" s="2" t="s">
        <v>35</v>
      </c>
      <c r="B131" s="2">
        <v>1</v>
      </c>
      <c r="C131" s="3" t="s">
        <v>120</v>
      </c>
      <c r="D131" s="95">
        <v>1.5</v>
      </c>
      <c r="E131" s="3" t="s">
        <v>109</v>
      </c>
      <c r="F131" s="51"/>
      <c r="G131" s="3"/>
      <c r="H131" s="51"/>
      <c r="I131" s="3"/>
      <c r="J131" s="3"/>
      <c r="K131" s="3"/>
      <c r="L131" s="51"/>
      <c r="M131" s="51"/>
      <c r="N131" s="51"/>
      <c r="O131" s="3"/>
      <c r="P131" s="3"/>
      <c r="Q131" s="3"/>
      <c r="R131" s="51"/>
      <c r="S131" s="98"/>
      <c r="T131" s="98"/>
      <c r="U131" s="3"/>
      <c r="V131" s="3"/>
      <c r="W131" s="3"/>
      <c r="X131" s="98"/>
      <c r="Y131" s="98"/>
      <c r="Z131" s="12"/>
      <c r="AA131" s="12"/>
      <c r="AB131" s="3"/>
      <c r="AC131" s="3"/>
      <c r="AD131" s="12"/>
      <c r="AE131" s="99"/>
      <c r="AF131" s="3"/>
      <c r="AG131" s="3"/>
      <c r="AH131" s="99"/>
      <c r="AI131" s="3"/>
      <c r="AJ131" s="99"/>
      <c r="AK131" s="3"/>
      <c r="AL131" s="3"/>
      <c r="AN131" s="2"/>
      <c r="AO131" s="2"/>
      <c r="AP131" s="3"/>
      <c r="AQ131" s="3"/>
      <c r="AR131" s="2"/>
      <c r="AS131" s="3"/>
      <c r="AT131" s="2"/>
      <c r="AU131" s="3"/>
      <c r="AW131" s="3"/>
      <c r="AX131" s="51"/>
      <c r="AZ131" s="3"/>
      <c r="BA131" s="3"/>
      <c r="BB131" s="51"/>
      <c r="BE131" s="3"/>
      <c r="BF131" s="51"/>
      <c r="BH131" s="3"/>
      <c r="BI131" s="3"/>
      <c r="BJ131" s="51"/>
      <c r="BL131" s="3"/>
      <c r="BM131" s="51"/>
      <c r="BN131" s="3"/>
      <c r="BP131" s="3"/>
      <c r="BQ131" s="51"/>
      <c r="BS131" s="3"/>
      <c r="BT131" s="3"/>
      <c r="BW131" s="3"/>
      <c r="BX131" s="3"/>
      <c r="BZ131" s="3"/>
      <c r="CA131" s="51"/>
      <c r="CC131" s="3"/>
      <c r="CD131" s="3"/>
      <c r="CG131" s="3"/>
      <c r="CK131" s="3"/>
      <c r="CN131" s="3"/>
      <c r="CQ131" s="3"/>
      <c r="CU131" s="3"/>
      <c r="CX131" s="3"/>
    </row>
    <row r="132" spans="1:102" x14ac:dyDescent="0.3">
      <c r="A132" s="2" t="s">
        <v>131</v>
      </c>
      <c r="B132" s="2">
        <v>1</v>
      </c>
      <c r="C132" s="3" t="s">
        <v>120</v>
      </c>
      <c r="D132" s="95">
        <v>1.625</v>
      </c>
      <c r="E132" s="3" t="s">
        <v>109</v>
      </c>
      <c r="F132" s="51"/>
      <c r="G132" s="3"/>
      <c r="H132" s="51"/>
      <c r="I132" s="3"/>
      <c r="J132" s="3"/>
      <c r="K132" s="3"/>
      <c r="L132" s="51"/>
      <c r="M132" s="51"/>
      <c r="N132" s="51"/>
      <c r="O132" s="3"/>
      <c r="P132" s="3"/>
      <c r="Q132" s="3"/>
      <c r="R132" s="51"/>
      <c r="S132" s="98"/>
      <c r="T132" s="98"/>
      <c r="U132" s="3"/>
      <c r="V132" s="3"/>
      <c r="W132" s="3"/>
      <c r="X132" s="98"/>
      <c r="Y132" s="98"/>
      <c r="Z132" s="12"/>
      <c r="AA132" s="12"/>
      <c r="AB132" s="3"/>
      <c r="AC132" s="3"/>
      <c r="AD132" s="12"/>
      <c r="AE132" s="99"/>
      <c r="AF132" s="3"/>
      <c r="AG132" s="3"/>
      <c r="AH132" s="99"/>
      <c r="AI132" s="3"/>
      <c r="AJ132" s="99"/>
      <c r="AK132" s="3"/>
      <c r="AL132" s="3"/>
      <c r="AN132" s="2"/>
      <c r="AO132" s="2"/>
      <c r="AP132" s="3"/>
      <c r="AQ132" s="3"/>
      <c r="AR132" s="2"/>
      <c r="AS132" s="3"/>
      <c r="AT132" s="2"/>
      <c r="AU132" s="3"/>
      <c r="AW132" s="3"/>
      <c r="AX132" s="51"/>
      <c r="AZ132" s="3"/>
      <c r="BA132" s="3"/>
      <c r="BB132" s="51"/>
      <c r="BE132" s="3"/>
      <c r="BF132" s="51"/>
      <c r="BH132" s="3"/>
      <c r="BI132" s="3"/>
      <c r="BJ132" s="51"/>
      <c r="BL132" s="3"/>
      <c r="BM132" s="51"/>
      <c r="BN132" s="3"/>
      <c r="BP132" s="3"/>
      <c r="BQ132" s="51"/>
      <c r="BS132" s="3"/>
      <c r="BT132" s="3"/>
      <c r="BW132" s="3"/>
      <c r="BX132" s="3"/>
      <c r="BZ132" s="3"/>
      <c r="CA132" s="51"/>
      <c r="CC132" s="3"/>
      <c r="CD132" s="3"/>
      <c r="CG132" s="3"/>
      <c r="CK132" s="3"/>
      <c r="CN132" s="3"/>
      <c r="CQ132" s="3"/>
      <c r="CU132" s="3"/>
      <c r="CX132" s="3"/>
    </row>
    <row r="133" spans="1:102" x14ac:dyDescent="0.3">
      <c r="A133" s="2" t="s">
        <v>3</v>
      </c>
      <c r="B133" s="2">
        <v>1</v>
      </c>
      <c r="C133" s="3" t="s">
        <v>120</v>
      </c>
      <c r="D133" s="95">
        <v>1.5</v>
      </c>
      <c r="E133" s="3" t="s">
        <v>109</v>
      </c>
      <c r="F133" s="51"/>
      <c r="G133" s="3"/>
      <c r="H133" s="51"/>
      <c r="I133" s="3"/>
      <c r="J133" s="3"/>
      <c r="K133" s="3"/>
      <c r="L133" s="51"/>
      <c r="M133" s="51"/>
      <c r="N133" s="51"/>
      <c r="O133" s="3"/>
      <c r="P133" s="3"/>
      <c r="Q133" s="3"/>
      <c r="R133" s="51"/>
      <c r="S133" s="98"/>
      <c r="T133" s="98"/>
      <c r="U133" s="3"/>
      <c r="V133" s="3"/>
      <c r="W133" s="3"/>
      <c r="X133" s="98"/>
      <c r="Y133" s="98"/>
      <c r="Z133" s="12"/>
      <c r="AA133" s="12"/>
      <c r="AB133" s="3"/>
      <c r="AC133" s="3"/>
      <c r="AD133" s="12"/>
      <c r="AE133" s="99"/>
      <c r="AF133" s="3"/>
      <c r="AG133" s="3"/>
      <c r="AH133" s="99"/>
      <c r="AI133" s="3"/>
      <c r="AJ133" s="99"/>
      <c r="AK133" s="3"/>
      <c r="AL133" s="3"/>
      <c r="AN133" s="2"/>
      <c r="AO133" s="2"/>
      <c r="AP133" s="3"/>
      <c r="AQ133" s="3"/>
      <c r="AR133" s="2"/>
      <c r="AS133" s="3"/>
      <c r="AT133" s="2"/>
      <c r="AU133" s="3"/>
      <c r="AW133" s="3"/>
      <c r="AX133" s="51"/>
      <c r="AZ133" s="3"/>
      <c r="BA133" s="3"/>
      <c r="BB133" s="51"/>
      <c r="BE133" s="3"/>
      <c r="BF133" s="51"/>
      <c r="BH133" s="3"/>
      <c r="BI133" s="3"/>
      <c r="BJ133" s="51"/>
      <c r="BL133" s="3"/>
      <c r="BM133" s="51"/>
      <c r="BN133" s="3"/>
      <c r="BP133" s="3"/>
      <c r="BQ133" s="51"/>
      <c r="BS133" s="3"/>
      <c r="BT133" s="3"/>
      <c r="BW133" s="3"/>
      <c r="BX133" s="3"/>
      <c r="BZ133" s="3"/>
      <c r="CA133" s="51"/>
      <c r="CC133" s="3"/>
      <c r="CD133" s="3"/>
      <c r="CG133" s="3"/>
      <c r="CK133" s="3"/>
      <c r="CN133" s="3"/>
      <c r="CQ133" s="3"/>
      <c r="CU133" s="3"/>
      <c r="CX133" s="3"/>
    </row>
    <row r="134" spans="1:102" x14ac:dyDescent="0.3">
      <c r="A134" s="2" t="s">
        <v>15</v>
      </c>
      <c r="B134" s="2">
        <v>1</v>
      </c>
      <c r="C134" s="3" t="s">
        <v>120</v>
      </c>
      <c r="D134" s="95">
        <v>1.5</v>
      </c>
      <c r="E134" s="3" t="s">
        <v>109</v>
      </c>
      <c r="F134" s="51"/>
      <c r="G134" s="3"/>
      <c r="H134" s="51"/>
      <c r="I134" s="3"/>
      <c r="J134" s="3"/>
      <c r="K134" s="3"/>
      <c r="L134" s="51"/>
      <c r="M134" s="51"/>
      <c r="N134" s="51"/>
      <c r="O134" s="3"/>
      <c r="P134" s="3"/>
      <c r="Q134" s="3"/>
      <c r="R134" s="51"/>
      <c r="S134" s="98"/>
      <c r="T134" s="98"/>
      <c r="U134" s="3"/>
      <c r="V134" s="3"/>
      <c r="W134" s="3"/>
      <c r="X134" s="98"/>
      <c r="Y134" s="98"/>
      <c r="Z134" s="12"/>
      <c r="AA134" s="12"/>
      <c r="AB134" s="3"/>
      <c r="AC134" s="3"/>
      <c r="AD134" s="12"/>
      <c r="AE134" s="99"/>
      <c r="AF134" s="3"/>
      <c r="AG134" s="3"/>
      <c r="AH134" s="99"/>
      <c r="AI134" s="3"/>
      <c r="AJ134" s="99"/>
      <c r="AK134" s="3"/>
      <c r="AL134" s="3"/>
      <c r="AN134" s="2"/>
      <c r="AO134" s="2"/>
      <c r="AP134" s="3"/>
      <c r="AQ134" s="3"/>
      <c r="AR134" s="2"/>
      <c r="AS134" s="3"/>
      <c r="AT134" s="2"/>
      <c r="AU134" s="3"/>
      <c r="AW134" s="3"/>
      <c r="AX134" s="51"/>
      <c r="AZ134" s="3"/>
      <c r="BA134" s="3"/>
      <c r="BB134" s="51"/>
      <c r="BE134" s="3"/>
      <c r="BF134" s="51"/>
      <c r="BH134" s="3"/>
      <c r="BI134" s="3"/>
      <c r="BJ134" s="51"/>
      <c r="BL134" s="3"/>
      <c r="BM134" s="51"/>
      <c r="BN134" s="3"/>
      <c r="BP134" s="3"/>
      <c r="BQ134" s="51"/>
      <c r="BS134" s="3"/>
      <c r="BT134" s="3"/>
      <c r="BW134" s="3"/>
      <c r="BX134" s="3"/>
      <c r="BZ134" s="3"/>
      <c r="CA134" s="51"/>
      <c r="CC134" s="3"/>
      <c r="CD134" s="3"/>
      <c r="CG134" s="3"/>
      <c r="CK134" s="3"/>
      <c r="CN134" s="3"/>
      <c r="CQ134" s="3"/>
      <c r="CU134" s="3"/>
      <c r="CX134" s="3"/>
    </row>
    <row r="135" spans="1:102" x14ac:dyDescent="0.3">
      <c r="A135" s="151" t="s">
        <v>132</v>
      </c>
      <c r="B135" s="2">
        <v>1</v>
      </c>
      <c r="C135" s="3" t="s">
        <v>133</v>
      </c>
      <c r="D135" s="95">
        <v>18.559999999999999</v>
      </c>
      <c r="E135" s="3" t="s">
        <v>126</v>
      </c>
      <c r="F135" s="51"/>
      <c r="G135" s="3"/>
      <c r="H135" s="51"/>
      <c r="I135" s="3"/>
      <c r="J135" s="3"/>
      <c r="K135" s="3"/>
      <c r="L135" s="51"/>
      <c r="M135" s="51"/>
      <c r="N135" s="51"/>
      <c r="O135" s="3"/>
      <c r="P135" s="3"/>
      <c r="Q135" s="3"/>
      <c r="R135" s="51"/>
      <c r="S135" s="98"/>
      <c r="T135" s="98"/>
      <c r="U135" s="3"/>
      <c r="V135" s="3"/>
      <c r="W135" s="3"/>
      <c r="X135" s="98"/>
      <c r="Y135" s="98"/>
      <c r="Z135" s="12"/>
      <c r="AA135" s="12"/>
      <c r="AB135" s="3"/>
      <c r="AC135" s="3"/>
      <c r="AD135" s="12"/>
      <c r="AE135" s="99"/>
      <c r="AF135" s="3"/>
      <c r="AG135" s="3"/>
      <c r="AH135" s="99"/>
      <c r="AI135" s="3"/>
      <c r="AJ135" s="99"/>
      <c r="AK135" s="3"/>
      <c r="AL135" s="3"/>
      <c r="AN135" s="2"/>
      <c r="AO135" s="2"/>
      <c r="AP135" s="3"/>
      <c r="AQ135" s="3"/>
      <c r="AR135" s="2"/>
      <c r="AS135" s="3"/>
      <c r="AT135" s="2"/>
      <c r="AU135" s="3"/>
      <c r="AW135" s="3"/>
      <c r="AX135" s="51"/>
      <c r="AZ135" s="3"/>
      <c r="BA135" s="3"/>
      <c r="BB135" s="51"/>
      <c r="BE135" s="3"/>
      <c r="BF135" s="51"/>
      <c r="BH135" s="3"/>
      <c r="BI135" s="3"/>
      <c r="BJ135" s="51"/>
      <c r="BL135" s="3"/>
      <c r="BM135" s="51"/>
      <c r="BN135" s="3"/>
      <c r="BP135" s="3"/>
      <c r="BQ135" s="51"/>
      <c r="BS135" s="3"/>
      <c r="BT135" s="3"/>
      <c r="BW135" s="3"/>
      <c r="BX135" s="3"/>
      <c r="BZ135" s="3"/>
      <c r="CA135" s="51"/>
      <c r="CC135" s="3"/>
      <c r="CD135" s="3"/>
      <c r="CG135" s="3"/>
      <c r="CK135" s="3"/>
      <c r="CN135" s="3"/>
      <c r="CQ135" s="3"/>
      <c r="CU135" s="3"/>
      <c r="CX135" s="3"/>
    </row>
    <row r="136" spans="1:102" x14ac:dyDescent="0.3">
      <c r="A136" s="151"/>
      <c r="B136" s="2">
        <v>1</v>
      </c>
      <c r="C136" s="3" t="s">
        <v>134</v>
      </c>
      <c r="D136" s="95">
        <v>164</v>
      </c>
      <c r="E136" s="3" t="s">
        <v>102</v>
      </c>
      <c r="F136" s="95">
        <f>D136/D94</f>
        <v>1.4642857142857142</v>
      </c>
      <c r="G136" s="3" t="s">
        <v>109</v>
      </c>
      <c r="H136" s="51"/>
      <c r="I136" s="6"/>
      <c r="J136" s="6"/>
      <c r="K136" s="3"/>
      <c r="L136" s="51"/>
      <c r="M136" s="51"/>
      <c r="N136" s="51"/>
      <c r="O136" s="6"/>
      <c r="P136" s="6"/>
      <c r="Q136" s="3"/>
      <c r="R136" s="51"/>
      <c r="S136" s="98"/>
      <c r="T136" s="98"/>
      <c r="U136" s="6"/>
      <c r="V136" s="6"/>
      <c r="W136" s="3"/>
      <c r="X136" s="98"/>
      <c r="Y136" s="98"/>
      <c r="Z136" s="12"/>
      <c r="AA136" s="12"/>
      <c r="AB136" s="3"/>
      <c r="AC136" s="6"/>
      <c r="AD136" s="12"/>
      <c r="AE136" s="99"/>
      <c r="AF136" s="3"/>
      <c r="AG136" s="6"/>
      <c r="AH136" s="99"/>
      <c r="AI136" s="3"/>
      <c r="AJ136" s="99"/>
      <c r="AK136" s="6"/>
      <c r="AL136" s="3"/>
      <c r="AN136" s="2"/>
      <c r="AO136" s="2"/>
      <c r="AP136" s="3"/>
      <c r="AQ136" s="6"/>
      <c r="AR136" s="2"/>
      <c r="AS136" s="3"/>
      <c r="AT136" s="2"/>
      <c r="AU136" s="6"/>
      <c r="AW136" s="3"/>
      <c r="AX136" s="51"/>
      <c r="AZ136" s="6"/>
      <c r="BA136" s="3"/>
      <c r="BB136" s="51"/>
      <c r="BE136" s="3"/>
      <c r="BF136" s="51"/>
      <c r="BH136" s="6"/>
      <c r="BI136" s="3"/>
      <c r="BJ136" s="51"/>
      <c r="BL136" s="3"/>
      <c r="BM136" s="51"/>
      <c r="BN136" s="6"/>
      <c r="BP136" s="3"/>
      <c r="BQ136" s="51"/>
      <c r="BS136" s="3"/>
      <c r="BT136" s="6"/>
      <c r="BW136" s="3"/>
      <c r="BX136" s="6"/>
      <c r="BZ136" s="3"/>
      <c r="CA136" s="51"/>
      <c r="CC136" s="3"/>
      <c r="CD136" s="6"/>
      <c r="CG136" s="6"/>
      <c r="CK136" s="6"/>
      <c r="CN136" s="6"/>
      <c r="CQ136" s="6"/>
      <c r="CU136" s="6"/>
      <c r="CX136" s="6"/>
    </row>
    <row r="137" spans="1:102" x14ac:dyDescent="0.3">
      <c r="A137" s="151" t="s">
        <v>135</v>
      </c>
      <c r="B137" s="2">
        <v>1</v>
      </c>
      <c r="C137" s="3" t="s">
        <v>136</v>
      </c>
      <c r="D137" s="95">
        <v>336</v>
      </c>
      <c r="E137" s="3" t="s">
        <v>102</v>
      </c>
      <c r="F137" s="95">
        <v>3</v>
      </c>
      <c r="G137" s="3" t="s">
        <v>109</v>
      </c>
      <c r="H137" s="51"/>
      <c r="I137" s="3"/>
      <c r="J137" s="3"/>
      <c r="K137" s="3"/>
      <c r="L137" s="51"/>
      <c r="M137" s="51"/>
      <c r="N137" s="51"/>
      <c r="O137" s="3"/>
      <c r="P137" s="3"/>
      <c r="Q137" s="3"/>
      <c r="R137" s="51"/>
      <c r="S137" s="98"/>
      <c r="T137" s="98"/>
      <c r="U137" s="3"/>
      <c r="V137" s="3"/>
      <c r="W137" s="3"/>
      <c r="X137" s="98"/>
      <c r="Y137" s="98"/>
      <c r="Z137" s="12"/>
      <c r="AA137" s="12"/>
      <c r="AB137" s="3"/>
      <c r="AC137" s="3"/>
      <c r="AD137" s="12"/>
      <c r="AE137" s="99"/>
      <c r="AF137" s="3"/>
      <c r="AG137" s="3"/>
      <c r="AH137" s="99"/>
      <c r="AI137" s="3"/>
      <c r="AJ137" s="99"/>
      <c r="AK137" s="3"/>
      <c r="AL137" s="3"/>
      <c r="AN137" s="2"/>
      <c r="AO137" s="2"/>
      <c r="AP137" s="3"/>
      <c r="AQ137" s="3"/>
      <c r="AR137" s="2"/>
      <c r="AS137" s="3"/>
      <c r="AT137" s="2"/>
      <c r="AU137" s="3"/>
      <c r="AW137" s="3"/>
      <c r="AX137" s="51"/>
      <c r="AZ137" s="3"/>
      <c r="BA137" s="3"/>
      <c r="BB137" s="51"/>
      <c r="BE137" s="3"/>
      <c r="BF137" s="51"/>
      <c r="BH137" s="3"/>
      <c r="BI137" s="3"/>
      <c r="BJ137" s="51"/>
      <c r="BL137" s="3"/>
      <c r="BM137" s="51"/>
      <c r="BN137" s="3"/>
      <c r="BP137" s="3"/>
      <c r="BQ137" s="51"/>
      <c r="BS137" s="3"/>
      <c r="BT137" s="3"/>
      <c r="BW137" s="3"/>
      <c r="BX137" s="3"/>
      <c r="BZ137" s="3"/>
      <c r="CA137" s="51"/>
      <c r="CC137" s="3"/>
      <c r="CD137" s="3"/>
      <c r="CG137" s="3"/>
      <c r="CK137" s="3"/>
      <c r="CN137" s="3"/>
      <c r="CQ137" s="3"/>
      <c r="CU137" s="3"/>
      <c r="CX137" s="3"/>
    </row>
    <row r="138" spans="1:102" x14ac:dyDescent="0.3">
      <c r="A138" s="151"/>
      <c r="B138" s="2">
        <v>1</v>
      </c>
      <c r="C138" s="3" t="s">
        <v>137</v>
      </c>
      <c r="D138" s="95">
        <v>240</v>
      </c>
      <c r="E138" s="3" t="s">
        <v>102</v>
      </c>
      <c r="F138" s="95">
        <f>D138/D109</f>
        <v>2.1428571428571428</v>
      </c>
      <c r="G138" s="3" t="s">
        <v>109</v>
      </c>
      <c r="H138" s="51"/>
      <c r="I138" s="3"/>
      <c r="J138" s="3"/>
      <c r="K138" s="3"/>
      <c r="L138" s="51"/>
      <c r="M138" s="51"/>
      <c r="N138" s="51"/>
      <c r="O138" s="3"/>
      <c r="P138" s="3"/>
      <c r="Q138" s="3"/>
      <c r="R138" s="51"/>
      <c r="S138" s="98"/>
      <c r="T138" s="98"/>
      <c r="U138" s="3"/>
      <c r="V138" s="3"/>
      <c r="W138" s="3"/>
      <c r="X138" s="98"/>
      <c r="Y138" s="98"/>
      <c r="Z138" s="12"/>
      <c r="AA138" s="12"/>
      <c r="AB138" s="3"/>
      <c r="AC138" s="3"/>
      <c r="AD138" s="12"/>
      <c r="AE138" s="99"/>
      <c r="AF138" s="3"/>
      <c r="AG138" s="3"/>
      <c r="AH138" s="99"/>
      <c r="AI138" s="3"/>
      <c r="AJ138" s="99"/>
      <c r="AK138" s="3"/>
      <c r="AL138" s="3"/>
      <c r="AN138" s="2"/>
      <c r="AO138" s="2"/>
      <c r="AP138" s="3"/>
      <c r="AQ138" s="3"/>
      <c r="AR138" s="2"/>
      <c r="AS138" s="3"/>
      <c r="AT138" s="2"/>
      <c r="AU138" s="3"/>
      <c r="AW138" s="3"/>
      <c r="AX138" s="51"/>
      <c r="AZ138" s="3"/>
      <c r="BA138" s="3"/>
      <c r="BB138" s="51"/>
      <c r="BE138" s="3"/>
      <c r="BF138" s="51"/>
      <c r="BH138" s="3"/>
      <c r="BI138" s="3"/>
      <c r="BJ138" s="51"/>
      <c r="BL138" s="3"/>
      <c r="BM138" s="51"/>
      <c r="BN138" s="3"/>
      <c r="BP138" s="3"/>
      <c r="BQ138" s="51"/>
      <c r="BS138" s="3"/>
      <c r="BT138" s="3"/>
      <c r="BW138" s="3"/>
      <c r="BX138" s="3"/>
      <c r="BZ138" s="3"/>
      <c r="CA138" s="51"/>
      <c r="CC138" s="3"/>
      <c r="CD138" s="3"/>
      <c r="CG138" s="3"/>
      <c r="CK138" s="3"/>
      <c r="CN138" s="3"/>
      <c r="CQ138" s="3"/>
      <c r="CU138" s="3"/>
      <c r="CX138" s="3"/>
    </row>
    <row r="139" spans="1:102" x14ac:dyDescent="0.3">
      <c r="A139" s="151" t="s">
        <v>29</v>
      </c>
      <c r="B139" s="2">
        <v>1</v>
      </c>
      <c r="C139" s="3" t="s">
        <v>138</v>
      </c>
      <c r="D139" s="95">
        <v>3.40835</v>
      </c>
      <c r="E139" s="3" t="s">
        <v>120</v>
      </c>
      <c r="F139" s="95">
        <f>D139*D140/D109</f>
        <v>5.9646125000000003</v>
      </c>
      <c r="G139" s="3" t="s">
        <v>109</v>
      </c>
      <c r="H139" s="51"/>
      <c r="I139" s="3"/>
      <c r="J139" s="3"/>
      <c r="K139" s="3"/>
      <c r="L139" s="51"/>
      <c r="M139" s="51"/>
      <c r="N139" s="51"/>
      <c r="O139" s="3"/>
      <c r="P139" s="3"/>
      <c r="Q139" s="3"/>
      <c r="R139" s="51"/>
      <c r="S139" s="98"/>
      <c r="T139" s="98"/>
      <c r="U139" s="3"/>
      <c r="V139" s="3"/>
      <c r="W139" s="3"/>
      <c r="X139" s="98"/>
      <c r="Y139" s="98"/>
      <c r="Z139" s="12"/>
      <c r="AA139" s="12"/>
      <c r="AB139" s="3"/>
      <c r="AC139" s="3"/>
      <c r="AD139" s="12"/>
      <c r="AE139" s="99"/>
      <c r="AF139" s="3"/>
      <c r="AG139" s="3"/>
      <c r="AH139" s="99"/>
      <c r="AI139" s="3"/>
      <c r="AJ139" s="99"/>
      <c r="AK139" s="3"/>
      <c r="AL139" s="3"/>
      <c r="AN139" s="2"/>
      <c r="AO139" s="2"/>
      <c r="AP139" s="3"/>
      <c r="AQ139" s="3"/>
      <c r="AR139" s="2"/>
      <c r="AS139" s="3"/>
      <c r="AT139" s="2"/>
      <c r="AU139" s="3"/>
      <c r="AW139" s="3"/>
      <c r="AX139" s="51"/>
      <c r="AZ139" s="3"/>
      <c r="BA139" s="3"/>
      <c r="BB139" s="51"/>
      <c r="BE139" s="3"/>
      <c r="BF139" s="51"/>
      <c r="BH139" s="3"/>
      <c r="BI139" s="3"/>
      <c r="BJ139" s="51"/>
      <c r="BL139" s="3"/>
      <c r="BM139" s="51"/>
      <c r="BN139" s="3"/>
      <c r="BP139" s="3"/>
      <c r="BQ139" s="51"/>
      <c r="BS139" s="3"/>
      <c r="BT139" s="3"/>
      <c r="BW139" s="3"/>
      <c r="BX139" s="3"/>
      <c r="BZ139" s="3"/>
      <c r="CA139" s="51"/>
      <c r="CC139" s="3"/>
      <c r="CD139" s="3"/>
      <c r="CG139" s="3"/>
      <c r="CK139" s="3"/>
      <c r="CN139" s="3"/>
      <c r="CQ139" s="3"/>
      <c r="CU139" s="3"/>
      <c r="CX139" s="3"/>
    </row>
    <row r="140" spans="1:102" x14ac:dyDescent="0.3">
      <c r="A140" s="151"/>
      <c r="B140" s="2">
        <v>1</v>
      </c>
      <c r="C140" s="3" t="s">
        <v>120</v>
      </c>
      <c r="D140" s="97">
        <v>196</v>
      </c>
      <c r="E140" s="3" t="s">
        <v>102</v>
      </c>
      <c r="F140" s="95"/>
      <c r="H140" s="51"/>
      <c r="I140" s="3"/>
      <c r="J140" s="3"/>
      <c r="K140" s="3"/>
      <c r="L140" s="51"/>
      <c r="M140" s="51"/>
      <c r="N140" s="51"/>
      <c r="O140" s="3"/>
      <c r="P140" s="3"/>
      <c r="Q140" s="3"/>
      <c r="R140" s="51"/>
      <c r="S140" s="98"/>
      <c r="T140" s="98"/>
      <c r="U140" s="3"/>
      <c r="V140" s="3"/>
      <c r="W140" s="3"/>
      <c r="X140" s="98"/>
      <c r="Y140" s="98"/>
      <c r="Z140" s="12"/>
      <c r="AA140" s="12"/>
      <c r="AB140" s="3"/>
      <c r="AC140" s="3"/>
      <c r="AD140" s="12"/>
      <c r="AE140" s="99"/>
      <c r="AF140" s="3"/>
      <c r="AG140" s="3"/>
      <c r="AH140" s="99"/>
      <c r="AI140" s="3"/>
      <c r="AJ140" s="99"/>
      <c r="AK140" s="3"/>
      <c r="AL140" s="3"/>
      <c r="AN140" s="2"/>
      <c r="AO140" s="2"/>
      <c r="AP140" s="3"/>
      <c r="AQ140" s="3"/>
      <c r="AR140" s="2"/>
      <c r="AS140" s="3"/>
      <c r="AT140" s="2"/>
      <c r="AU140" s="3"/>
      <c r="AW140" s="3"/>
      <c r="AX140" s="51"/>
      <c r="AZ140" s="3"/>
      <c r="BA140" s="3"/>
      <c r="BB140" s="51"/>
      <c r="BE140" s="3"/>
      <c r="BF140" s="51"/>
      <c r="BH140" s="3"/>
      <c r="BI140" s="3"/>
      <c r="BJ140" s="51"/>
      <c r="BL140" s="3"/>
      <c r="BM140" s="51"/>
      <c r="BN140" s="3"/>
      <c r="BP140" s="3"/>
      <c r="BQ140" s="51"/>
      <c r="BS140" s="3"/>
      <c r="BT140" s="3"/>
      <c r="BW140" s="3"/>
      <c r="BX140" s="3"/>
      <c r="BZ140" s="3"/>
      <c r="CA140" s="51"/>
      <c r="CC140" s="3"/>
      <c r="CD140" s="3"/>
      <c r="CG140" s="3"/>
      <c r="CK140" s="3"/>
      <c r="CN140" s="3"/>
      <c r="CQ140" s="3"/>
      <c r="CU140" s="3"/>
      <c r="CX140" s="3"/>
    </row>
    <row r="141" spans="1:102" x14ac:dyDescent="0.3">
      <c r="A141" s="151" t="s">
        <v>74</v>
      </c>
      <c r="B141" s="2">
        <v>1</v>
      </c>
      <c r="C141" s="3" t="s">
        <v>139</v>
      </c>
      <c r="D141" s="97">
        <v>1</v>
      </c>
      <c r="E141" s="3" t="s">
        <v>124</v>
      </c>
      <c r="F141" s="95">
        <f>F142</f>
        <v>3.0446428571428572</v>
      </c>
      <c r="G141" s="3" t="s">
        <v>109</v>
      </c>
      <c r="H141" s="51"/>
      <c r="I141" s="3"/>
      <c r="J141" s="3"/>
      <c r="K141" s="3"/>
      <c r="L141" s="51"/>
      <c r="M141" s="51"/>
      <c r="N141" s="51"/>
      <c r="O141" s="3"/>
      <c r="P141" s="3"/>
      <c r="Q141" s="3"/>
      <c r="R141" s="51"/>
      <c r="S141" s="98"/>
      <c r="T141" s="98"/>
      <c r="U141" s="3"/>
      <c r="V141" s="3"/>
      <c r="W141" s="3"/>
      <c r="X141" s="98"/>
      <c r="Y141" s="98"/>
      <c r="Z141" s="12"/>
      <c r="AA141" s="12"/>
      <c r="AB141" s="3"/>
      <c r="AC141" s="3"/>
      <c r="AD141" s="12"/>
      <c r="AE141" s="99"/>
      <c r="AF141" s="3"/>
      <c r="AG141" s="3"/>
      <c r="AH141" s="99"/>
      <c r="AI141" s="3"/>
      <c r="AJ141" s="99"/>
      <c r="AK141" s="3"/>
      <c r="AL141" s="3"/>
      <c r="AN141" s="2"/>
      <c r="AO141" s="2"/>
      <c r="AP141" s="3"/>
      <c r="AQ141" s="3"/>
      <c r="AR141" s="2"/>
      <c r="AS141" s="3"/>
      <c r="AT141" s="2"/>
      <c r="AU141" s="3"/>
      <c r="AW141" s="3"/>
      <c r="AX141" s="51"/>
      <c r="AZ141" s="3"/>
      <c r="BA141" s="3"/>
      <c r="BB141" s="51"/>
      <c r="BE141" s="3"/>
      <c r="BF141" s="51"/>
      <c r="BH141" s="3"/>
      <c r="BI141" s="3"/>
      <c r="BJ141" s="51"/>
      <c r="BL141" s="3"/>
      <c r="BM141" s="51"/>
      <c r="BN141" s="3"/>
      <c r="BP141" s="3"/>
      <c r="BQ141" s="51"/>
      <c r="BS141" s="3"/>
      <c r="BT141" s="3"/>
      <c r="BW141" s="3"/>
      <c r="BX141" s="3"/>
      <c r="BZ141" s="3"/>
      <c r="CA141" s="51"/>
      <c r="CC141" s="3"/>
      <c r="CD141" s="3"/>
      <c r="CG141" s="3"/>
      <c r="CK141" s="3"/>
      <c r="CN141" s="3"/>
      <c r="CQ141" s="3"/>
      <c r="CU141" s="3"/>
      <c r="CX141" s="3"/>
    </row>
    <row r="142" spans="1:102" x14ac:dyDescent="0.3">
      <c r="A142" s="151"/>
      <c r="B142" s="2">
        <v>1</v>
      </c>
      <c r="C142" s="3" t="s">
        <v>124</v>
      </c>
      <c r="D142" s="97">
        <f>(355+327)/2</f>
        <v>341</v>
      </c>
      <c r="E142" s="3" t="s">
        <v>102</v>
      </c>
      <c r="F142" s="95">
        <f>D142/D109</f>
        <v>3.0446428571428572</v>
      </c>
      <c r="G142" s="3" t="s">
        <v>109</v>
      </c>
      <c r="H142" s="51"/>
      <c r="I142" s="3"/>
      <c r="J142" s="3"/>
      <c r="K142" s="3"/>
      <c r="L142" s="51"/>
      <c r="M142" s="51"/>
      <c r="N142" s="51"/>
      <c r="O142" s="3"/>
      <c r="P142" s="3"/>
      <c r="Q142" s="3"/>
      <c r="R142" s="51"/>
      <c r="S142" s="98"/>
      <c r="T142" s="98"/>
      <c r="U142" s="3"/>
      <c r="V142" s="3"/>
      <c r="W142" s="3"/>
      <c r="X142" s="98"/>
      <c r="Y142" s="98"/>
      <c r="Z142" s="12"/>
      <c r="AA142" s="12"/>
      <c r="AB142" s="3"/>
      <c r="AC142" s="3"/>
      <c r="AD142" s="12"/>
      <c r="AE142" s="99"/>
      <c r="AF142" s="3"/>
      <c r="AG142" s="3"/>
      <c r="AH142" s="99"/>
      <c r="AI142" s="3"/>
      <c r="AJ142" s="99"/>
      <c r="AK142" s="3"/>
      <c r="AL142" s="3"/>
      <c r="AN142" s="2"/>
      <c r="AO142" s="2"/>
      <c r="AP142" s="3"/>
      <c r="AQ142" s="3"/>
      <c r="AR142" s="2"/>
      <c r="AS142" s="3"/>
      <c r="AT142" s="2"/>
      <c r="AU142" s="3"/>
      <c r="AW142" s="3"/>
      <c r="AX142" s="51"/>
      <c r="AZ142" s="3"/>
      <c r="BA142" s="3"/>
      <c r="BB142" s="51"/>
      <c r="BE142" s="3"/>
      <c r="BF142" s="51"/>
      <c r="BH142" s="3"/>
      <c r="BI142" s="3"/>
      <c r="BJ142" s="51"/>
      <c r="BL142" s="3"/>
      <c r="BM142" s="51"/>
      <c r="BN142" s="3"/>
      <c r="BP142" s="3"/>
      <c r="BQ142" s="51"/>
      <c r="BS142" s="3"/>
      <c r="BT142" s="3"/>
      <c r="BW142" s="3"/>
      <c r="BX142" s="3"/>
      <c r="BZ142" s="3"/>
      <c r="CA142" s="51"/>
      <c r="CC142" s="3"/>
      <c r="CD142" s="3"/>
      <c r="CG142" s="3"/>
      <c r="CK142" s="3"/>
      <c r="CN142" s="3"/>
      <c r="CQ142" s="3"/>
      <c r="CU142" s="3"/>
      <c r="CX142" s="3"/>
    </row>
    <row r="143" spans="1:102" x14ac:dyDescent="0.3">
      <c r="A143" s="151" t="s">
        <v>16</v>
      </c>
      <c r="B143" s="2">
        <v>1</v>
      </c>
      <c r="C143" s="6" t="s">
        <v>119</v>
      </c>
      <c r="D143" s="97">
        <v>140.63</v>
      </c>
      <c r="E143" s="3" t="s">
        <v>102</v>
      </c>
      <c r="F143" s="95">
        <f>D143/D109</f>
        <v>1.255625</v>
      </c>
      <c r="G143" s="3" t="s">
        <v>109</v>
      </c>
      <c r="H143" s="51"/>
      <c r="I143" s="3"/>
      <c r="J143" s="3"/>
      <c r="K143" s="3"/>
      <c r="L143" s="51"/>
      <c r="M143" s="51"/>
      <c r="N143" s="51"/>
      <c r="O143" s="3"/>
      <c r="P143" s="3"/>
      <c r="Q143" s="3"/>
      <c r="R143" s="51"/>
      <c r="S143" s="98"/>
      <c r="T143" s="98"/>
      <c r="U143" s="3"/>
      <c r="V143" s="3"/>
      <c r="W143" s="3"/>
      <c r="X143" s="98"/>
      <c r="Y143" s="98"/>
      <c r="Z143" s="12"/>
      <c r="AA143" s="12"/>
      <c r="AB143" s="3"/>
      <c r="AC143" s="3"/>
      <c r="AD143" s="12"/>
      <c r="AE143" s="99"/>
      <c r="AF143" s="3"/>
      <c r="AG143" s="3"/>
      <c r="AH143" s="99"/>
      <c r="AI143" s="3"/>
      <c r="AJ143" s="99"/>
      <c r="AK143" s="3"/>
      <c r="AL143" s="3"/>
      <c r="AN143" s="2"/>
      <c r="AO143" s="2"/>
      <c r="AP143" s="3"/>
      <c r="AQ143" s="3"/>
      <c r="AR143" s="2"/>
      <c r="AS143" s="3"/>
      <c r="AT143" s="2"/>
      <c r="AU143" s="3"/>
      <c r="AW143" s="3"/>
      <c r="AX143" s="51"/>
      <c r="AZ143" s="3"/>
      <c r="BA143" s="3"/>
      <c r="BB143" s="51"/>
      <c r="BE143" s="3"/>
      <c r="BF143" s="51"/>
      <c r="BH143" s="3"/>
      <c r="BI143" s="3"/>
      <c r="BJ143" s="51"/>
      <c r="BL143" s="3"/>
      <c r="BM143" s="51"/>
      <c r="BN143" s="3"/>
      <c r="BP143" s="3"/>
      <c r="BQ143" s="51"/>
      <c r="BS143" s="3"/>
      <c r="BT143" s="3"/>
      <c r="BW143" s="3"/>
      <c r="BX143" s="3"/>
      <c r="BZ143" s="3"/>
      <c r="CA143" s="51"/>
      <c r="CC143" s="3"/>
      <c r="CD143" s="3"/>
      <c r="CG143" s="3"/>
      <c r="CK143" s="3"/>
      <c r="CN143" s="3"/>
      <c r="CQ143" s="3"/>
      <c r="CU143" s="3"/>
      <c r="CX143" s="3"/>
    </row>
    <row r="144" spans="1:102" x14ac:dyDescent="0.3">
      <c r="A144" s="151"/>
      <c r="B144" s="2">
        <v>1</v>
      </c>
      <c r="C144" s="6" t="s">
        <v>140</v>
      </c>
      <c r="D144" s="97">
        <v>0.91576999999999997</v>
      </c>
      <c r="E144" s="3" t="s">
        <v>119</v>
      </c>
      <c r="F144" s="95">
        <f>F143*D144</f>
        <v>1.1498637062499999</v>
      </c>
      <c r="G144" s="3" t="s">
        <v>109</v>
      </c>
      <c r="H144" s="51"/>
      <c r="I144" s="3"/>
      <c r="J144" s="3"/>
      <c r="K144" s="3"/>
      <c r="L144" s="51"/>
      <c r="M144" s="51"/>
      <c r="N144" s="51"/>
      <c r="O144" s="3"/>
      <c r="P144" s="3"/>
      <c r="Q144" s="3"/>
      <c r="R144" s="51"/>
      <c r="S144" s="98"/>
      <c r="T144" s="98"/>
      <c r="U144" s="3"/>
      <c r="V144" s="3"/>
      <c r="W144" s="3"/>
      <c r="X144" s="98"/>
      <c r="Y144" s="98"/>
      <c r="Z144" s="12"/>
      <c r="AA144" s="12"/>
      <c r="AB144" s="3"/>
      <c r="AC144" s="3"/>
      <c r="AD144" s="12"/>
      <c r="AE144" s="99"/>
      <c r="AF144" s="3"/>
      <c r="AG144" s="3"/>
      <c r="AH144" s="99"/>
      <c r="AI144" s="3"/>
      <c r="AJ144" s="99"/>
      <c r="AK144" s="3"/>
      <c r="AL144" s="3"/>
      <c r="AN144" s="2"/>
      <c r="AO144" s="2"/>
      <c r="AP144" s="3"/>
      <c r="AQ144" s="3"/>
      <c r="AR144" s="2"/>
      <c r="AS144" s="3"/>
      <c r="AT144" s="2"/>
      <c r="AU144" s="3"/>
      <c r="AW144" s="3"/>
      <c r="AX144" s="51"/>
      <c r="AZ144" s="3"/>
      <c r="BA144" s="3"/>
      <c r="BB144" s="51"/>
      <c r="BE144" s="3"/>
      <c r="BF144" s="51"/>
      <c r="BH144" s="3"/>
      <c r="BI144" s="3"/>
      <c r="BJ144" s="51"/>
      <c r="BL144" s="3"/>
      <c r="BM144" s="51"/>
      <c r="BN144" s="3"/>
      <c r="BP144" s="3"/>
      <c r="BQ144" s="51"/>
      <c r="BS144" s="3"/>
      <c r="BT144" s="3"/>
      <c r="BW144" s="3"/>
      <c r="BX144" s="3"/>
      <c r="BZ144" s="3"/>
      <c r="CA144" s="51"/>
      <c r="CC144" s="3"/>
      <c r="CD144" s="3"/>
      <c r="CG144" s="3"/>
      <c r="CK144" s="3"/>
      <c r="CN144" s="3"/>
      <c r="CQ144" s="3"/>
      <c r="CU144" s="3"/>
      <c r="CX144" s="3"/>
    </row>
    <row r="145" spans="1:102" x14ac:dyDescent="0.3">
      <c r="A145" s="151" t="s">
        <v>141</v>
      </c>
      <c r="B145" s="2">
        <v>1</v>
      </c>
      <c r="C145" s="6" t="s">
        <v>124</v>
      </c>
      <c r="D145" s="97">
        <v>2.37609</v>
      </c>
      <c r="E145" s="6" t="s">
        <v>120</v>
      </c>
      <c r="F145" s="95">
        <f>D145*D146</f>
        <v>4.1366063637000003</v>
      </c>
      <c r="G145" s="3" t="s">
        <v>109</v>
      </c>
      <c r="H145" s="51"/>
      <c r="I145" s="3"/>
      <c r="J145" s="3"/>
      <c r="K145" s="6"/>
      <c r="L145" s="51"/>
      <c r="M145" s="51"/>
      <c r="N145" s="51"/>
      <c r="O145" s="3"/>
      <c r="P145" s="3"/>
      <c r="Q145" s="6"/>
      <c r="R145" s="51"/>
      <c r="S145" s="98"/>
      <c r="T145" s="98"/>
      <c r="U145" s="3"/>
      <c r="V145" s="3"/>
      <c r="W145" s="6"/>
      <c r="X145" s="98"/>
      <c r="Y145" s="98"/>
      <c r="Z145" s="12"/>
      <c r="AA145" s="12"/>
      <c r="AB145" s="6"/>
      <c r="AC145" s="3"/>
      <c r="AD145" s="12"/>
      <c r="AE145" s="99"/>
      <c r="AF145" s="6"/>
      <c r="AG145" s="3"/>
      <c r="AH145" s="99"/>
      <c r="AI145" s="6"/>
      <c r="AJ145" s="99"/>
      <c r="AK145" s="3"/>
      <c r="AL145" s="6"/>
      <c r="AN145" s="2"/>
      <c r="AO145" s="2"/>
      <c r="AP145" s="6"/>
      <c r="AQ145" s="3"/>
      <c r="AR145" s="2"/>
      <c r="AS145" s="6"/>
      <c r="AT145" s="2"/>
      <c r="AU145" s="3"/>
      <c r="AW145" s="6"/>
      <c r="AX145" s="51"/>
      <c r="AZ145" s="3"/>
      <c r="BA145" s="6"/>
      <c r="BB145" s="51"/>
      <c r="BE145" s="6"/>
      <c r="BF145" s="51"/>
      <c r="BH145" s="3"/>
      <c r="BI145" s="6"/>
      <c r="BJ145" s="51"/>
      <c r="BL145" s="6"/>
      <c r="BM145" s="51"/>
      <c r="BN145" s="3"/>
      <c r="BP145" s="6"/>
      <c r="BQ145" s="51"/>
      <c r="BS145" s="6"/>
      <c r="BT145" s="3"/>
      <c r="BW145" s="6"/>
      <c r="BX145" s="3"/>
      <c r="BZ145" s="6"/>
      <c r="CA145" s="51"/>
      <c r="CC145" s="6"/>
      <c r="CD145" s="3"/>
      <c r="CG145" s="3"/>
      <c r="CK145" s="3"/>
      <c r="CN145" s="3"/>
      <c r="CQ145" s="3"/>
      <c r="CU145" s="3"/>
      <c r="CX145" s="3"/>
    </row>
    <row r="146" spans="1:102" x14ac:dyDescent="0.3">
      <c r="A146" s="151"/>
      <c r="B146" s="2">
        <v>1</v>
      </c>
      <c r="C146" s="6" t="s">
        <v>120</v>
      </c>
      <c r="D146" s="97">
        <v>1.7409300000000001</v>
      </c>
      <c r="E146" s="3" t="s">
        <v>109</v>
      </c>
      <c r="F146" s="95"/>
      <c r="G146" s="3"/>
      <c r="H146" s="51"/>
      <c r="I146" s="3"/>
      <c r="J146" s="3"/>
      <c r="K146" s="3"/>
      <c r="L146" s="51"/>
      <c r="M146" s="51"/>
      <c r="N146" s="51"/>
      <c r="O146" s="3"/>
      <c r="P146" s="3"/>
      <c r="Q146" s="3"/>
      <c r="R146" s="51"/>
      <c r="S146" s="98"/>
      <c r="T146" s="98"/>
      <c r="U146" s="3"/>
      <c r="V146" s="3"/>
      <c r="W146" s="3"/>
      <c r="X146" s="98"/>
      <c r="Y146" s="98"/>
      <c r="Z146" s="12"/>
      <c r="AA146" s="12"/>
      <c r="AB146" s="3"/>
      <c r="AC146" s="3"/>
      <c r="AD146" s="12"/>
      <c r="AE146" s="99"/>
      <c r="AF146" s="3"/>
      <c r="AG146" s="3"/>
      <c r="AH146" s="99"/>
      <c r="AI146" s="3"/>
      <c r="AJ146" s="99"/>
      <c r="AK146" s="3"/>
      <c r="AL146" s="3"/>
      <c r="AN146" s="2"/>
      <c r="AO146" s="2"/>
      <c r="AP146" s="3"/>
      <c r="AQ146" s="3"/>
      <c r="AR146" s="2"/>
      <c r="AS146" s="3"/>
      <c r="AT146" s="2"/>
      <c r="AU146" s="3"/>
      <c r="AW146" s="3"/>
      <c r="AX146" s="51"/>
      <c r="AZ146" s="3"/>
      <c r="BA146" s="3"/>
      <c r="BB146" s="51"/>
      <c r="BE146" s="3"/>
      <c r="BF146" s="51"/>
      <c r="BH146" s="3"/>
      <c r="BI146" s="3"/>
      <c r="BJ146" s="51"/>
      <c r="BL146" s="3"/>
      <c r="BM146" s="51"/>
      <c r="BN146" s="3"/>
      <c r="BP146" s="3"/>
      <c r="BQ146" s="51"/>
      <c r="BS146" s="3"/>
      <c r="BT146" s="3"/>
      <c r="BW146" s="3"/>
      <c r="BX146" s="3"/>
      <c r="BZ146" s="3"/>
      <c r="CA146" s="51"/>
      <c r="CC146" s="3"/>
      <c r="CD146" s="3"/>
      <c r="CG146" s="3"/>
      <c r="CK146" s="3"/>
      <c r="CN146" s="3"/>
      <c r="CQ146" s="3"/>
      <c r="CU146" s="3"/>
      <c r="CX146" s="3"/>
    </row>
    <row r="147" spans="1:102" x14ac:dyDescent="0.3">
      <c r="A147" s="151" t="s">
        <v>142</v>
      </c>
      <c r="B147" s="2">
        <v>1</v>
      </c>
      <c r="C147" s="6" t="s">
        <v>124</v>
      </c>
      <c r="D147" s="97">
        <v>242</v>
      </c>
      <c r="E147" s="3" t="s">
        <v>102</v>
      </c>
      <c r="F147" s="95">
        <f>D147/D109</f>
        <v>2.1607142857142856</v>
      </c>
      <c r="G147" s="3" t="s">
        <v>109</v>
      </c>
      <c r="H147" s="51"/>
      <c r="I147" s="3"/>
      <c r="J147" s="3"/>
      <c r="K147" s="3"/>
      <c r="L147" s="51"/>
      <c r="M147" s="51"/>
      <c r="N147" s="51"/>
      <c r="O147" s="3"/>
      <c r="P147" s="3"/>
      <c r="Q147" s="3"/>
      <c r="R147" s="51"/>
      <c r="S147" s="98"/>
      <c r="T147" s="98"/>
      <c r="U147" s="3"/>
      <c r="V147" s="3"/>
      <c r="W147" s="3"/>
      <c r="X147" s="98"/>
      <c r="Y147" s="98"/>
      <c r="Z147" s="12"/>
      <c r="AA147" s="12"/>
      <c r="AB147" s="3"/>
      <c r="AC147" s="3"/>
      <c r="AD147" s="12"/>
      <c r="AE147" s="99"/>
      <c r="AF147" s="3"/>
      <c r="AG147" s="3"/>
      <c r="AH147" s="99"/>
      <c r="AI147" s="3"/>
      <c r="AJ147" s="99"/>
      <c r="AK147" s="3"/>
      <c r="AL147" s="3"/>
      <c r="AN147" s="2"/>
      <c r="AO147" s="2"/>
      <c r="AP147" s="3"/>
      <c r="AQ147" s="3"/>
      <c r="AR147" s="2"/>
      <c r="AS147" s="3"/>
      <c r="AT147" s="2"/>
      <c r="AU147" s="3"/>
      <c r="AW147" s="3"/>
      <c r="AX147" s="51"/>
      <c r="AZ147" s="3"/>
      <c r="BA147" s="3"/>
      <c r="BB147" s="51"/>
      <c r="BE147" s="3"/>
      <c r="BF147" s="51"/>
      <c r="BH147" s="3"/>
      <c r="BI147" s="3"/>
      <c r="BJ147" s="51"/>
      <c r="BL147" s="3"/>
      <c r="BM147" s="51"/>
      <c r="BN147" s="3"/>
      <c r="BP147" s="3"/>
      <c r="BQ147" s="51"/>
      <c r="BS147" s="3"/>
      <c r="BT147" s="3"/>
      <c r="BW147" s="3"/>
      <c r="BX147" s="3"/>
      <c r="BZ147" s="3"/>
      <c r="CA147" s="51"/>
      <c r="CC147" s="3"/>
      <c r="CD147" s="3"/>
      <c r="CG147" s="3"/>
      <c r="CK147" s="3"/>
      <c r="CN147" s="3"/>
      <c r="CQ147" s="3"/>
      <c r="CU147" s="3"/>
      <c r="CX147" s="3"/>
    </row>
    <row r="148" spans="1:102" x14ac:dyDescent="0.3">
      <c r="A148" s="151"/>
      <c r="B148" s="2">
        <v>1</v>
      </c>
      <c r="C148" s="6" t="s">
        <v>119</v>
      </c>
      <c r="D148" s="95">
        <f>F150/D149</f>
        <v>4.400227973715972</v>
      </c>
      <c r="E148" s="3" t="s">
        <v>109</v>
      </c>
      <c r="F148" s="95"/>
      <c r="G148" s="3"/>
      <c r="H148" s="51"/>
      <c r="I148" s="3"/>
      <c r="J148" s="3"/>
      <c r="K148" s="3"/>
      <c r="L148" s="51"/>
      <c r="M148" s="51"/>
      <c r="N148" s="51"/>
      <c r="O148" s="3"/>
      <c r="P148" s="3"/>
      <c r="Q148" s="3"/>
      <c r="R148" s="51"/>
      <c r="S148" s="98"/>
      <c r="T148" s="98"/>
      <c r="U148" s="3"/>
      <c r="V148" s="3"/>
      <c r="W148" s="3"/>
      <c r="X148" s="98"/>
      <c r="Y148" s="98"/>
      <c r="Z148" s="12"/>
      <c r="AA148" s="12"/>
      <c r="AB148" s="3"/>
      <c r="AC148" s="3"/>
      <c r="AD148" s="12"/>
      <c r="AE148" s="99"/>
      <c r="AF148" s="3"/>
      <c r="AG148" s="3"/>
      <c r="AH148" s="99"/>
      <c r="AI148" s="3"/>
      <c r="AJ148" s="99"/>
      <c r="AK148" s="3"/>
      <c r="AL148" s="3"/>
      <c r="AN148" s="2"/>
      <c r="AO148" s="2"/>
      <c r="AP148" s="3"/>
      <c r="AQ148" s="3"/>
      <c r="AR148" s="2"/>
      <c r="AS148" s="3"/>
      <c r="AT148" s="2"/>
      <c r="AU148" s="3"/>
      <c r="AW148" s="3"/>
      <c r="AX148" s="51"/>
      <c r="AZ148" s="3"/>
      <c r="BA148" s="3"/>
      <c r="BB148" s="51"/>
      <c r="BE148" s="3"/>
      <c r="BF148" s="51"/>
      <c r="BH148" s="3"/>
      <c r="BI148" s="3"/>
      <c r="BJ148" s="51"/>
      <c r="BL148" s="3"/>
      <c r="BM148" s="51"/>
      <c r="BN148" s="3"/>
      <c r="BP148" s="3"/>
      <c r="BQ148" s="51"/>
      <c r="BS148" s="3"/>
      <c r="BT148" s="3"/>
      <c r="BW148" s="3"/>
      <c r="BX148" s="3"/>
      <c r="BZ148" s="3"/>
      <c r="CA148" s="51"/>
      <c r="CC148" s="3"/>
      <c r="CD148" s="3"/>
      <c r="CG148" s="3"/>
      <c r="CK148" s="3"/>
      <c r="CN148" s="3"/>
      <c r="CQ148" s="3"/>
      <c r="CU148" s="3"/>
      <c r="CX148" s="3"/>
    </row>
    <row r="149" spans="1:102" x14ac:dyDescent="0.3">
      <c r="A149" s="151"/>
      <c r="B149" s="2">
        <v>1</v>
      </c>
      <c r="C149" s="6" t="s">
        <v>144</v>
      </c>
      <c r="D149" s="97">
        <v>0.59655999999999998</v>
      </c>
      <c r="E149" s="3" t="s">
        <v>119</v>
      </c>
      <c r="F149" s="51"/>
      <c r="G149" s="51"/>
      <c r="H149" s="51"/>
      <c r="I149" s="3"/>
      <c r="J149" s="3"/>
      <c r="K149" s="3"/>
      <c r="L149" s="51"/>
      <c r="M149" s="51"/>
      <c r="N149" s="51"/>
      <c r="O149" s="3"/>
      <c r="P149" s="3"/>
      <c r="Q149" s="3"/>
      <c r="R149" s="51"/>
      <c r="S149" s="98"/>
      <c r="T149" s="98"/>
      <c r="U149" s="3"/>
      <c r="V149" s="3"/>
      <c r="W149" s="3"/>
      <c r="X149" s="98"/>
      <c r="Y149" s="98"/>
      <c r="Z149" s="12"/>
      <c r="AA149" s="12"/>
      <c r="AB149" s="3"/>
      <c r="AC149" s="3"/>
      <c r="AD149" s="12"/>
      <c r="AE149" s="99"/>
      <c r="AF149" s="3"/>
      <c r="AG149" s="3"/>
      <c r="AH149" s="99"/>
      <c r="AI149" s="3"/>
      <c r="AJ149" s="99"/>
      <c r="AK149" s="3"/>
      <c r="AL149" s="3"/>
      <c r="AN149" s="2"/>
      <c r="AO149" s="2"/>
      <c r="AP149" s="3"/>
      <c r="AQ149" s="3"/>
      <c r="AR149" s="2"/>
      <c r="AS149" s="3"/>
      <c r="AT149" s="2"/>
      <c r="AU149" s="3"/>
      <c r="AW149" s="3"/>
      <c r="AX149" s="51"/>
      <c r="AZ149" s="3"/>
      <c r="BA149" s="3"/>
      <c r="BB149" s="51"/>
      <c r="BE149" s="3"/>
      <c r="BF149" s="51"/>
      <c r="BH149" s="3"/>
      <c r="BI149" s="3"/>
      <c r="BJ149" s="51"/>
      <c r="BL149" s="3"/>
      <c r="BM149" s="51"/>
      <c r="BN149" s="3"/>
      <c r="BP149" s="3"/>
      <c r="BQ149" s="51"/>
      <c r="BS149" s="3"/>
      <c r="BT149" s="3"/>
      <c r="BW149" s="3"/>
      <c r="BX149" s="3"/>
      <c r="BZ149" s="3"/>
      <c r="CA149" s="51"/>
      <c r="CC149" s="3"/>
      <c r="CD149" s="3"/>
      <c r="CG149" s="3"/>
      <c r="CK149" s="3"/>
      <c r="CN149" s="3"/>
      <c r="CQ149" s="3"/>
      <c r="CU149" s="3"/>
      <c r="CX149" s="3"/>
    </row>
    <row r="150" spans="1:102" x14ac:dyDescent="0.3">
      <c r="A150" s="2" t="s">
        <v>143</v>
      </c>
      <c r="B150" s="2">
        <v>1</v>
      </c>
      <c r="C150" s="6" t="s">
        <v>144</v>
      </c>
      <c r="D150" s="97">
        <v>294</v>
      </c>
      <c r="E150" s="3" t="s">
        <v>102</v>
      </c>
      <c r="F150" s="95">
        <f>D150/D109</f>
        <v>2.625</v>
      </c>
      <c r="G150" s="3" t="s">
        <v>109</v>
      </c>
      <c r="H150" s="51"/>
      <c r="I150" s="3"/>
      <c r="J150" s="3"/>
      <c r="K150" s="3"/>
      <c r="L150" s="51"/>
      <c r="M150" s="51"/>
      <c r="N150" s="51"/>
      <c r="O150" s="3"/>
      <c r="P150" s="3"/>
      <c r="Q150" s="3"/>
      <c r="R150" s="51"/>
      <c r="S150" s="98"/>
      <c r="T150" s="98"/>
      <c r="U150" s="3"/>
      <c r="V150" s="3"/>
      <c r="W150" s="3"/>
      <c r="X150" s="98"/>
      <c r="Y150" s="98"/>
      <c r="Z150" s="12"/>
      <c r="AA150" s="12"/>
      <c r="AB150" s="3"/>
      <c r="AC150" s="3"/>
      <c r="AD150" s="12"/>
      <c r="AE150" s="99"/>
      <c r="AF150" s="3"/>
      <c r="AG150" s="3"/>
      <c r="AH150" s="99"/>
      <c r="AI150" s="3"/>
      <c r="AJ150" s="99"/>
      <c r="AK150" s="3"/>
      <c r="AL150" s="3"/>
      <c r="AN150" s="2"/>
      <c r="AO150" s="2"/>
      <c r="AP150" s="3"/>
      <c r="AQ150" s="3"/>
      <c r="AR150" s="2"/>
      <c r="AS150" s="3"/>
      <c r="AT150" s="2"/>
      <c r="AU150" s="3"/>
      <c r="AW150" s="3"/>
      <c r="AX150" s="51"/>
      <c r="AZ150" s="3"/>
      <c r="BA150" s="3"/>
      <c r="BB150" s="51"/>
      <c r="BE150" s="3"/>
      <c r="BF150" s="51"/>
      <c r="BH150" s="3"/>
      <c r="BI150" s="3"/>
      <c r="BJ150" s="51"/>
      <c r="BL150" s="3"/>
      <c r="BM150" s="51"/>
      <c r="BN150" s="3"/>
      <c r="BP150" s="3"/>
      <c r="BQ150" s="51"/>
      <c r="BS150" s="3"/>
      <c r="BT150" s="3"/>
      <c r="BW150" s="3"/>
      <c r="BX150" s="3"/>
      <c r="BZ150" s="3"/>
      <c r="CA150" s="51"/>
      <c r="CC150" s="3"/>
      <c r="CD150" s="3"/>
      <c r="CG150" s="3"/>
      <c r="CK150" s="3"/>
      <c r="CN150" s="3"/>
      <c r="CQ150" s="3"/>
      <c r="CU150" s="3"/>
      <c r="CX150" s="3"/>
    </row>
    <row r="151" spans="1:102" x14ac:dyDescent="0.3">
      <c r="A151" s="2" t="s">
        <v>11</v>
      </c>
      <c r="B151" s="2">
        <v>1</v>
      </c>
      <c r="C151" s="6" t="s">
        <v>119</v>
      </c>
      <c r="D151" s="95">
        <v>0.88400000000000001</v>
      </c>
      <c r="E151" s="3" t="s">
        <v>109</v>
      </c>
      <c r="F151" s="51"/>
      <c r="G151" s="51"/>
      <c r="H151" s="51"/>
      <c r="I151" s="3"/>
      <c r="J151" s="3"/>
      <c r="K151" s="3"/>
      <c r="L151" s="51"/>
      <c r="M151" s="51"/>
      <c r="N151" s="51"/>
      <c r="O151" s="3"/>
      <c r="P151" s="3"/>
      <c r="Q151" s="3"/>
      <c r="R151" s="51"/>
      <c r="S151" s="98"/>
      <c r="T151" s="98"/>
      <c r="U151" s="3"/>
      <c r="V151" s="3"/>
      <c r="W151" s="3"/>
      <c r="X151" s="98"/>
      <c r="Y151" s="98"/>
      <c r="Z151" s="12"/>
      <c r="AA151" s="12"/>
      <c r="AB151" s="3"/>
      <c r="AC151" s="3"/>
      <c r="AD151" s="12"/>
      <c r="AE151" s="99"/>
      <c r="AF151" s="3"/>
      <c r="AG151" s="3"/>
      <c r="AH151" s="99"/>
      <c r="AI151" s="3"/>
      <c r="AJ151" s="99"/>
      <c r="AK151" s="3"/>
      <c r="AL151" s="3"/>
      <c r="AN151" s="2"/>
      <c r="AO151" s="2"/>
      <c r="AP151" s="3"/>
      <c r="AQ151" s="3"/>
      <c r="AR151" s="2"/>
      <c r="AS151" s="3"/>
      <c r="AT151" s="2"/>
      <c r="AU151" s="3"/>
      <c r="AW151" s="3"/>
      <c r="AX151" s="51"/>
      <c r="AZ151" s="3"/>
      <c r="BA151" s="3"/>
      <c r="BB151" s="51"/>
      <c r="BE151" s="3"/>
      <c r="BF151" s="51"/>
      <c r="BH151" s="3"/>
      <c r="BI151" s="3"/>
      <c r="BJ151" s="51"/>
      <c r="BL151" s="3"/>
      <c r="BM151" s="51"/>
      <c r="BN151" s="3"/>
      <c r="BP151" s="3"/>
      <c r="BQ151" s="51"/>
      <c r="BS151" s="3"/>
      <c r="BT151" s="3"/>
      <c r="BW151" s="3"/>
      <c r="BX151" s="3"/>
      <c r="BZ151" s="3"/>
      <c r="CA151" s="51"/>
      <c r="CC151" s="3"/>
      <c r="CD151" s="3"/>
      <c r="CG151" s="3"/>
      <c r="CK151" s="3"/>
      <c r="CN151" s="3"/>
      <c r="CQ151" s="3"/>
      <c r="CU151" s="3"/>
      <c r="CX151" s="3"/>
    </row>
    <row r="152" spans="1:102" x14ac:dyDescent="0.3">
      <c r="A152" s="145" t="s">
        <v>18</v>
      </c>
      <c r="B152" s="2">
        <v>1</v>
      </c>
      <c r="C152" s="6" t="s">
        <v>120</v>
      </c>
      <c r="D152" s="97">
        <v>149</v>
      </c>
      <c r="E152" s="3" t="s">
        <v>102</v>
      </c>
      <c r="F152" s="95">
        <f>D152/D109</f>
        <v>1.3303571428571428</v>
      </c>
      <c r="G152" s="3" t="s">
        <v>109</v>
      </c>
      <c r="H152" s="51"/>
      <c r="I152" s="3"/>
      <c r="J152" s="3"/>
      <c r="K152" s="3"/>
      <c r="L152" s="51"/>
      <c r="M152" s="51"/>
      <c r="N152" s="51"/>
      <c r="O152" s="3"/>
      <c r="P152" s="3"/>
      <c r="Q152" s="3"/>
      <c r="R152" s="51"/>
      <c r="S152" s="98"/>
      <c r="T152" s="98"/>
      <c r="U152" s="3"/>
      <c r="V152" s="3"/>
      <c r="W152" s="3"/>
      <c r="X152" s="98"/>
      <c r="Y152" s="98"/>
      <c r="Z152" s="12"/>
      <c r="AA152" s="12"/>
      <c r="AB152" s="3"/>
      <c r="AC152" s="3"/>
      <c r="AD152" s="12"/>
      <c r="AE152" s="99"/>
      <c r="AF152" s="3"/>
      <c r="AG152" s="3"/>
      <c r="AH152" s="99"/>
      <c r="AI152" s="3"/>
      <c r="AJ152" s="99"/>
      <c r="AK152" s="3"/>
      <c r="AL152" s="3"/>
      <c r="AN152" s="2"/>
      <c r="AO152" s="2"/>
      <c r="AP152" s="3"/>
      <c r="AQ152" s="3"/>
      <c r="AR152" s="2"/>
      <c r="AS152" s="3"/>
      <c r="AT152" s="2"/>
      <c r="AU152" s="3"/>
      <c r="AW152" s="3"/>
      <c r="AX152" s="51"/>
      <c r="AZ152" s="3"/>
      <c r="BA152" s="3"/>
      <c r="BB152" s="51"/>
      <c r="BE152" s="3"/>
      <c r="BF152" s="51"/>
      <c r="BH152" s="3"/>
      <c r="BI152" s="3"/>
      <c r="BJ152" s="51"/>
      <c r="BL152" s="3"/>
      <c r="BM152" s="51"/>
      <c r="BN152" s="3"/>
      <c r="BP152" s="3"/>
      <c r="BQ152" s="51"/>
      <c r="BS152" s="3"/>
      <c r="BT152" s="3"/>
      <c r="BW152" s="3"/>
      <c r="BX152" s="3"/>
      <c r="BZ152" s="3"/>
      <c r="CA152" s="51"/>
      <c r="CC152" s="3"/>
      <c r="CD152" s="3"/>
      <c r="CG152" s="3"/>
      <c r="CK152" s="3"/>
      <c r="CN152" s="3"/>
      <c r="CQ152" s="3"/>
      <c r="CU152" s="3"/>
      <c r="CX152" s="3"/>
    </row>
    <row r="153" spans="1:102" x14ac:dyDescent="0.3">
      <c r="A153" s="2" t="s">
        <v>132</v>
      </c>
      <c r="B153" s="2">
        <v>1</v>
      </c>
      <c r="C153" s="6" t="s">
        <v>119</v>
      </c>
      <c r="D153" s="97">
        <v>164</v>
      </c>
      <c r="E153" s="3" t="s">
        <v>102</v>
      </c>
      <c r="F153" s="95">
        <f>D153/D109</f>
        <v>1.4642857142857142</v>
      </c>
      <c r="G153" s="3" t="s">
        <v>109</v>
      </c>
      <c r="H153" s="51"/>
      <c r="I153" s="3"/>
      <c r="J153" s="3"/>
      <c r="K153" s="3"/>
      <c r="L153" s="51"/>
      <c r="M153" s="51"/>
      <c r="N153" s="51"/>
      <c r="O153" s="3"/>
      <c r="P153" s="3"/>
      <c r="Q153" s="3"/>
      <c r="R153" s="51"/>
      <c r="S153" s="98"/>
      <c r="T153" s="98"/>
      <c r="U153" s="3"/>
      <c r="V153" s="3"/>
      <c r="W153" s="3"/>
      <c r="X153" s="98"/>
      <c r="Y153" s="98"/>
      <c r="Z153" s="12"/>
      <c r="AA153" s="12"/>
      <c r="AB153" s="3"/>
      <c r="AC153" s="3"/>
      <c r="AD153" s="12"/>
      <c r="AE153" s="99"/>
      <c r="AF153" s="3"/>
      <c r="AG153" s="3"/>
      <c r="AH153" s="99"/>
      <c r="AI153" s="3"/>
      <c r="AJ153" s="99"/>
      <c r="AK153" s="3"/>
      <c r="AL153" s="3"/>
      <c r="AN153" s="2"/>
      <c r="AO153" s="2"/>
      <c r="AP153" s="3"/>
      <c r="AQ153" s="3"/>
      <c r="AR153" s="2"/>
      <c r="AS153" s="3"/>
      <c r="AT153" s="2"/>
      <c r="AU153" s="3"/>
      <c r="AW153" s="3"/>
      <c r="AX153" s="51"/>
      <c r="AZ153" s="3"/>
      <c r="BA153" s="3"/>
      <c r="BB153" s="51"/>
      <c r="BE153" s="3"/>
      <c r="BF153" s="51"/>
      <c r="BH153" s="3"/>
      <c r="BI153" s="3"/>
      <c r="BJ153" s="51"/>
      <c r="BL153" s="3"/>
      <c r="BM153" s="51"/>
      <c r="BN153" s="3"/>
      <c r="BP153" s="3"/>
      <c r="BQ153" s="51"/>
      <c r="BS153" s="3"/>
      <c r="BT153" s="3"/>
      <c r="BW153" s="3"/>
      <c r="BX153" s="3"/>
      <c r="BZ153" s="3"/>
      <c r="CA153" s="51"/>
      <c r="CC153" s="3"/>
      <c r="CD153" s="3"/>
      <c r="CG153" s="3"/>
      <c r="CK153" s="3"/>
      <c r="CN153" s="3"/>
      <c r="CQ153" s="3"/>
      <c r="CU153" s="3"/>
      <c r="CX153" s="3"/>
    </row>
    <row r="154" spans="1:102" x14ac:dyDescent="0.3">
      <c r="A154" s="151" t="s">
        <v>95</v>
      </c>
      <c r="B154" s="2">
        <v>1</v>
      </c>
      <c r="C154" s="6" t="s">
        <v>144</v>
      </c>
      <c r="D154" s="97">
        <v>2.0271699999999999</v>
      </c>
      <c r="E154" s="3" t="s">
        <v>124</v>
      </c>
      <c r="F154" s="95">
        <f>D155*D154/D109</f>
        <v>6.0815099999999997</v>
      </c>
      <c r="G154" s="3" t="s">
        <v>109</v>
      </c>
      <c r="H154" s="51"/>
      <c r="I154" s="3"/>
      <c r="J154" s="3"/>
      <c r="K154" s="3"/>
      <c r="L154" s="51"/>
      <c r="M154" s="51"/>
      <c r="N154" s="51"/>
      <c r="O154" s="3"/>
      <c r="P154" s="3"/>
      <c r="Q154" s="3"/>
      <c r="R154" s="51"/>
      <c r="S154" s="98"/>
      <c r="T154" s="98"/>
      <c r="U154" s="3"/>
      <c r="V154" s="3"/>
      <c r="W154" s="3"/>
      <c r="X154" s="98"/>
      <c r="Y154" s="98"/>
      <c r="Z154" s="12"/>
      <c r="AA154" s="12"/>
      <c r="AB154" s="3"/>
      <c r="AC154" s="3"/>
      <c r="AD154" s="12"/>
      <c r="AE154" s="99"/>
      <c r="AF154" s="3"/>
      <c r="AG154" s="3"/>
      <c r="AH154" s="99"/>
      <c r="AI154" s="3"/>
      <c r="AJ154" s="99"/>
      <c r="AK154" s="3"/>
      <c r="AL154" s="3"/>
      <c r="AN154" s="2"/>
      <c r="AO154" s="2"/>
      <c r="AP154" s="3"/>
      <c r="AQ154" s="3"/>
      <c r="AR154" s="2"/>
      <c r="AS154" s="3"/>
      <c r="AT154" s="2"/>
      <c r="AU154" s="3"/>
      <c r="AW154" s="3"/>
      <c r="AX154" s="51"/>
      <c r="AZ154" s="3"/>
      <c r="BA154" s="3"/>
      <c r="BB154" s="51"/>
      <c r="BE154" s="3"/>
      <c r="BF154" s="51"/>
      <c r="BH154" s="3"/>
      <c r="BI154" s="3"/>
      <c r="BJ154" s="51"/>
      <c r="BL154" s="3"/>
      <c r="BM154" s="51"/>
      <c r="BN154" s="3"/>
      <c r="BP154" s="3"/>
      <c r="BQ154" s="51"/>
      <c r="BS154" s="3"/>
      <c r="BT154" s="3"/>
      <c r="BW154" s="3"/>
      <c r="BX154" s="3"/>
      <c r="BZ154" s="3"/>
      <c r="CA154" s="51"/>
      <c r="CC154" s="3"/>
      <c r="CD154" s="3"/>
      <c r="CG154" s="3"/>
      <c r="CK154" s="3"/>
      <c r="CN154" s="3"/>
      <c r="CQ154" s="3"/>
      <c r="CU154" s="3"/>
      <c r="CX154" s="3"/>
    </row>
    <row r="155" spans="1:102" x14ac:dyDescent="0.3">
      <c r="A155" s="151"/>
      <c r="B155" s="2">
        <v>1</v>
      </c>
      <c r="C155" s="6" t="s">
        <v>124</v>
      </c>
      <c r="D155" s="97">
        <v>336</v>
      </c>
      <c r="E155" s="3" t="s">
        <v>102</v>
      </c>
      <c r="F155" s="95">
        <f>D155/D109</f>
        <v>3</v>
      </c>
      <c r="G155" s="3" t="s">
        <v>109</v>
      </c>
      <c r="H155" s="51"/>
      <c r="I155" s="3"/>
      <c r="J155" s="3"/>
      <c r="K155" s="3"/>
      <c r="L155" s="51"/>
      <c r="M155" s="51"/>
      <c r="N155" s="51"/>
      <c r="O155" s="3"/>
      <c r="P155" s="3"/>
      <c r="Q155" s="3"/>
      <c r="R155" s="51"/>
      <c r="S155" s="98"/>
      <c r="T155" s="98"/>
      <c r="U155" s="3"/>
      <c r="V155" s="3"/>
      <c r="W155" s="3"/>
      <c r="X155" s="98"/>
      <c r="Y155" s="98"/>
      <c r="Z155" s="12"/>
      <c r="AA155" s="12"/>
      <c r="AB155" s="3"/>
      <c r="AC155" s="3"/>
      <c r="AD155" s="12"/>
      <c r="AE155" s="99"/>
      <c r="AF155" s="3"/>
      <c r="AG155" s="3"/>
      <c r="AH155" s="99"/>
      <c r="AI155" s="3"/>
      <c r="AJ155" s="99"/>
      <c r="AK155" s="3"/>
      <c r="AL155" s="3"/>
      <c r="AN155" s="2"/>
      <c r="AO155" s="2"/>
      <c r="AP155" s="3"/>
      <c r="AQ155" s="3"/>
      <c r="AR155" s="2"/>
      <c r="AS155" s="3"/>
      <c r="AT155" s="2"/>
      <c r="AU155" s="3"/>
      <c r="AW155" s="3"/>
      <c r="AX155" s="51"/>
      <c r="AZ155" s="3"/>
      <c r="BA155" s="3"/>
      <c r="BB155" s="51"/>
      <c r="BE155" s="3"/>
      <c r="BF155" s="51"/>
      <c r="BH155" s="3"/>
      <c r="BI155" s="3"/>
      <c r="BJ155" s="51"/>
      <c r="BL155" s="3"/>
      <c r="BM155" s="51"/>
      <c r="BN155" s="3"/>
      <c r="BP155" s="3"/>
      <c r="BQ155" s="51"/>
      <c r="BS155" s="3"/>
      <c r="BT155" s="3"/>
      <c r="BW155" s="3"/>
      <c r="BX155" s="3"/>
      <c r="BZ155" s="3"/>
      <c r="CA155" s="51"/>
      <c r="CC155" s="3"/>
      <c r="CD155" s="3"/>
      <c r="CG155" s="3"/>
      <c r="CK155" s="3"/>
      <c r="CN155" s="3"/>
      <c r="CQ155" s="3"/>
      <c r="CU155" s="3"/>
      <c r="CX155" s="3"/>
    </row>
    <row r="156" spans="1:102" x14ac:dyDescent="0.3">
      <c r="A156" s="100" t="s">
        <v>145</v>
      </c>
      <c r="B156" s="2">
        <v>1</v>
      </c>
      <c r="C156" s="6" t="s">
        <v>119</v>
      </c>
      <c r="D156" s="97">
        <v>746.66700000000003</v>
      </c>
      <c r="E156" s="3" t="s">
        <v>102</v>
      </c>
      <c r="F156" s="95">
        <f>D156/D109</f>
        <v>6.6666696428571433</v>
      </c>
      <c r="G156" s="3" t="s">
        <v>109</v>
      </c>
      <c r="H156" s="51"/>
      <c r="I156" s="3"/>
      <c r="J156" s="3"/>
      <c r="K156" s="3"/>
      <c r="L156" s="51"/>
      <c r="M156" s="51"/>
      <c r="N156" s="51"/>
      <c r="O156" s="3"/>
      <c r="P156" s="3"/>
      <c r="Q156" s="3"/>
      <c r="R156" s="51"/>
      <c r="S156" s="98"/>
      <c r="T156" s="98"/>
      <c r="U156" s="3"/>
      <c r="V156" s="3"/>
      <c r="W156" s="3"/>
      <c r="X156" s="98"/>
      <c r="Y156" s="98"/>
      <c r="Z156" s="12"/>
      <c r="AA156" s="12"/>
      <c r="AB156" s="3"/>
      <c r="AC156" s="3"/>
      <c r="AD156" s="12"/>
      <c r="AE156" s="99"/>
      <c r="AF156" s="3"/>
      <c r="AG156" s="3"/>
      <c r="AH156" s="99"/>
      <c r="AI156" s="3"/>
      <c r="AJ156" s="99"/>
      <c r="AK156" s="3"/>
      <c r="AL156" s="3"/>
      <c r="AN156" s="2"/>
      <c r="AO156" s="2"/>
      <c r="AP156" s="3"/>
      <c r="AQ156" s="3"/>
      <c r="AR156" s="2"/>
      <c r="AS156" s="3"/>
      <c r="AT156" s="2"/>
      <c r="AU156" s="3"/>
      <c r="AW156" s="3"/>
      <c r="AX156" s="51"/>
      <c r="AZ156" s="3"/>
      <c r="BA156" s="3"/>
      <c r="BB156" s="51"/>
      <c r="BE156" s="3"/>
      <c r="BF156" s="51"/>
      <c r="BH156" s="3"/>
      <c r="BI156" s="3"/>
      <c r="BJ156" s="51"/>
      <c r="BL156" s="3"/>
      <c r="BM156" s="51"/>
      <c r="BN156" s="3"/>
      <c r="BP156" s="3"/>
      <c r="BQ156" s="51"/>
      <c r="BS156" s="3"/>
      <c r="BT156" s="3"/>
      <c r="BW156" s="3"/>
      <c r="BX156" s="3"/>
      <c r="BZ156" s="3"/>
      <c r="CA156" s="51"/>
      <c r="CC156" s="3"/>
      <c r="CD156" s="3"/>
      <c r="CG156" s="3"/>
      <c r="CK156" s="3"/>
      <c r="CN156" s="3"/>
      <c r="CQ156" s="3"/>
      <c r="CU156" s="3"/>
      <c r="CX156" s="3"/>
    </row>
    <row r="157" spans="1:102" x14ac:dyDescent="0.3">
      <c r="A157" s="151" t="s">
        <v>146</v>
      </c>
      <c r="B157" s="2">
        <v>1</v>
      </c>
      <c r="C157" s="6" t="s">
        <v>140</v>
      </c>
      <c r="D157" s="97">
        <v>260</v>
      </c>
      <c r="E157" s="3" t="s">
        <v>102</v>
      </c>
      <c r="F157" s="95">
        <f>D157/D109</f>
        <v>2.3214285714285716</v>
      </c>
      <c r="G157" s="3" t="s">
        <v>109</v>
      </c>
      <c r="H157" s="51"/>
      <c r="I157" s="3"/>
      <c r="J157" s="3"/>
      <c r="K157" s="3"/>
      <c r="L157" s="51"/>
      <c r="M157" s="51"/>
      <c r="N157" s="51"/>
      <c r="O157" s="3"/>
      <c r="P157" s="3"/>
      <c r="Q157" s="3"/>
      <c r="R157" s="51"/>
      <c r="U157" s="3"/>
      <c r="V157" s="3"/>
      <c r="W157" s="3"/>
      <c r="X157" s="51"/>
      <c r="Z157" s="12"/>
      <c r="AA157" s="12"/>
      <c r="AB157" s="3"/>
      <c r="AC157" s="3"/>
      <c r="AD157" s="12"/>
      <c r="AE157" s="2"/>
      <c r="AF157" s="3"/>
      <c r="AG157" s="3"/>
      <c r="AH157" s="2"/>
      <c r="AI157" s="3"/>
      <c r="AJ157" s="2"/>
      <c r="AK157" s="3"/>
      <c r="AL157" s="3"/>
      <c r="AN157" s="2"/>
      <c r="AO157" s="2"/>
      <c r="AP157" s="3"/>
      <c r="AQ157" s="3"/>
      <c r="AR157" s="2"/>
      <c r="AS157" s="3"/>
      <c r="AT157" s="2"/>
      <c r="AU157" s="3"/>
      <c r="AW157" s="3"/>
      <c r="AX157" s="51"/>
      <c r="AZ157" s="3"/>
      <c r="BA157" s="3"/>
      <c r="BB157" s="51"/>
      <c r="BE157" s="3"/>
      <c r="BF157" s="51"/>
      <c r="BH157" s="3"/>
      <c r="BI157" s="3"/>
      <c r="BJ157" s="51"/>
      <c r="BL157" s="3"/>
      <c r="BM157" s="51"/>
      <c r="BN157" s="3"/>
      <c r="BP157" s="3"/>
      <c r="BQ157" s="51"/>
      <c r="BS157" s="3"/>
      <c r="BT157" s="3"/>
      <c r="BW157" s="3"/>
      <c r="BX157" s="3"/>
      <c r="BZ157" s="3"/>
      <c r="CA157" s="51"/>
      <c r="CC157" s="3"/>
      <c r="CD157" s="3"/>
      <c r="CG157" s="3"/>
      <c r="CK157" s="3"/>
      <c r="CN157" s="3"/>
      <c r="CQ157" s="3"/>
      <c r="CU157" s="3"/>
      <c r="CX157" s="3"/>
    </row>
    <row r="158" spans="1:102" x14ac:dyDescent="0.3">
      <c r="A158" s="151"/>
      <c r="B158" s="2">
        <v>1</v>
      </c>
      <c r="C158" s="6" t="s">
        <v>119</v>
      </c>
      <c r="D158" s="97">
        <v>1.5662799999999999</v>
      </c>
      <c r="E158" s="3" t="s">
        <v>109</v>
      </c>
      <c r="F158" s="95"/>
      <c r="G158" s="3"/>
      <c r="H158" s="51"/>
      <c r="I158" s="3"/>
      <c r="J158" s="3"/>
      <c r="K158" s="3"/>
      <c r="L158" s="51"/>
      <c r="M158" s="51"/>
      <c r="N158" s="51"/>
      <c r="O158" s="3"/>
      <c r="P158" s="3"/>
      <c r="Q158" s="3"/>
      <c r="R158" s="51"/>
      <c r="U158" s="3"/>
      <c r="V158" s="3"/>
      <c r="W158" s="3"/>
      <c r="X158" s="51"/>
      <c r="Z158" s="12"/>
      <c r="AA158" s="12"/>
      <c r="AB158" s="3"/>
      <c r="AC158" s="3"/>
      <c r="AD158" s="12"/>
      <c r="AE158" s="2"/>
      <c r="AF158" s="3"/>
      <c r="AG158" s="3"/>
      <c r="AH158" s="2"/>
      <c r="AI158" s="3"/>
      <c r="AJ158" s="2"/>
      <c r="AK158" s="3"/>
      <c r="AL158" s="3"/>
      <c r="AN158" s="2"/>
      <c r="AO158" s="2"/>
      <c r="AP158" s="3"/>
      <c r="AQ158" s="3"/>
      <c r="AR158" s="2"/>
      <c r="AS158" s="3"/>
      <c r="AT158" s="2"/>
      <c r="AU158" s="3"/>
      <c r="AW158" s="3"/>
      <c r="AX158" s="51"/>
      <c r="AZ158" s="3"/>
      <c r="BA158" s="3"/>
      <c r="BB158" s="51"/>
      <c r="BE158" s="3"/>
      <c r="BF158" s="51"/>
      <c r="BH158" s="3"/>
      <c r="BI158" s="3"/>
      <c r="BJ158" s="51"/>
      <c r="BL158" s="3"/>
      <c r="BM158" s="51"/>
      <c r="BN158" s="3"/>
      <c r="BP158" s="3"/>
      <c r="BQ158" s="51"/>
      <c r="BS158" s="3"/>
      <c r="BT158" s="3"/>
      <c r="BW158" s="3"/>
      <c r="BX158" s="3"/>
      <c r="BZ158" s="3"/>
      <c r="CA158" s="51"/>
      <c r="CC158" s="3"/>
      <c r="CD158" s="3"/>
      <c r="CG158" s="3"/>
      <c r="CK158" s="3"/>
      <c r="CN158" s="3"/>
      <c r="CQ158" s="3"/>
      <c r="CU158" s="3"/>
      <c r="CX158" s="3"/>
    </row>
    <row r="159" spans="1:102" x14ac:dyDescent="0.3">
      <c r="A159" s="151"/>
      <c r="B159" s="2">
        <v>1</v>
      </c>
      <c r="C159" s="6" t="s">
        <v>101</v>
      </c>
      <c r="D159" s="97">
        <v>560</v>
      </c>
      <c r="E159" s="3" t="s">
        <v>102</v>
      </c>
      <c r="F159" s="95">
        <f>D159/D109</f>
        <v>5</v>
      </c>
      <c r="G159" s="3" t="s">
        <v>109</v>
      </c>
      <c r="H159" s="12"/>
      <c r="I159" s="3"/>
      <c r="J159" s="3"/>
      <c r="K159" s="3"/>
      <c r="L159" s="51"/>
      <c r="M159" s="12"/>
      <c r="N159" s="12"/>
      <c r="O159" s="3"/>
      <c r="P159" s="3"/>
      <c r="Q159" s="3"/>
      <c r="R159" s="51"/>
      <c r="U159" s="3"/>
      <c r="V159" s="3"/>
      <c r="W159" s="3"/>
      <c r="X159" s="51"/>
      <c r="AB159" s="3"/>
      <c r="AC159" s="3"/>
      <c r="AF159" s="3"/>
      <c r="AG159" s="3"/>
      <c r="AH159" s="2"/>
      <c r="AI159" s="3"/>
      <c r="AJ159" s="51"/>
      <c r="AK159" s="3"/>
      <c r="AL159" s="3"/>
      <c r="AM159" s="51"/>
      <c r="AN159" s="12"/>
      <c r="AO159" s="12"/>
      <c r="AP159" s="3"/>
      <c r="AQ159" s="3"/>
      <c r="AS159" s="3"/>
      <c r="AT159" s="51"/>
      <c r="AU159" s="3"/>
      <c r="AW159" s="3"/>
      <c r="AX159" s="51"/>
      <c r="AZ159" s="3"/>
      <c r="BA159" s="3"/>
      <c r="BB159" s="51"/>
      <c r="BE159" s="3"/>
      <c r="BF159" s="51"/>
      <c r="BH159" s="3"/>
      <c r="BI159" s="3"/>
      <c r="BJ159" s="51"/>
      <c r="BK159" s="12"/>
      <c r="BL159" s="3"/>
      <c r="BM159" s="51"/>
      <c r="BN159" s="3"/>
      <c r="BP159" s="3"/>
      <c r="BQ159" s="51"/>
      <c r="BS159" s="3"/>
      <c r="BT159" s="3"/>
      <c r="BW159" s="3"/>
      <c r="BX159" s="3"/>
      <c r="BZ159" s="3"/>
      <c r="CA159" s="51"/>
      <c r="CC159" s="3"/>
      <c r="CD159" s="3"/>
      <c r="CG159" s="3"/>
      <c r="CK159" s="3"/>
      <c r="CN159" s="3"/>
      <c r="CQ159" s="3"/>
      <c r="CU159" s="3"/>
      <c r="CX159" s="3"/>
    </row>
    <row r="160" spans="1:102" s="2" customFormat="1" x14ac:dyDescent="0.3">
      <c r="A160" s="151" t="s">
        <v>147</v>
      </c>
      <c r="B160" s="2">
        <v>1</v>
      </c>
      <c r="C160" s="3" t="s">
        <v>124</v>
      </c>
      <c r="D160" s="83">
        <v>80</v>
      </c>
      <c r="E160" s="3" t="s">
        <v>102</v>
      </c>
      <c r="F160" s="101">
        <f>D160/D161</f>
        <v>0.7142857142857143</v>
      </c>
      <c r="G160" s="3" t="s">
        <v>109</v>
      </c>
      <c r="H160" s="83"/>
      <c r="I160" s="3"/>
      <c r="J160" s="3"/>
      <c r="K160" s="3"/>
      <c r="L160" s="83"/>
      <c r="M160" s="83"/>
      <c r="N160" s="83"/>
      <c r="O160" s="3"/>
      <c r="P160" s="3"/>
      <c r="Q160" s="3"/>
      <c r="R160" s="83"/>
      <c r="S160" s="83"/>
      <c r="U160" s="3"/>
      <c r="V160" s="3"/>
      <c r="W160" s="3"/>
      <c r="AB160" s="3"/>
      <c r="AC160" s="3"/>
      <c r="AF160" s="3"/>
      <c r="AG160" s="3"/>
      <c r="AI160" s="3"/>
      <c r="AK160" s="3"/>
      <c r="AL160" s="3"/>
      <c r="AP160" s="3"/>
      <c r="AQ160" s="3"/>
      <c r="AS160" s="3"/>
      <c r="AU160" s="3"/>
      <c r="AW160" s="3"/>
      <c r="AZ160" s="3"/>
      <c r="BA160" s="3"/>
      <c r="BE160" s="3"/>
      <c r="BH160" s="3"/>
      <c r="BI160" s="3"/>
      <c r="BL160" s="3"/>
      <c r="BN160" s="3"/>
      <c r="BP160" s="3"/>
      <c r="BS160" s="3"/>
      <c r="BT160" s="3"/>
      <c r="BW160" s="3"/>
      <c r="BX160" s="3"/>
      <c r="BZ160" s="3"/>
      <c r="CC160" s="3"/>
      <c r="CD160" s="3"/>
      <c r="CG160" s="3"/>
      <c r="CK160" s="3"/>
      <c r="CN160" s="3"/>
      <c r="CQ160" s="3"/>
      <c r="CU160" s="3"/>
      <c r="CX160" s="3"/>
    </row>
    <row r="161" spans="1:102" s="2" customFormat="1" x14ac:dyDescent="0.3">
      <c r="A161" s="151"/>
      <c r="B161" s="2">
        <v>1</v>
      </c>
      <c r="C161" s="3" t="s">
        <v>109</v>
      </c>
      <c r="D161" s="83">
        <v>112</v>
      </c>
      <c r="E161" s="3" t="s">
        <v>102</v>
      </c>
      <c r="F161" s="83"/>
      <c r="G161" s="83"/>
      <c r="H161" s="83"/>
      <c r="I161" s="3"/>
      <c r="J161" s="3"/>
      <c r="K161" s="3"/>
      <c r="L161" s="83"/>
      <c r="M161" s="83"/>
      <c r="N161" s="83"/>
      <c r="O161" s="3"/>
      <c r="P161" s="3"/>
      <c r="Q161" s="3"/>
      <c r="R161" s="83"/>
      <c r="S161" s="83"/>
      <c r="U161" s="3"/>
      <c r="V161" s="3"/>
      <c r="W161" s="3"/>
      <c r="AB161" s="3"/>
      <c r="AC161" s="3"/>
      <c r="AF161" s="3"/>
      <c r="AG161" s="3"/>
      <c r="AI161" s="3"/>
      <c r="AK161" s="3"/>
      <c r="AL161" s="3"/>
      <c r="AP161" s="3"/>
      <c r="AQ161" s="3"/>
      <c r="AS161" s="3"/>
      <c r="AU161" s="3"/>
      <c r="AW161" s="3"/>
      <c r="AZ161" s="3"/>
      <c r="BA161" s="3"/>
      <c r="BE161" s="3"/>
      <c r="BH161" s="3"/>
      <c r="BI161" s="3"/>
      <c r="BL161" s="3"/>
      <c r="BN161" s="3"/>
      <c r="BP161" s="3"/>
      <c r="BS161" s="3"/>
      <c r="BT161" s="3"/>
      <c r="BW161" s="3"/>
      <c r="BX161" s="3"/>
      <c r="BZ161" s="3"/>
      <c r="CC161" s="3"/>
      <c r="CD161" s="3"/>
      <c r="CG161" s="3"/>
      <c r="CK161" s="3"/>
      <c r="CN161" s="3"/>
      <c r="CQ161" s="3"/>
      <c r="CU161" s="3"/>
      <c r="CX161" s="3"/>
    </row>
    <row r="162" spans="1:102" s="2" customFormat="1" x14ac:dyDescent="0.3">
      <c r="A162" s="100" t="s">
        <v>148</v>
      </c>
      <c r="B162" s="2">
        <v>1</v>
      </c>
      <c r="C162" s="6" t="s">
        <v>124</v>
      </c>
      <c r="D162" s="97">
        <v>336</v>
      </c>
      <c r="E162" s="3" t="s">
        <v>102</v>
      </c>
      <c r="F162" s="95">
        <f>D162/D161</f>
        <v>3</v>
      </c>
      <c r="G162" s="3" t="s">
        <v>109</v>
      </c>
      <c r="H162" s="83"/>
      <c r="I162" s="3"/>
      <c r="J162" s="3"/>
      <c r="K162" s="3"/>
      <c r="L162" s="83"/>
      <c r="M162" s="83"/>
      <c r="N162" s="83"/>
      <c r="O162" s="3"/>
      <c r="P162" s="3"/>
      <c r="Q162" s="3"/>
      <c r="R162" s="83"/>
      <c r="S162" s="83"/>
      <c r="U162" s="3"/>
      <c r="V162" s="3"/>
      <c r="W162" s="3"/>
      <c r="AB162" s="3"/>
      <c r="AC162" s="3"/>
      <c r="AF162" s="3"/>
      <c r="AG162" s="3"/>
      <c r="AI162" s="3"/>
      <c r="AK162" s="3"/>
      <c r="AL162" s="3"/>
      <c r="AP162" s="3"/>
      <c r="AQ162" s="3"/>
      <c r="AS162" s="3"/>
      <c r="AU162" s="3"/>
      <c r="AW162" s="3"/>
      <c r="AZ162" s="3"/>
      <c r="BA162" s="3"/>
      <c r="BE162" s="3"/>
      <c r="BH162" s="3"/>
      <c r="BI162" s="3"/>
      <c r="BL162" s="3"/>
      <c r="BN162" s="3"/>
      <c r="BP162" s="3"/>
      <c r="BS162" s="3"/>
      <c r="BT162" s="3"/>
      <c r="BW162" s="3"/>
      <c r="BX162" s="3"/>
      <c r="BZ162" s="3"/>
      <c r="CC162" s="3"/>
      <c r="CD162" s="3"/>
      <c r="CG162" s="3"/>
      <c r="CK162" s="3"/>
      <c r="CN162" s="3"/>
      <c r="CQ162" s="3"/>
      <c r="CU162" s="3"/>
      <c r="CX162" s="3"/>
    </row>
    <row r="163" spans="1:102" s="2" customFormat="1" x14ac:dyDescent="0.3">
      <c r="A163" s="2" t="s">
        <v>149</v>
      </c>
      <c r="B163" s="2">
        <v>1</v>
      </c>
      <c r="C163" s="6" t="s">
        <v>150</v>
      </c>
      <c r="D163" s="97">
        <v>9</v>
      </c>
      <c r="E163" s="3" t="s">
        <v>126</v>
      </c>
      <c r="F163" s="83"/>
      <c r="G163" s="83"/>
      <c r="H163" s="83"/>
      <c r="I163" s="3"/>
      <c r="J163" s="3"/>
      <c r="K163" s="3"/>
      <c r="L163" s="83"/>
      <c r="M163" s="83"/>
      <c r="N163" s="83"/>
      <c r="O163" s="3"/>
      <c r="P163" s="3"/>
      <c r="Q163" s="3"/>
      <c r="R163" s="83"/>
      <c r="S163" s="83"/>
      <c r="U163" s="3"/>
      <c r="V163" s="3"/>
      <c r="W163" s="3"/>
      <c r="AB163" s="3"/>
      <c r="AC163" s="3"/>
      <c r="AF163" s="3"/>
      <c r="AG163" s="3"/>
      <c r="AI163" s="3"/>
      <c r="AK163" s="3"/>
      <c r="AL163" s="3"/>
      <c r="AP163" s="3"/>
      <c r="AQ163" s="3"/>
      <c r="AS163" s="3"/>
      <c r="AU163" s="3"/>
      <c r="AW163" s="3"/>
      <c r="AZ163" s="3"/>
      <c r="BA163" s="3"/>
      <c r="BE163" s="3"/>
      <c r="BH163" s="3"/>
      <c r="BI163" s="3"/>
      <c r="BL163" s="3"/>
      <c r="BN163" s="3"/>
      <c r="BP163" s="3"/>
      <c r="BS163" s="3"/>
      <c r="BT163" s="3"/>
      <c r="BW163" s="3"/>
      <c r="BX163" s="3"/>
      <c r="BZ163" s="3"/>
      <c r="CC163" s="3"/>
      <c r="CD163" s="3"/>
      <c r="CG163" s="3"/>
      <c r="CK163" s="3"/>
      <c r="CN163" s="3"/>
      <c r="CQ163" s="3"/>
      <c r="CU163" s="3"/>
      <c r="CX163" s="3"/>
    </row>
    <row r="164" spans="1:102" s="2" customFormat="1" x14ac:dyDescent="0.3">
      <c r="A164" s="2" t="s">
        <v>64</v>
      </c>
      <c r="B164" s="2">
        <v>1</v>
      </c>
      <c r="C164" s="6" t="s">
        <v>119</v>
      </c>
      <c r="D164" s="97">
        <f>756/3720</f>
        <v>0.20322580645161289</v>
      </c>
      <c r="E164" s="3" t="s">
        <v>109</v>
      </c>
      <c r="F164" s="83"/>
      <c r="G164" s="83"/>
      <c r="H164" s="83"/>
      <c r="I164" s="3"/>
      <c r="J164" s="3"/>
      <c r="K164" s="3"/>
      <c r="L164" s="83"/>
      <c r="M164" s="83"/>
      <c r="N164" s="83"/>
      <c r="O164" s="3"/>
      <c r="P164" s="3"/>
      <c r="Q164" s="3"/>
      <c r="R164" s="83"/>
      <c r="S164" s="83"/>
      <c r="U164" s="3"/>
      <c r="V164" s="3"/>
      <c r="W164" s="3"/>
      <c r="AB164" s="3"/>
      <c r="AC164" s="3"/>
      <c r="AF164" s="3"/>
      <c r="AG164" s="3"/>
      <c r="AI164" s="3"/>
      <c r="AK164" s="3"/>
      <c r="AL164" s="3"/>
      <c r="AP164" s="3"/>
      <c r="AQ164" s="3"/>
      <c r="AS164" s="3"/>
      <c r="AU164" s="3"/>
      <c r="AW164" s="3"/>
      <c r="AZ164" s="3"/>
      <c r="BA164" s="3"/>
      <c r="BE164" s="3"/>
      <c r="BH164" s="3"/>
      <c r="BI164" s="3"/>
      <c r="BL164" s="3"/>
      <c r="BN164" s="3"/>
      <c r="BP164" s="3"/>
      <c r="BS164" s="3"/>
      <c r="BT164" s="3"/>
      <c r="BW164" s="3"/>
      <c r="BX164" s="3"/>
      <c r="BZ164" s="3"/>
      <c r="CC164" s="3"/>
      <c r="CD164" s="3"/>
      <c r="CG164" s="3"/>
      <c r="CK164" s="3"/>
      <c r="CN164" s="3"/>
      <c r="CQ164" s="3"/>
      <c r="CU164" s="3"/>
      <c r="CX164" s="3"/>
    </row>
    <row r="165" spans="1:102" s="2" customFormat="1" x14ac:dyDescent="0.3">
      <c r="A165" s="2" t="s">
        <v>22</v>
      </c>
      <c r="B165" s="2">
        <v>1</v>
      </c>
      <c r="C165" s="6" t="s">
        <v>120</v>
      </c>
      <c r="D165" s="97">
        <f>600/400</f>
        <v>1.5</v>
      </c>
      <c r="E165" s="3" t="s">
        <v>109</v>
      </c>
      <c r="F165" s="83"/>
      <c r="G165" s="83"/>
      <c r="H165" s="83"/>
      <c r="I165" s="3"/>
      <c r="J165" s="3"/>
      <c r="K165" s="3"/>
      <c r="L165" s="83"/>
      <c r="M165" s="83"/>
      <c r="N165" s="83"/>
      <c r="O165" s="3"/>
      <c r="P165" s="3"/>
      <c r="Q165" s="3"/>
      <c r="R165" s="83"/>
      <c r="S165" s="83"/>
      <c r="U165" s="3"/>
      <c r="V165" s="3"/>
      <c r="W165" s="3"/>
      <c r="AB165" s="3"/>
      <c r="AC165" s="3"/>
      <c r="AF165" s="3"/>
      <c r="AG165" s="3"/>
      <c r="AI165" s="3"/>
      <c r="AK165" s="3"/>
      <c r="AL165" s="3"/>
      <c r="AP165" s="3"/>
      <c r="AQ165" s="3"/>
      <c r="AS165" s="3"/>
      <c r="AU165" s="3"/>
      <c r="AW165" s="3"/>
      <c r="AZ165" s="3"/>
      <c r="BA165" s="3"/>
      <c r="BE165" s="3"/>
      <c r="BH165" s="3"/>
      <c r="BI165" s="3"/>
      <c r="BL165" s="3"/>
      <c r="BN165" s="3"/>
      <c r="BP165" s="3"/>
      <c r="BS165" s="3"/>
      <c r="BT165" s="3"/>
      <c r="BW165" s="3"/>
      <c r="BX165" s="3"/>
      <c r="BZ165" s="3"/>
      <c r="CC165" s="3"/>
      <c r="CD165" s="3"/>
      <c r="CG165" s="3"/>
      <c r="CK165" s="3"/>
      <c r="CN165" s="3"/>
      <c r="CQ165" s="3"/>
      <c r="CU165" s="3"/>
      <c r="CX165" s="3"/>
    </row>
    <row r="166" spans="1:102" s="2" customFormat="1" x14ac:dyDescent="0.3">
      <c r="A166" s="2" t="s">
        <v>151</v>
      </c>
      <c r="B166" s="2">
        <v>1</v>
      </c>
      <c r="C166" s="6" t="s">
        <v>124</v>
      </c>
      <c r="D166" s="97">
        <f>600/400</f>
        <v>1.5</v>
      </c>
      <c r="E166" s="3" t="s">
        <v>109</v>
      </c>
      <c r="F166" s="83"/>
      <c r="G166" s="83"/>
      <c r="H166" s="83"/>
      <c r="I166" s="3"/>
      <c r="J166" s="3"/>
      <c r="K166" s="3"/>
      <c r="L166" s="83"/>
      <c r="M166" s="83"/>
      <c r="N166" s="83"/>
      <c r="O166" s="3"/>
      <c r="P166" s="3"/>
      <c r="Q166" s="3"/>
      <c r="R166" s="83"/>
      <c r="S166" s="83"/>
      <c r="U166" s="3"/>
      <c r="V166" s="3"/>
      <c r="W166" s="3"/>
      <c r="AB166" s="3"/>
      <c r="AC166" s="3"/>
      <c r="AF166" s="3"/>
      <c r="AG166" s="3"/>
      <c r="AI166" s="3"/>
      <c r="AK166" s="3"/>
      <c r="AL166" s="3"/>
      <c r="AP166" s="3"/>
      <c r="AQ166" s="3"/>
      <c r="AS166" s="3"/>
      <c r="AU166" s="3"/>
      <c r="AW166" s="3"/>
      <c r="AZ166" s="3"/>
      <c r="BA166" s="3"/>
      <c r="BE166" s="3"/>
      <c r="BH166" s="3"/>
      <c r="BI166" s="3"/>
      <c r="BL166" s="3"/>
      <c r="BN166" s="3"/>
      <c r="BP166" s="3"/>
      <c r="BS166" s="3"/>
      <c r="BT166" s="3"/>
      <c r="BW166" s="3"/>
      <c r="BX166" s="3"/>
      <c r="BZ166" s="3"/>
      <c r="CC166" s="3"/>
      <c r="CD166" s="3"/>
      <c r="CG166" s="3"/>
      <c r="CK166" s="3"/>
      <c r="CN166" s="3"/>
      <c r="CQ166" s="3"/>
      <c r="CU166" s="3"/>
      <c r="CX166" s="3"/>
    </row>
    <row r="167" spans="1:102" s="2" customFormat="1" x14ac:dyDescent="0.3">
      <c r="A167" s="2" t="s">
        <v>152</v>
      </c>
      <c r="B167" s="2">
        <v>1</v>
      </c>
      <c r="C167" s="6" t="s">
        <v>119</v>
      </c>
      <c r="D167" s="97">
        <f>3600/2400</f>
        <v>1.5</v>
      </c>
      <c r="E167" s="3" t="s">
        <v>109</v>
      </c>
      <c r="F167" s="83"/>
      <c r="G167" s="83"/>
      <c r="H167" s="83"/>
      <c r="I167" s="3"/>
      <c r="J167" s="3"/>
      <c r="K167" s="3"/>
      <c r="L167" s="83"/>
      <c r="M167" s="83"/>
      <c r="N167" s="83"/>
      <c r="O167" s="3"/>
      <c r="P167" s="3"/>
      <c r="Q167" s="3"/>
      <c r="R167" s="83"/>
      <c r="S167" s="83"/>
      <c r="U167" s="3"/>
      <c r="V167" s="3"/>
      <c r="W167" s="3"/>
      <c r="AB167" s="3"/>
      <c r="AC167" s="3"/>
      <c r="AF167" s="3"/>
      <c r="AG167" s="3"/>
      <c r="AI167" s="3"/>
      <c r="AK167" s="3"/>
      <c r="AL167" s="3"/>
      <c r="AP167" s="3"/>
      <c r="AQ167" s="3"/>
      <c r="AS167" s="3"/>
      <c r="AU167" s="3"/>
      <c r="AW167" s="3"/>
      <c r="AZ167" s="3"/>
      <c r="BA167" s="3"/>
      <c r="BE167" s="3"/>
      <c r="BH167" s="3"/>
      <c r="BI167" s="3"/>
      <c r="BL167" s="3"/>
      <c r="BN167" s="3"/>
      <c r="BP167" s="3"/>
      <c r="BS167" s="3"/>
      <c r="BT167" s="3"/>
      <c r="BW167" s="3"/>
      <c r="BX167" s="3"/>
      <c r="BZ167" s="3"/>
      <c r="CC167" s="3"/>
      <c r="CD167" s="3"/>
      <c r="CG167" s="3"/>
      <c r="CK167" s="3"/>
      <c r="CN167" s="3"/>
      <c r="CQ167" s="3"/>
      <c r="CU167" s="3"/>
      <c r="CX167" s="3"/>
    </row>
    <row r="168" spans="1:102" x14ac:dyDescent="0.3">
      <c r="A168" s="2" t="s">
        <v>153</v>
      </c>
      <c r="B168" s="2">
        <v>1</v>
      </c>
      <c r="C168" s="6" t="s">
        <v>119</v>
      </c>
      <c r="D168" s="51">
        <v>153.125</v>
      </c>
      <c r="E168" s="3" t="s">
        <v>102</v>
      </c>
      <c r="F168" s="95">
        <f>D168/D109</f>
        <v>1.3671875</v>
      </c>
      <c r="G168" s="3" t="s">
        <v>109</v>
      </c>
      <c r="H168" s="12"/>
      <c r="I168" s="51"/>
      <c r="K168" s="3"/>
      <c r="L168" s="51"/>
      <c r="M168" s="12"/>
      <c r="N168" s="12"/>
      <c r="O168" s="51"/>
      <c r="Q168" s="3"/>
      <c r="R168" s="51"/>
      <c r="W168" s="3"/>
      <c r="X168" s="51"/>
      <c r="AB168" s="3"/>
      <c r="AC168" s="51"/>
      <c r="AF168" s="3"/>
      <c r="AG168" s="51"/>
      <c r="AH168" s="2"/>
      <c r="AI168" s="3"/>
      <c r="AJ168" s="51"/>
      <c r="AL168" s="3"/>
      <c r="AM168" s="51"/>
      <c r="AN168" s="12"/>
      <c r="AO168" s="12"/>
      <c r="AP168" s="3"/>
      <c r="AQ168" s="51"/>
      <c r="AS168" s="3"/>
      <c r="AT168" s="51"/>
      <c r="AW168" s="3"/>
      <c r="AX168" s="51"/>
      <c r="BA168" s="3"/>
      <c r="BB168" s="51"/>
      <c r="BE168" s="3"/>
      <c r="BF168" s="51"/>
      <c r="BI168" s="3"/>
      <c r="BJ168" s="51"/>
      <c r="BK168" s="12"/>
      <c r="BL168" s="3"/>
      <c r="BM168" s="51"/>
      <c r="BP168" s="3"/>
      <c r="BQ168" s="51"/>
      <c r="BS168" s="3"/>
      <c r="BT168" s="51"/>
      <c r="BW168" s="3"/>
      <c r="BX168" s="51"/>
      <c r="BZ168" s="3"/>
      <c r="CA168" s="51"/>
      <c r="CC168" s="3"/>
      <c r="CD168" s="51"/>
    </row>
    <row r="169" spans="1:102" s="2" customFormat="1" x14ac:dyDescent="0.3">
      <c r="A169" s="151" t="s">
        <v>74</v>
      </c>
      <c r="B169" s="2">
        <v>1</v>
      </c>
      <c r="C169" s="3" t="s">
        <v>139</v>
      </c>
      <c r="D169" s="97">
        <v>1</v>
      </c>
      <c r="E169" s="3" t="s">
        <v>124</v>
      </c>
      <c r="F169" s="95">
        <f>F170</f>
        <v>3.0446428571428572</v>
      </c>
      <c r="G169" s="3" t="s">
        <v>109</v>
      </c>
      <c r="I169" s="51"/>
      <c r="J169" s="51"/>
      <c r="K169" s="3"/>
      <c r="O169" s="51"/>
      <c r="P169" s="51"/>
      <c r="Q169" s="3"/>
      <c r="U169" s="51"/>
      <c r="V169" s="51"/>
      <c r="W169" s="3"/>
      <c r="AB169" s="3"/>
      <c r="AC169" s="51"/>
      <c r="AF169" s="3"/>
      <c r="AG169" s="51"/>
      <c r="AI169" s="3"/>
      <c r="AK169" s="51"/>
      <c r="AL169" s="3"/>
      <c r="AP169" s="3"/>
      <c r="AQ169" s="51"/>
      <c r="AS169" s="3"/>
      <c r="AU169" s="51"/>
      <c r="AW169" s="3"/>
      <c r="AZ169" s="51"/>
      <c r="BA169" s="3"/>
      <c r="BE169" s="3"/>
      <c r="BH169" s="51"/>
      <c r="BI169" s="3"/>
      <c r="BL169" s="3"/>
      <c r="BN169" s="51"/>
      <c r="BP169" s="3"/>
      <c r="BS169" s="3"/>
      <c r="BT169" s="51"/>
      <c r="BW169" s="3"/>
      <c r="BX169" s="51"/>
      <c r="BZ169" s="3"/>
      <c r="CC169" s="3"/>
      <c r="CD169" s="51"/>
      <c r="CG169" s="51"/>
      <c r="CK169" s="51"/>
      <c r="CN169" s="51"/>
      <c r="CQ169" s="51"/>
      <c r="CU169" s="51"/>
      <c r="CX169" s="51"/>
    </row>
    <row r="170" spans="1:102" s="2" customFormat="1" x14ac:dyDescent="0.3">
      <c r="A170" s="151"/>
      <c r="B170" s="2">
        <v>1</v>
      </c>
      <c r="C170" s="3" t="s">
        <v>124</v>
      </c>
      <c r="D170" s="97">
        <f>(355+327)/2</f>
        <v>341</v>
      </c>
      <c r="E170" s="3" t="s">
        <v>102</v>
      </c>
      <c r="F170" s="95">
        <f>D170/D109</f>
        <v>3.0446428571428572</v>
      </c>
      <c r="G170" s="3" t="s">
        <v>109</v>
      </c>
      <c r="I170" s="51"/>
      <c r="J170" s="51"/>
      <c r="K170" s="3"/>
      <c r="O170" s="51"/>
      <c r="P170" s="51"/>
      <c r="Q170" s="3"/>
      <c r="U170" s="51"/>
      <c r="V170" s="51"/>
      <c r="W170" s="3"/>
      <c r="AB170" s="3"/>
      <c r="AC170" s="51"/>
      <c r="AF170" s="3"/>
      <c r="AG170" s="51"/>
      <c r="AI170" s="3"/>
      <c r="AK170" s="51"/>
      <c r="AL170" s="3"/>
      <c r="AP170" s="3"/>
      <c r="AQ170" s="51"/>
      <c r="AS170" s="3"/>
      <c r="AU170" s="51"/>
      <c r="AW170" s="3"/>
      <c r="AZ170" s="51"/>
      <c r="BA170" s="3"/>
      <c r="BE170" s="3"/>
      <c r="BH170" s="51"/>
      <c r="BI170" s="3"/>
      <c r="BL170" s="3"/>
      <c r="BN170" s="51"/>
      <c r="BP170" s="3"/>
      <c r="BS170" s="3"/>
      <c r="BT170" s="51"/>
      <c r="BW170" s="3"/>
      <c r="BX170" s="51"/>
      <c r="BZ170" s="3"/>
      <c r="CC170" s="3"/>
      <c r="CD170" s="51"/>
      <c r="CG170" s="51"/>
      <c r="CK170" s="51"/>
      <c r="CN170" s="51"/>
      <c r="CQ170" s="51"/>
      <c r="CU170" s="51"/>
      <c r="CX170" s="51"/>
    </row>
    <row r="171" spans="1:102" s="2" customFormat="1" x14ac:dyDescent="0.3">
      <c r="A171" s="151"/>
      <c r="B171" s="2">
        <v>1</v>
      </c>
      <c r="C171" s="6" t="s">
        <v>154</v>
      </c>
      <c r="D171" s="97">
        <f>(2.2+2.5)/2</f>
        <v>2.35</v>
      </c>
      <c r="E171" s="3" t="s">
        <v>102</v>
      </c>
      <c r="F171" s="95">
        <f>D171/D109</f>
        <v>2.0982142857142859E-2</v>
      </c>
      <c r="G171" s="3" t="s">
        <v>109</v>
      </c>
      <c r="I171" s="51"/>
      <c r="J171" s="51"/>
      <c r="K171" s="3"/>
      <c r="O171" s="51"/>
      <c r="P171" s="51"/>
      <c r="Q171" s="3"/>
      <c r="U171" s="51"/>
      <c r="V171" s="51"/>
      <c r="W171" s="3"/>
      <c r="AB171" s="3"/>
      <c r="AC171" s="51"/>
      <c r="AF171" s="3"/>
      <c r="AG171" s="51"/>
      <c r="AI171" s="3"/>
      <c r="AK171" s="51"/>
      <c r="AL171" s="3"/>
      <c r="AP171" s="3"/>
      <c r="AQ171" s="51"/>
      <c r="AS171" s="3"/>
      <c r="AU171" s="51"/>
      <c r="AW171" s="3"/>
      <c r="AZ171" s="51"/>
      <c r="BA171" s="3"/>
      <c r="BE171" s="3"/>
      <c r="BH171" s="51"/>
      <c r="BI171" s="3"/>
      <c r="BL171" s="3"/>
      <c r="BN171" s="51"/>
      <c r="BP171" s="3"/>
      <c r="BS171" s="3"/>
      <c r="BT171" s="51"/>
      <c r="BW171" s="3"/>
      <c r="BX171" s="51"/>
      <c r="BZ171" s="3"/>
      <c r="CC171" s="3"/>
      <c r="CD171" s="51"/>
      <c r="CG171" s="51"/>
      <c r="CK171" s="51"/>
      <c r="CN171" s="51"/>
      <c r="CQ171" s="51"/>
      <c r="CU171" s="51"/>
      <c r="CX171" s="51"/>
    </row>
    <row r="172" spans="1:102" s="17" customFormat="1" x14ac:dyDescent="0.3">
      <c r="A172" s="2" t="s">
        <v>155</v>
      </c>
      <c r="B172" s="2">
        <v>1</v>
      </c>
      <c r="C172" s="6" t="s">
        <v>139</v>
      </c>
      <c r="D172" s="97">
        <v>640</v>
      </c>
      <c r="E172" s="3" t="s">
        <v>102</v>
      </c>
      <c r="F172" s="95">
        <f>D172/D109</f>
        <v>5.7142857142857144</v>
      </c>
      <c r="G172" s="3" t="s">
        <v>109</v>
      </c>
      <c r="H172" s="13"/>
      <c r="I172" s="51"/>
      <c r="J172" s="51"/>
      <c r="K172" s="3"/>
      <c r="L172" s="14"/>
      <c r="M172" s="13"/>
      <c r="N172" s="13"/>
      <c r="O172" s="51"/>
      <c r="P172" s="51"/>
      <c r="Q172" s="3"/>
      <c r="R172" s="14"/>
      <c r="S172" s="13"/>
      <c r="T172" s="13"/>
      <c r="U172" s="51"/>
      <c r="V172" s="51"/>
      <c r="W172" s="3"/>
      <c r="X172" s="13"/>
      <c r="Y172" s="14"/>
      <c r="Z172" s="13"/>
      <c r="AA172" s="13"/>
      <c r="AB172" s="3"/>
      <c r="AC172" s="51"/>
      <c r="AD172" s="13"/>
      <c r="AE172" s="13"/>
      <c r="AF172" s="3"/>
      <c r="AG172" s="51"/>
      <c r="AH172" s="14"/>
      <c r="AI172" s="3"/>
      <c r="AJ172" s="13"/>
      <c r="AK172" s="51"/>
      <c r="AL172" s="3"/>
      <c r="AM172" s="15"/>
      <c r="AN172" s="13"/>
      <c r="AO172" s="16"/>
      <c r="AP172" s="3"/>
      <c r="AQ172" s="51"/>
      <c r="AR172" s="13"/>
      <c r="AS172" s="3"/>
      <c r="AT172" s="14"/>
      <c r="AU172" s="51"/>
      <c r="AV172" s="13"/>
      <c r="AW172" s="3"/>
      <c r="AX172" s="13"/>
      <c r="AY172" s="13"/>
      <c r="AZ172" s="51"/>
      <c r="BA172" s="3"/>
      <c r="BB172" s="14"/>
      <c r="BC172" s="13"/>
      <c r="BD172" s="13"/>
      <c r="BE172" s="3"/>
      <c r="BF172" s="14"/>
      <c r="BG172" s="13"/>
      <c r="BH172" s="51"/>
      <c r="BI172" s="3"/>
      <c r="BJ172" s="14"/>
      <c r="BK172" s="13"/>
      <c r="BL172" s="3"/>
      <c r="BM172" s="14"/>
      <c r="BN172" s="51"/>
      <c r="BO172" s="13"/>
      <c r="BP172" s="3"/>
      <c r="BQ172" s="16"/>
      <c r="BR172" s="13"/>
      <c r="BS172" s="3"/>
      <c r="BT172" s="51"/>
      <c r="BW172" s="3"/>
      <c r="BX172" s="51"/>
      <c r="BZ172" s="3"/>
      <c r="CC172" s="3"/>
      <c r="CD172" s="51"/>
      <c r="CG172" s="51"/>
      <c r="CK172" s="51"/>
      <c r="CN172" s="51"/>
      <c r="CQ172" s="51"/>
      <c r="CU172" s="51"/>
      <c r="CX172" s="51"/>
    </row>
    <row r="173" spans="1:102" s="17" customFormat="1" x14ac:dyDescent="0.3">
      <c r="A173" s="151" t="s">
        <v>28</v>
      </c>
      <c r="B173" s="2">
        <v>1</v>
      </c>
      <c r="C173" s="6" t="s">
        <v>156</v>
      </c>
      <c r="D173" s="97">
        <v>196</v>
      </c>
      <c r="E173" s="3" t="s">
        <v>102</v>
      </c>
      <c r="F173" s="95">
        <f>D173/D109</f>
        <v>1.75</v>
      </c>
      <c r="G173" s="3" t="s">
        <v>109</v>
      </c>
      <c r="H173" s="13"/>
      <c r="I173" s="51"/>
      <c r="J173" s="51"/>
      <c r="K173" s="3"/>
      <c r="L173" s="13"/>
      <c r="M173" s="16"/>
      <c r="N173" s="13"/>
      <c r="O173" s="51"/>
      <c r="P173" s="51"/>
      <c r="Q173" s="3"/>
      <c r="R173" s="13"/>
      <c r="S173" s="16"/>
      <c r="T173" s="13"/>
      <c r="U173" s="51"/>
      <c r="V173" s="51"/>
      <c r="W173" s="3"/>
      <c r="X173" s="13"/>
      <c r="Y173" s="13"/>
      <c r="Z173" s="16"/>
      <c r="AA173" s="16"/>
      <c r="AB173" s="3"/>
      <c r="AC173" s="51"/>
      <c r="AD173" s="13"/>
      <c r="AE173" s="13"/>
      <c r="AF173" s="3"/>
      <c r="AG173" s="51"/>
      <c r="AH173" s="13"/>
      <c r="AI173" s="3"/>
      <c r="AJ173" s="16"/>
      <c r="AK173" s="51"/>
      <c r="AL173" s="3"/>
      <c r="AM173" s="13"/>
      <c r="AO173" s="13"/>
      <c r="AP173" s="3"/>
      <c r="AQ173" s="51"/>
      <c r="AR173" s="16"/>
      <c r="AS173" s="3"/>
      <c r="AT173" s="13"/>
      <c r="AU173" s="51"/>
      <c r="AV173" s="16"/>
      <c r="AW173" s="3"/>
      <c r="AX173" s="13"/>
      <c r="AY173" s="13"/>
      <c r="AZ173" s="51"/>
      <c r="BA173" s="3"/>
      <c r="BB173" s="13"/>
      <c r="BC173" s="16"/>
      <c r="BD173" s="16"/>
      <c r="BE173" s="3"/>
      <c r="BF173" s="13"/>
      <c r="BG173" s="16"/>
      <c r="BH173" s="51"/>
      <c r="BI173" s="3"/>
      <c r="BJ173" s="13"/>
      <c r="BK173" s="14"/>
      <c r="BL173" s="3"/>
      <c r="BM173" s="13"/>
      <c r="BN173" s="51"/>
      <c r="BO173" s="16"/>
      <c r="BP173" s="3"/>
      <c r="BQ173" s="13"/>
      <c r="BR173" s="16"/>
      <c r="BS173" s="3"/>
      <c r="BT173" s="51"/>
      <c r="BU173" s="13"/>
      <c r="BW173" s="3"/>
      <c r="BX173" s="51"/>
      <c r="BZ173" s="3"/>
      <c r="CC173" s="3"/>
      <c r="CD173" s="51"/>
      <c r="CG173" s="51"/>
      <c r="CK173" s="51"/>
      <c r="CN173" s="51"/>
      <c r="CQ173" s="51"/>
      <c r="CU173" s="51"/>
      <c r="CX173" s="51"/>
    </row>
    <row r="174" spans="1:102" ht="13.8" customHeight="1" x14ac:dyDescent="0.3">
      <c r="A174" s="151"/>
      <c r="B174" s="2">
        <v>1</v>
      </c>
      <c r="C174" s="6" t="s">
        <v>157</v>
      </c>
      <c r="D174" s="97">
        <v>280</v>
      </c>
      <c r="E174" s="3" t="s">
        <v>102</v>
      </c>
      <c r="F174" s="95">
        <f>D174/D109</f>
        <v>2.5</v>
      </c>
      <c r="G174" s="3" t="s">
        <v>109</v>
      </c>
      <c r="H174" s="51"/>
      <c r="I174" s="51"/>
      <c r="K174" s="3"/>
      <c r="L174" s="51"/>
      <c r="M174" s="51"/>
      <c r="N174" s="51"/>
      <c r="O174" s="51"/>
      <c r="Q174" s="3"/>
      <c r="R174" s="51"/>
      <c r="W174" s="3"/>
      <c r="X174" s="51"/>
      <c r="AB174" s="3"/>
      <c r="AC174" s="51"/>
      <c r="AF174" s="3"/>
      <c r="AG174" s="51"/>
      <c r="AI174" s="3"/>
      <c r="AJ174" s="51"/>
      <c r="AL174" s="3"/>
      <c r="AM174" s="51"/>
      <c r="AP174" s="3"/>
      <c r="AQ174" s="51"/>
      <c r="AS174" s="3"/>
      <c r="AT174" s="51"/>
      <c r="AW174" s="3"/>
      <c r="AX174" s="51"/>
      <c r="BA174" s="3"/>
      <c r="BB174" s="51"/>
      <c r="BE174" s="3"/>
      <c r="BF174" s="51"/>
      <c r="BI174" s="3"/>
      <c r="BJ174" s="51"/>
      <c r="BL174" s="3"/>
      <c r="BM174" s="51"/>
      <c r="BP174" s="3"/>
      <c r="BQ174" s="51"/>
      <c r="BS174" s="3"/>
      <c r="BT174" s="51"/>
      <c r="BW174" s="3"/>
      <c r="BX174" s="51"/>
      <c r="BZ174" s="3"/>
      <c r="CA174" s="51"/>
      <c r="CC174" s="3"/>
      <c r="CD174" s="51"/>
    </row>
    <row r="175" spans="1:102" x14ac:dyDescent="0.3">
      <c r="A175" s="9" t="s">
        <v>158</v>
      </c>
      <c r="B175" s="2">
        <v>1</v>
      </c>
      <c r="C175" s="6" t="s">
        <v>120</v>
      </c>
      <c r="D175" s="97">
        <v>112</v>
      </c>
      <c r="E175" s="3" t="s">
        <v>102</v>
      </c>
      <c r="F175" s="95">
        <f>D175/D109</f>
        <v>1</v>
      </c>
      <c r="G175" s="3" t="s">
        <v>109</v>
      </c>
      <c r="H175" s="51"/>
      <c r="I175" s="51"/>
      <c r="K175" s="3"/>
      <c r="L175" s="51"/>
      <c r="M175" s="51"/>
      <c r="N175" s="51"/>
      <c r="O175" s="51"/>
      <c r="Q175" s="3"/>
      <c r="R175" s="51"/>
      <c r="W175" s="3"/>
      <c r="X175" s="51"/>
      <c r="AB175" s="3"/>
      <c r="AC175" s="51"/>
      <c r="AF175" s="3"/>
      <c r="AG175" s="51"/>
      <c r="AI175" s="3"/>
      <c r="AJ175" s="51"/>
      <c r="AL175" s="3"/>
      <c r="AM175" s="51"/>
      <c r="AP175" s="3"/>
      <c r="AQ175" s="51"/>
      <c r="AS175" s="3"/>
      <c r="AT175" s="51"/>
      <c r="AW175" s="3"/>
      <c r="AX175" s="51"/>
      <c r="BA175" s="3"/>
      <c r="BB175" s="51"/>
      <c r="BE175" s="3"/>
      <c r="BF175" s="51"/>
      <c r="BI175" s="3"/>
      <c r="BJ175" s="51"/>
      <c r="BL175" s="3"/>
      <c r="BM175" s="51"/>
      <c r="BP175" s="3"/>
      <c r="BQ175" s="51"/>
      <c r="BS175" s="3"/>
      <c r="BT175" s="51"/>
      <c r="BW175" s="3"/>
      <c r="BX175" s="51"/>
      <c r="BZ175" s="3"/>
      <c r="CA175" s="51"/>
      <c r="CC175" s="3"/>
      <c r="CD175" s="51"/>
    </row>
    <row r="176" spans="1:102" x14ac:dyDescent="0.3">
      <c r="A176" s="9" t="s">
        <v>159</v>
      </c>
      <c r="B176" s="2">
        <v>1</v>
      </c>
      <c r="C176" s="6" t="s">
        <v>124</v>
      </c>
      <c r="D176" s="97">
        <v>0.67513000000000001</v>
      </c>
      <c r="E176" s="3" t="s">
        <v>109</v>
      </c>
      <c r="F176" s="95"/>
      <c r="G176" s="3"/>
      <c r="H176" s="51"/>
      <c r="I176" s="51"/>
      <c r="K176" s="3"/>
      <c r="L176" s="51"/>
      <c r="M176" s="51"/>
      <c r="N176" s="51"/>
      <c r="O176" s="51"/>
      <c r="Q176" s="3"/>
      <c r="R176" s="51"/>
      <c r="W176" s="3"/>
      <c r="X176" s="51"/>
      <c r="AB176" s="3"/>
      <c r="AC176" s="51"/>
      <c r="AF176" s="3"/>
      <c r="AG176" s="51"/>
      <c r="AI176" s="3"/>
      <c r="AJ176" s="51"/>
      <c r="AL176" s="3"/>
      <c r="AM176" s="51"/>
      <c r="AP176" s="3"/>
      <c r="AQ176" s="51"/>
      <c r="AS176" s="3"/>
      <c r="AT176" s="51"/>
      <c r="AW176" s="3"/>
      <c r="AX176" s="51"/>
      <c r="BA176" s="3"/>
      <c r="BB176" s="51"/>
      <c r="BE176" s="3"/>
      <c r="BF176" s="51"/>
      <c r="BI176" s="3"/>
      <c r="BJ176" s="51"/>
      <c r="BL176" s="3"/>
      <c r="BM176" s="51"/>
      <c r="BP176" s="3"/>
      <c r="BQ176" s="51"/>
      <c r="BS176" s="3"/>
      <c r="BT176" s="51"/>
      <c r="BW176" s="3"/>
      <c r="BX176" s="51"/>
      <c r="BZ176" s="3"/>
      <c r="CA176" s="51"/>
      <c r="CC176" s="3"/>
      <c r="CD176" s="51"/>
    </row>
    <row r="177" spans="1:82" x14ac:dyDescent="0.3">
      <c r="A177" s="140" t="s">
        <v>7</v>
      </c>
      <c r="B177" s="2">
        <v>1</v>
      </c>
      <c r="C177" s="6" t="s">
        <v>144</v>
      </c>
      <c r="D177" s="97">
        <v>2.39975</v>
      </c>
      <c r="E177" s="3" t="s">
        <v>109</v>
      </c>
      <c r="F177" s="95"/>
      <c r="G177" s="3"/>
      <c r="H177" s="51"/>
      <c r="I177" s="51"/>
      <c r="K177" s="3"/>
      <c r="L177" s="51"/>
      <c r="M177" s="51"/>
      <c r="N177" s="51"/>
      <c r="O177" s="51"/>
      <c r="Q177" s="3"/>
      <c r="R177" s="51"/>
      <c r="W177" s="3"/>
      <c r="X177" s="51"/>
      <c r="AB177" s="3"/>
      <c r="AC177" s="51"/>
      <c r="AF177" s="3"/>
      <c r="AG177" s="51"/>
      <c r="AI177" s="3"/>
      <c r="AJ177" s="51"/>
      <c r="AL177" s="3"/>
      <c r="AM177" s="51"/>
      <c r="AP177" s="3"/>
      <c r="AQ177" s="51"/>
      <c r="AS177" s="3"/>
      <c r="AT177" s="51"/>
      <c r="AW177" s="3"/>
      <c r="AX177" s="51"/>
      <c r="BA177" s="3"/>
      <c r="BB177" s="51"/>
      <c r="BE177" s="3"/>
      <c r="BF177" s="51"/>
      <c r="BI177" s="3"/>
      <c r="BJ177" s="51"/>
      <c r="BL177" s="3"/>
      <c r="BM177" s="51"/>
      <c r="BP177" s="3"/>
      <c r="BQ177" s="51"/>
      <c r="BS177" s="3"/>
      <c r="BT177" s="51"/>
      <c r="BW177" s="3"/>
      <c r="BX177" s="51"/>
      <c r="BZ177" s="3"/>
      <c r="CA177" s="51"/>
      <c r="CC177" s="3"/>
      <c r="CD177" s="51"/>
    </row>
    <row r="178" spans="1:82" x14ac:dyDescent="0.3">
      <c r="A178" s="140" t="s">
        <v>302</v>
      </c>
      <c r="B178" s="2">
        <v>1</v>
      </c>
      <c r="C178" s="6" t="s">
        <v>119</v>
      </c>
      <c r="D178" s="97">
        <v>746.66600000000005</v>
      </c>
      <c r="E178" s="3" t="s">
        <v>102</v>
      </c>
      <c r="F178" s="95">
        <f>D178/D109</f>
        <v>6.6666607142857144</v>
      </c>
      <c r="G178" s="3" t="s">
        <v>109</v>
      </c>
      <c r="H178" s="51"/>
      <c r="I178" s="51"/>
      <c r="K178" s="3"/>
      <c r="L178" s="51"/>
      <c r="M178" s="51"/>
      <c r="N178" s="51"/>
      <c r="O178" s="51"/>
      <c r="Q178" s="3"/>
      <c r="R178" s="51"/>
      <c r="W178" s="3"/>
      <c r="X178" s="51"/>
      <c r="AB178" s="3"/>
      <c r="AC178" s="51"/>
      <c r="AF178" s="3"/>
      <c r="AG178" s="51"/>
      <c r="AI178" s="3"/>
      <c r="AJ178" s="51"/>
      <c r="AL178" s="3"/>
      <c r="AM178" s="51"/>
      <c r="AP178" s="3"/>
      <c r="AQ178" s="51"/>
      <c r="AS178" s="3"/>
      <c r="AT178" s="51"/>
      <c r="AW178" s="3"/>
      <c r="AX178" s="51"/>
      <c r="BA178" s="3"/>
      <c r="BB178" s="51"/>
      <c r="BE178" s="3"/>
      <c r="BF178" s="51"/>
      <c r="BI178" s="3"/>
      <c r="BJ178" s="51"/>
      <c r="BL178" s="3"/>
      <c r="BM178" s="51"/>
      <c r="BP178" s="3"/>
      <c r="BQ178" s="51"/>
      <c r="BS178" s="3"/>
      <c r="BT178" s="51"/>
      <c r="BW178" s="3"/>
      <c r="BX178" s="51"/>
      <c r="BZ178" s="3"/>
      <c r="CA178" s="51"/>
      <c r="CC178" s="3"/>
      <c r="CD178" s="51"/>
    </row>
    <row r="179" spans="1:82" x14ac:dyDescent="0.3">
      <c r="A179" s="140" t="s">
        <v>303</v>
      </c>
      <c r="B179" s="2">
        <v>1</v>
      </c>
      <c r="C179" s="6" t="s">
        <v>124</v>
      </c>
      <c r="D179" s="97">
        <v>250</v>
      </c>
      <c r="E179" s="3" t="s">
        <v>102</v>
      </c>
      <c r="F179" s="95">
        <f>D179/D109</f>
        <v>2.2321428571428572</v>
      </c>
      <c r="G179" s="3" t="s">
        <v>109</v>
      </c>
      <c r="H179" s="51"/>
      <c r="I179" s="51"/>
      <c r="K179" s="3"/>
      <c r="L179" s="51"/>
      <c r="M179" s="51"/>
      <c r="N179" s="51"/>
      <c r="O179" s="51"/>
      <c r="Q179" s="3"/>
      <c r="R179" s="51"/>
      <c r="W179" s="3"/>
      <c r="X179" s="51"/>
      <c r="AB179" s="3"/>
      <c r="AC179" s="51"/>
      <c r="AF179" s="3"/>
      <c r="AG179" s="51"/>
      <c r="AI179" s="3"/>
      <c r="AJ179" s="51"/>
      <c r="AL179" s="3"/>
      <c r="AM179" s="51"/>
      <c r="AP179" s="3"/>
      <c r="AQ179" s="51"/>
      <c r="AS179" s="3"/>
      <c r="AT179" s="51"/>
      <c r="AW179" s="3"/>
      <c r="AX179" s="51"/>
      <c r="BA179" s="3"/>
      <c r="BB179" s="51"/>
      <c r="BE179" s="3"/>
      <c r="BF179" s="51"/>
      <c r="BI179" s="3"/>
      <c r="BJ179" s="51"/>
      <c r="BL179" s="3"/>
      <c r="BM179" s="51"/>
      <c r="BP179" s="3"/>
      <c r="BQ179" s="51"/>
      <c r="BS179" s="3"/>
      <c r="BT179" s="51"/>
      <c r="BW179" s="3"/>
      <c r="BX179" s="51"/>
      <c r="BZ179" s="3"/>
      <c r="CA179" s="51"/>
      <c r="CC179" s="3"/>
      <c r="CD179" s="51"/>
    </row>
    <row r="180" spans="1:82" x14ac:dyDescent="0.3">
      <c r="A180" s="140" t="s">
        <v>158</v>
      </c>
      <c r="B180" s="2">
        <v>1</v>
      </c>
      <c r="C180" s="6" t="s">
        <v>120</v>
      </c>
      <c r="D180" s="97">
        <v>112</v>
      </c>
      <c r="E180" s="3" t="s">
        <v>102</v>
      </c>
      <c r="F180" s="95">
        <f>D180/D109</f>
        <v>1</v>
      </c>
      <c r="G180" s="3" t="s">
        <v>109</v>
      </c>
      <c r="H180" s="51"/>
      <c r="I180" s="51"/>
      <c r="K180" s="3"/>
      <c r="L180" s="51"/>
      <c r="M180" s="51"/>
      <c r="N180" s="51"/>
      <c r="O180" s="51"/>
      <c r="Q180" s="3"/>
      <c r="R180" s="51"/>
      <c r="W180" s="3"/>
      <c r="X180" s="51"/>
      <c r="AB180" s="3"/>
      <c r="AC180" s="51"/>
      <c r="AF180" s="3"/>
      <c r="AG180" s="51"/>
      <c r="AI180" s="3"/>
      <c r="AJ180" s="51"/>
      <c r="AL180" s="3"/>
      <c r="AM180" s="51"/>
      <c r="AP180" s="3"/>
      <c r="AQ180" s="51"/>
      <c r="AS180" s="3"/>
      <c r="AT180" s="51"/>
      <c r="AW180" s="3"/>
      <c r="AX180" s="51"/>
      <c r="BA180" s="3"/>
      <c r="BB180" s="51"/>
      <c r="BE180" s="3"/>
      <c r="BF180" s="51"/>
      <c r="BI180" s="3"/>
      <c r="BJ180" s="51"/>
      <c r="BL180" s="3"/>
      <c r="BM180" s="51"/>
      <c r="BP180" s="3"/>
      <c r="BQ180" s="51"/>
      <c r="BS180" s="3"/>
      <c r="BT180" s="51"/>
      <c r="BW180" s="3"/>
      <c r="BX180" s="51"/>
      <c r="BZ180" s="3"/>
      <c r="CA180" s="51"/>
      <c r="CC180" s="3"/>
      <c r="CD180" s="51"/>
    </row>
    <row r="181" spans="1:82" x14ac:dyDescent="0.3">
      <c r="A181" s="162" t="s">
        <v>272</v>
      </c>
      <c r="B181" s="2">
        <v>1</v>
      </c>
      <c r="C181" s="6" t="s">
        <v>124</v>
      </c>
      <c r="D181" s="97">
        <v>227</v>
      </c>
      <c r="E181" s="3" t="s">
        <v>102</v>
      </c>
      <c r="F181" s="95">
        <f>D181/D109</f>
        <v>2.0267857142857144</v>
      </c>
      <c r="G181" s="3" t="s">
        <v>109</v>
      </c>
      <c r="H181" s="51"/>
      <c r="I181" s="51"/>
      <c r="K181" s="3"/>
      <c r="L181" s="51"/>
      <c r="M181" s="51"/>
      <c r="N181" s="51"/>
      <c r="O181" s="51"/>
      <c r="Q181" s="3"/>
      <c r="R181" s="51"/>
      <c r="W181" s="3"/>
      <c r="X181" s="51"/>
      <c r="AB181" s="3"/>
      <c r="AC181" s="51"/>
      <c r="AF181" s="3"/>
      <c r="AG181" s="51"/>
      <c r="AI181" s="3"/>
      <c r="AJ181" s="51"/>
      <c r="AL181" s="3"/>
      <c r="AM181" s="51"/>
      <c r="AP181" s="3"/>
      <c r="AQ181" s="51"/>
      <c r="AS181" s="3"/>
      <c r="AT181" s="51"/>
      <c r="AW181" s="3"/>
      <c r="AX181" s="51"/>
      <c r="BA181" s="3"/>
      <c r="BB181" s="51"/>
      <c r="BE181" s="3"/>
      <c r="BF181" s="51"/>
      <c r="BI181" s="3"/>
      <c r="BJ181" s="51"/>
      <c r="BL181" s="3"/>
      <c r="BM181" s="51"/>
      <c r="BP181" s="3"/>
      <c r="BQ181" s="51"/>
      <c r="BS181" s="3"/>
      <c r="BT181" s="51"/>
      <c r="BW181" s="3"/>
      <c r="BX181" s="51"/>
      <c r="BZ181" s="3"/>
      <c r="CA181" s="51"/>
      <c r="CC181" s="3"/>
      <c r="CD181" s="51"/>
    </row>
    <row r="182" spans="1:82" x14ac:dyDescent="0.3">
      <c r="A182" s="162"/>
      <c r="B182" s="51">
        <v>1</v>
      </c>
      <c r="C182" s="3" t="s">
        <v>144</v>
      </c>
      <c r="D182" s="51">
        <v>746.66700000000003</v>
      </c>
      <c r="E182" s="3" t="s">
        <v>102</v>
      </c>
      <c r="F182" s="97">
        <f>D182/D109</f>
        <v>6.6666696428571433</v>
      </c>
      <c r="G182" s="3" t="s">
        <v>109</v>
      </c>
      <c r="I182" s="51"/>
      <c r="K182" s="12"/>
      <c r="L182" s="2"/>
      <c r="O182" s="51"/>
      <c r="Q182" s="12"/>
      <c r="R182" s="51"/>
      <c r="W182" s="12"/>
      <c r="X182" s="51"/>
      <c r="AB182" s="12"/>
      <c r="AC182" s="51"/>
      <c r="AF182" s="12"/>
      <c r="AG182" s="51"/>
      <c r="AI182" s="12"/>
      <c r="AJ182" s="51"/>
      <c r="AL182" s="12"/>
      <c r="AM182" s="51"/>
      <c r="AP182" s="12"/>
      <c r="AQ182" s="51"/>
      <c r="AS182" s="12"/>
      <c r="AT182" s="51"/>
      <c r="AW182" s="12"/>
      <c r="AX182" s="51"/>
      <c r="BA182" s="12"/>
      <c r="BB182" s="51"/>
      <c r="BE182" s="12"/>
      <c r="BF182" s="51"/>
      <c r="BI182" s="12"/>
      <c r="BJ182" s="51"/>
      <c r="BL182" s="12"/>
      <c r="BM182" s="51"/>
      <c r="BP182" s="12"/>
      <c r="BQ182" s="51"/>
      <c r="BS182" s="12"/>
      <c r="BT182" s="51"/>
      <c r="BW182" s="12"/>
      <c r="BX182" s="51"/>
      <c r="BZ182" s="12"/>
      <c r="CA182" s="51"/>
      <c r="CC182" s="12"/>
      <c r="CD182" s="51"/>
    </row>
    <row r="183" spans="1:82" x14ac:dyDescent="0.3">
      <c r="A183" s="162"/>
      <c r="B183" s="51">
        <v>1</v>
      </c>
      <c r="C183" s="3" t="s">
        <v>119</v>
      </c>
      <c r="D183" s="97">
        <v>0.75087000000000004</v>
      </c>
      <c r="E183" s="3" t="s">
        <v>305</v>
      </c>
      <c r="F183" s="97">
        <f>D183*F181</f>
        <v>1.5218525892857144</v>
      </c>
      <c r="G183" s="3" t="s">
        <v>109</v>
      </c>
      <c r="I183" s="51"/>
      <c r="K183" s="12"/>
      <c r="L183" s="2"/>
      <c r="O183" s="51"/>
      <c r="Q183" s="12"/>
      <c r="R183" s="51"/>
      <c r="W183" s="12"/>
      <c r="X183" s="51"/>
      <c r="AB183" s="12"/>
      <c r="AC183" s="51"/>
      <c r="AF183" s="12"/>
      <c r="AG183" s="51"/>
      <c r="AI183" s="12"/>
      <c r="AJ183" s="51"/>
      <c r="AL183" s="12"/>
      <c r="AM183" s="51"/>
      <c r="AP183" s="12"/>
      <c r="AQ183" s="51"/>
      <c r="AS183" s="12"/>
      <c r="AT183" s="51"/>
      <c r="AW183" s="12"/>
      <c r="AX183" s="51"/>
      <c r="BA183" s="12"/>
      <c r="BB183" s="51"/>
      <c r="BE183" s="12"/>
      <c r="BF183" s="51"/>
      <c r="BI183" s="12"/>
      <c r="BJ183" s="51"/>
      <c r="BL183" s="12"/>
      <c r="BM183" s="51"/>
      <c r="BP183" s="12"/>
      <c r="BQ183" s="51"/>
      <c r="BS183" s="12"/>
      <c r="BT183" s="51"/>
      <c r="BW183" s="12"/>
      <c r="BX183" s="51"/>
      <c r="BZ183" s="12"/>
      <c r="CA183" s="51"/>
      <c r="CC183" s="12"/>
      <c r="CD183" s="51"/>
    </row>
    <row r="184" spans="1:82" x14ac:dyDescent="0.3">
      <c r="C184" s="3"/>
      <c r="D184" s="97"/>
      <c r="E184" s="3"/>
      <c r="F184" s="97"/>
      <c r="I184" s="51"/>
      <c r="K184" s="12"/>
      <c r="L184" s="2"/>
      <c r="O184" s="51"/>
      <c r="Q184" s="12"/>
      <c r="R184" s="51"/>
      <c r="W184" s="12"/>
      <c r="X184" s="51"/>
      <c r="AB184" s="12"/>
      <c r="AC184" s="51"/>
      <c r="AF184" s="12"/>
      <c r="AG184" s="51"/>
      <c r="AI184" s="12"/>
      <c r="AJ184" s="51"/>
      <c r="AL184" s="12"/>
      <c r="AM184" s="51"/>
      <c r="AP184" s="12"/>
      <c r="AQ184" s="51"/>
      <c r="AS184" s="12"/>
      <c r="AT184" s="51"/>
      <c r="AW184" s="12"/>
      <c r="AX184" s="51"/>
      <c r="BA184" s="12"/>
      <c r="BB184" s="51"/>
      <c r="BE184" s="12"/>
      <c r="BF184" s="51"/>
      <c r="BI184" s="12"/>
      <c r="BJ184" s="51"/>
      <c r="BL184" s="12"/>
      <c r="BM184" s="51"/>
      <c r="BP184" s="12"/>
      <c r="BQ184" s="51"/>
      <c r="BS184" s="12"/>
      <c r="BT184" s="51"/>
      <c r="BW184" s="12"/>
      <c r="BX184" s="51"/>
      <c r="BZ184" s="12"/>
      <c r="CA184" s="51"/>
      <c r="CC184" s="12"/>
      <c r="CD184" s="51"/>
    </row>
    <row r="185" spans="1:82" x14ac:dyDescent="0.3">
      <c r="C185" s="3"/>
      <c r="D185" s="97"/>
      <c r="E185" s="3"/>
      <c r="F185" s="97"/>
      <c r="I185" s="51"/>
      <c r="K185" s="12"/>
      <c r="L185" s="2"/>
      <c r="O185" s="51"/>
      <c r="Q185" s="12"/>
      <c r="R185" s="51"/>
      <c r="W185" s="12"/>
      <c r="X185" s="51"/>
      <c r="AB185" s="12"/>
      <c r="AC185" s="51"/>
      <c r="AF185" s="12"/>
      <c r="AG185" s="51"/>
      <c r="AI185" s="12"/>
      <c r="AJ185" s="51"/>
      <c r="AL185" s="12"/>
      <c r="AM185" s="51"/>
      <c r="AP185" s="12"/>
      <c r="AQ185" s="51"/>
      <c r="AS185" s="12"/>
      <c r="AT185" s="51"/>
      <c r="AW185" s="12"/>
      <c r="AX185" s="51"/>
      <c r="BA185" s="12"/>
      <c r="BB185" s="51"/>
      <c r="BE185" s="12"/>
      <c r="BF185" s="51"/>
      <c r="BI185" s="12"/>
      <c r="BJ185" s="51"/>
      <c r="BL185" s="12"/>
      <c r="BM185" s="51"/>
      <c r="BP185" s="12"/>
      <c r="BQ185" s="51"/>
      <c r="BS185" s="12"/>
      <c r="BT185" s="51"/>
      <c r="BW185" s="12"/>
      <c r="BX185" s="51"/>
      <c r="BZ185" s="12"/>
      <c r="CA185" s="51"/>
      <c r="CC185" s="12"/>
      <c r="CD185" s="51"/>
    </row>
    <row r="186" spans="1:82" x14ac:dyDescent="0.3">
      <c r="A186" s="3" t="s">
        <v>294</v>
      </c>
      <c r="D186" s="97"/>
      <c r="F186" s="97"/>
      <c r="I186" s="51"/>
      <c r="K186" s="12"/>
      <c r="L186" s="2"/>
      <c r="O186" s="51"/>
      <c r="Q186" s="12"/>
      <c r="R186" s="51"/>
      <c r="W186" s="12"/>
      <c r="X186" s="51"/>
      <c r="AB186" s="12"/>
      <c r="AC186" s="51"/>
      <c r="AF186" s="12"/>
      <c r="AG186" s="51"/>
      <c r="AI186" s="12"/>
      <c r="AJ186" s="51"/>
      <c r="AL186" s="12"/>
      <c r="AM186" s="51"/>
      <c r="AP186" s="12"/>
      <c r="AQ186" s="51"/>
      <c r="AS186" s="12"/>
      <c r="AT186" s="51"/>
      <c r="AW186" s="12"/>
      <c r="AX186" s="51"/>
      <c r="BA186" s="12"/>
      <c r="BB186" s="51"/>
      <c r="BE186" s="12"/>
      <c r="BF186" s="51"/>
      <c r="BI186" s="12"/>
      <c r="BJ186" s="51"/>
      <c r="BL186" s="12"/>
      <c r="BM186" s="51"/>
      <c r="BP186" s="12"/>
      <c r="BQ186" s="51"/>
      <c r="BS186" s="12"/>
      <c r="BT186" s="51"/>
      <c r="BW186" s="12"/>
      <c r="BX186" s="51"/>
      <c r="BZ186" s="12"/>
      <c r="CA186" s="51"/>
      <c r="CC186" s="12"/>
      <c r="CD186" s="51"/>
    </row>
    <row r="187" spans="1:82" x14ac:dyDescent="0.3">
      <c r="B187" s="51">
        <v>1</v>
      </c>
      <c r="C187" s="3" t="s">
        <v>297</v>
      </c>
      <c r="D187" s="51">
        <v>20</v>
      </c>
      <c r="E187" s="11" t="s">
        <v>296</v>
      </c>
      <c r="F187" s="2"/>
      <c r="I187" s="51"/>
      <c r="K187" s="11"/>
      <c r="L187" s="2"/>
      <c r="O187" s="51"/>
      <c r="Q187" s="11"/>
      <c r="R187" s="51"/>
      <c r="W187" s="11"/>
      <c r="X187" s="51"/>
      <c r="AB187" s="11"/>
      <c r="AC187" s="51"/>
      <c r="AF187" s="11"/>
      <c r="AG187" s="51"/>
      <c r="AI187" s="11"/>
      <c r="AJ187" s="51"/>
      <c r="AL187" s="11"/>
      <c r="AM187" s="51"/>
      <c r="AP187" s="11"/>
      <c r="AQ187" s="51"/>
      <c r="AS187" s="11"/>
      <c r="AT187" s="51"/>
      <c r="AW187" s="11"/>
      <c r="AX187" s="51"/>
      <c r="BA187" s="11"/>
      <c r="BB187" s="51"/>
      <c r="BE187" s="11"/>
      <c r="BF187" s="51"/>
      <c r="BI187" s="11"/>
      <c r="BJ187" s="51"/>
      <c r="BL187" s="11"/>
      <c r="BM187" s="51"/>
      <c r="BP187" s="11"/>
      <c r="BQ187" s="51"/>
      <c r="BS187" s="11"/>
      <c r="BT187" s="51"/>
      <c r="BW187" s="11"/>
      <c r="BX187" s="51"/>
      <c r="BZ187" s="11"/>
      <c r="CA187" s="51"/>
      <c r="CC187" s="11"/>
      <c r="CD187" s="51"/>
    </row>
  </sheetData>
  <mergeCells count="61">
    <mergeCell ref="A181:A183"/>
    <mergeCell ref="A147:A149"/>
    <mergeCell ref="AV2:AW2"/>
    <mergeCell ref="AO2:AP2"/>
    <mergeCell ref="AR2:AS2"/>
    <mergeCell ref="A1:A2"/>
    <mergeCell ref="Y2:Z2"/>
    <mergeCell ref="T2:U2"/>
    <mergeCell ref="AK2:AL2"/>
    <mergeCell ref="AH2:AI2"/>
    <mergeCell ref="AE2:AF2"/>
    <mergeCell ref="N2:O2"/>
    <mergeCell ref="H2:I2"/>
    <mergeCell ref="B96:B97"/>
    <mergeCell ref="C96:C97"/>
    <mergeCell ref="D96:D97"/>
    <mergeCell ref="BD2:BE2"/>
    <mergeCell ref="AZ2:BA2"/>
    <mergeCell ref="BH2:BI2"/>
    <mergeCell ref="AZ1:BB1"/>
    <mergeCell ref="BD1:BF1"/>
    <mergeCell ref="CB2:CC2"/>
    <mergeCell ref="BR2:BS2"/>
    <mergeCell ref="BV2:BW2"/>
    <mergeCell ref="BY2:BZ2"/>
    <mergeCell ref="BK1:BM1"/>
    <mergeCell ref="BO1:BQ1"/>
    <mergeCell ref="BR1:BT1"/>
    <mergeCell ref="BK2:BL2"/>
    <mergeCell ref="BO2:BP2"/>
    <mergeCell ref="BV1:BX1"/>
    <mergeCell ref="BY1:CA1"/>
    <mergeCell ref="CB1:CD1"/>
    <mergeCell ref="E96:E97"/>
    <mergeCell ref="B110:B111"/>
    <mergeCell ref="C110:C111"/>
    <mergeCell ref="D110:D111"/>
    <mergeCell ref="E110:E111"/>
    <mergeCell ref="A135:A136"/>
    <mergeCell ref="A137:A138"/>
    <mergeCell ref="A139:A140"/>
    <mergeCell ref="A141:A142"/>
    <mergeCell ref="A143:A144"/>
    <mergeCell ref="A173:A174"/>
    <mergeCell ref="A145:A146"/>
    <mergeCell ref="A154:A155"/>
    <mergeCell ref="A157:A159"/>
    <mergeCell ref="A160:A161"/>
    <mergeCell ref="A169:A171"/>
    <mergeCell ref="D1:F1"/>
    <mergeCell ref="H1:L1"/>
    <mergeCell ref="N1:R1"/>
    <mergeCell ref="T1:X1"/>
    <mergeCell ref="Y1:AC1"/>
    <mergeCell ref="AV1:AX1"/>
    <mergeCell ref="BH1:BJ1"/>
    <mergeCell ref="AE1:AG1"/>
    <mergeCell ref="AH1:AJ1"/>
    <mergeCell ref="AK1:AM1"/>
    <mergeCell ref="AO1:AQ1"/>
    <mergeCell ref="AR1:AT1"/>
  </mergeCells>
  <pageMargins left="0.75" right="0.75" top="1" bottom="1" header="0.5" footer="0.5"/>
  <pageSetup paperSize="9" orientation="portrait" horizontalDpi="4294967292" verticalDpi="4294967292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D124"/>
  <sheetViews>
    <sheetView zoomScale="70" zoomScaleNormal="70" workbookViewId="0">
      <pane xSplit="1" ySplit="3" topLeftCell="B25" activePane="bottomRight" state="frozen"/>
      <selection pane="topRight" activeCell="C1" sqref="C1"/>
      <selection pane="bottomLeft" activeCell="A3" sqref="A3"/>
      <selection pane="bottomRight" activeCell="I51" sqref="I51:I54"/>
    </sheetView>
  </sheetViews>
  <sheetFormatPr defaultColWidth="11" defaultRowHeight="14.4" x14ac:dyDescent="0.3"/>
  <cols>
    <col min="1" max="1" width="20.59765625" style="51" customWidth="1"/>
    <col min="2" max="11" width="11" style="51"/>
    <col min="12" max="12" width="10.8984375" style="17" customWidth="1"/>
    <col min="13" max="15" width="11" style="51"/>
    <col min="16" max="16" width="10.8984375" style="16" customWidth="1"/>
    <col min="17" max="18" width="11" style="51" customWidth="1"/>
    <col min="19" max="19" width="10.8984375" style="17" customWidth="1"/>
    <col min="20" max="20" width="11" style="51" customWidth="1"/>
    <col min="21" max="24" width="10.8984375" style="17" customWidth="1"/>
    <col min="25" max="39" width="11" style="51" customWidth="1"/>
    <col min="40" max="16384" width="11" style="51"/>
  </cols>
  <sheetData>
    <row r="1" spans="1:56" x14ac:dyDescent="0.3">
      <c r="B1" s="117"/>
      <c r="C1" s="152" t="s">
        <v>218</v>
      </c>
      <c r="D1" s="152"/>
      <c r="E1" s="117"/>
      <c r="F1" s="152" t="s">
        <v>239</v>
      </c>
      <c r="G1" s="152"/>
      <c r="H1" s="53"/>
      <c r="I1" s="152" t="s">
        <v>240</v>
      </c>
      <c r="J1" s="152"/>
      <c r="K1" s="117"/>
      <c r="L1" s="117"/>
      <c r="M1" s="152" t="s">
        <v>241</v>
      </c>
      <c r="N1" s="152"/>
      <c r="O1" s="116"/>
      <c r="P1" s="55"/>
      <c r="Q1" s="152" t="s">
        <v>242</v>
      </c>
      <c r="R1" s="152"/>
      <c r="S1" s="55"/>
      <c r="T1" s="117"/>
      <c r="U1" s="152" t="s">
        <v>243</v>
      </c>
      <c r="V1" s="152"/>
      <c r="W1" s="152" t="s">
        <v>244</v>
      </c>
      <c r="X1" s="152"/>
      <c r="Y1" s="152" t="s">
        <v>245</v>
      </c>
      <c r="Z1" s="152"/>
      <c r="AA1" s="117"/>
      <c r="AB1" s="152" t="s">
        <v>246</v>
      </c>
      <c r="AC1" s="152"/>
      <c r="AD1" s="152" t="s">
        <v>247</v>
      </c>
      <c r="AE1" s="152"/>
      <c r="AF1" s="117"/>
      <c r="AG1" s="152" t="s">
        <v>248</v>
      </c>
      <c r="AH1" s="152"/>
      <c r="AI1" s="118"/>
      <c r="AJ1" s="152" t="s">
        <v>249</v>
      </c>
      <c r="AK1" s="152"/>
      <c r="AL1" s="152" t="s">
        <v>250</v>
      </c>
      <c r="AM1" s="152"/>
      <c r="AN1" s="117"/>
      <c r="AO1" s="152"/>
      <c r="AP1" s="152"/>
      <c r="AQ1" s="152"/>
      <c r="AR1" s="152"/>
      <c r="AS1" s="117"/>
      <c r="AT1" s="152"/>
      <c r="AU1" s="152"/>
      <c r="AV1" s="152"/>
      <c r="AW1" s="152"/>
      <c r="AX1" s="117"/>
      <c r="AY1" s="152"/>
      <c r="AZ1" s="152"/>
      <c r="BA1" s="152"/>
      <c r="BB1" s="152"/>
      <c r="BC1" s="152"/>
      <c r="BD1" s="152"/>
    </row>
    <row r="2" spans="1:56" hidden="1" x14ac:dyDescent="0.3">
      <c r="A2" s="2"/>
      <c r="B2" s="117"/>
      <c r="C2" s="158">
        <v>1890</v>
      </c>
      <c r="D2" s="158"/>
      <c r="E2" s="117"/>
      <c r="F2" s="158">
        <v>1891</v>
      </c>
      <c r="G2" s="158"/>
      <c r="H2" s="158"/>
      <c r="I2" s="158">
        <v>1892</v>
      </c>
      <c r="J2" s="158"/>
      <c r="K2" s="158"/>
      <c r="L2" s="117"/>
      <c r="M2" s="158">
        <v>1893</v>
      </c>
      <c r="N2" s="158"/>
      <c r="O2" s="158"/>
      <c r="P2" s="117" t="s">
        <v>27</v>
      </c>
      <c r="Q2" s="158">
        <v>1894</v>
      </c>
      <c r="R2" s="158"/>
      <c r="S2" s="158"/>
      <c r="T2" s="117"/>
      <c r="U2" s="158">
        <v>1895</v>
      </c>
      <c r="V2" s="158"/>
      <c r="W2" s="158">
        <v>1896</v>
      </c>
      <c r="X2" s="158"/>
      <c r="Y2" s="158">
        <v>1897</v>
      </c>
      <c r="Z2" s="158"/>
      <c r="AA2" s="117"/>
      <c r="AB2" s="163">
        <v>1898</v>
      </c>
      <c r="AC2" s="163"/>
      <c r="AD2" s="163">
        <v>1899</v>
      </c>
      <c r="AE2" s="163"/>
      <c r="AF2" s="117"/>
      <c r="AG2" s="158">
        <v>1900</v>
      </c>
      <c r="AH2" s="158"/>
      <c r="AI2" s="118"/>
      <c r="AJ2" s="159">
        <v>1901</v>
      </c>
      <c r="AK2" s="159"/>
      <c r="AL2" s="159">
        <v>1902</v>
      </c>
      <c r="AM2" s="159"/>
    </row>
    <row r="3" spans="1:56" s="131" customFormat="1" ht="30" customHeight="1" x14ac:dyDescent="0.3">
      <c r="A3" s="132" t="s">
        <v>0</v>
      </c>
      <c r="B3" s="126" t="s">
        <v>27</v>
      </c>
      <c r="C3" s="121" t="s">
        <v>1</v>
      </c>
      <c r="D3" s="122" t="s">
        <v>238</v>
      </c>
      <c r="E3" s="130" t="s">
        <v>27</v>
      </c>
      <c r="F3" s="124" t="s">
        <v>1</v>
      </c>
      <c r="G3" s="122" t="s">
        <v>238</v>
      </c>
      <c r="H3" s="125" t="s">
        <v>83</v>
      </c>
      <c r="I3" s="124" t="s">
        <v>1</v>
      </c>
      <c r="J3" s="122" t="s">
        <v>238</v>
      </c>
      <c r="K3" s="125" t="s">
        <v>83</v>
      </c>
      <c r="L3" s="126" t="s">
        <v>27</v>
      </c>
      <c r="M3" s="121" t="s">
        <v>1</v>
      </c>
      <c r="N3" s="122" t="s">
        <v>238</v>
      </c>
      <c r="O3" s="122" t="s">
        <v>83</v>
      </c>
      <c r="P3" s="126" t="s">
        <v>27</v>
      </c>
      <c r="Q3" s="121" t="s">
        <v>1</v>
      </c>
      <c r="R3" s="122" t="s">
        <v>238</v>
      </c>
      <c r="S3" s="121" t="s">
        <v>82</v>
      </c>
      <c r="T3" s="126" t="s">
        <v>27</v>
      </c>
      <c r="U3" s="121" t="s">
        <v>1</v>
      </c>
      <c r="V3" s="122" t="s">
        <v>238</v>
      </c>
      <c r="W3" s="121" t="s">
        <v>1</v>
      </c>
      <c r="X3" s="122" t="s">
        <v>238</v>
      </c>
      <c r="Y3" s="121" t="s">
        <v>1</v>
      </c>
      <c r="Z3" s="122" t="s">
        <v>238</v>
      </c>
      <c r="AA3" s="126" t="s">
        <v>27</v>
      </c>
      <c r="AB3" s="121" t="s">
        <v>1</v>
      </c>
      <c r="AC3" s="122" t="s">
        <v>238</v>
      </c>
      <c r="AD3" s="126" t="s">
        <v>1</v>
      </c>
      <c r="AE3" s="122" t="s">
        <v>238</v>
      </c>
      <c r="AF3" s="126" t="s">
        <v>27</v>
      </c>
      <c r="AG3" s="126" t="s">
        <v>1</v>
      </c>
      <c r="AH3" s="122" t="s">
        <v>238</v>
      </c>
      <c r="AI3" s="126" t="s">
        <v>27</v>
      </c>
      <c r="AJ3" s="126" t="s">
        <v>1</v>
      </c>
      <c r="AK3" s="122" t="s">
        <v>238</v>
      </c>
      <c r="AL3" s="126" t="s">
        <v>1</v>
      </c>
      <c r="AM3" s="122" t="s">
        <v>238</v>
      </c>
      <c r="AN3" s="126"/>
      <c r="AO3" s="126"/>
      <c r="AP3" s="122"/>
      <c r="AQ3" s="126"/>
      <c r="AR3" s="122"/>
      <c r="AS3" s="126"/>
      <c r="AT3" s="126"/>
      <c r="AU3" s="122"/>
      <c r="AV3" s="126"/>
      <c r="AW3" s="122"/>
      <c r="AX3" s="126"/>
      <c r="AY3" s="126"/>
      <c r="AZ3" s="122"/>
      <c r="BA3" s="126"/>
      <c r="BB3" s="122"/>
      <c r="BC3" s="126"/>
      <c r="BD3" s="122"/>
    </row>
    <row r="4" spans="1:56" x14ac:dyDescent="0.3">
      <c r="A4" s="103" t="s">
        <v>23</v>
      </c>
      <c r="B4" s="17"/>
      <c r="C4" s="9"/>
      <c r="D4" s="9"/>
      <c r="E4" s="17"/>
      <c r="F4" s="9"/>
      <c r="G4" s="9"/>
      <c r="H4" s="9"/>
      <c r="I4" s="9"/>
      <c r="J4" s="9"/>
      <c r="K4" s="9"/>
      <c r="M4" s="17"/>
      <c r="N4" s="17"/>
      <c r="O4" s="17"/>
      <c r="Q4" s="17"/>
      <c r="R4" s="17"/>
      <c r="T4" s="17"/>
      <c r="Y4" s="17"/>
      <c r="Z4" s="17"/>
      <c r="AA4" s="17"/>
      <c r="AC4" s="17"/>
      <c r="AF4" s="17"/>
      <c r="AG4" s="9"/>
      <c r="AH4" s="9"/>
      <c r="AI4" s="103" t="s">
        <v>4</v>
      </c>
      <c r="AJ4" s="102">
        <v>234</v>
      </c>
      <c r="AK4" s="102">
        <v>568</v>
      </c>
      <c r="AL4" s="102">
        <v>677</v>
      </c>
      <c r="AM4" s="102">
        <v>1763</v>
      </c>
    </row>
    <row r="5" spans="1:56" x14ac:dyDescent="0.3">
      <c r="A5" s="103" t="s">
        <v>288</v>
      </c>
      <c r="B5" s="17"/>
      <c r="C5" s="2"/>
      <c r="D5" s="2"/>
      <c r="F5" s="2"/>
      <c r="G5" s="2"/>
      <c r="H5" s="2"/>
      <c r="I5" s="2"/>
      <c r="J5" s="2"/>
      <c r="K5" s="2"/>
      <c r="Q5" s="2"/>
      <c r="R5" s="2"/>
      <c r="S5" s="9"/>
      <c r="T5" s="63"/>
      <c r="AG5" s="2"/>
      <c r="AH5" s="2"/>
      <c r="AI5" s="103" t="s">
        <v>13</v>
      </c>
      <c r="AJ5" s="102">
        <v>2614</v>
      </c>
      <c r="AK5" s="102">
        <v>50480</v>
      </c>
      <c r="AL5" s="102">
        <v>1899</v>
      </c>
      <c r="AM5" s="102">
        <v>37830</v>
      </c>
    </row>
    <row r="6" spans="1:56" x14ac:dyDescent="0.3">
      <c r="A6" s="104" t="s">
        <v>35</v>
      </c>
      <c r="B6" s="17"/>
      <c r="C6" s="9"/>
      <c r="D6" s="9"/>
      <c r="E6" s="17" t="s">
        <v>36</v>
      </c>
      <c r="F6" s="57">
        <v>1034</v>
      </c>
      <c r="G6" s="9">
        <v>260</v>
      </c>
      <c r="H6" s="60">
        <v>0</v>
      </c>
      <c r="I6" s="57">
        <v>275</v>
      </c>
      <c r="J6" s="57">
        <v>69</v>
      </c>
      <c r="K6" s="60">
        <v>0</v>
      </c>
      <c r="M6" s="2"/>
      <c r="N6" s="2"/>
      <c r="O6" s="9"/>
      <c r="Q6" s="2"/>
      <c r="R6" s="2"/>
      <c r="S6" s="9"/>
      <c r="AG6" s="2"/>
      <c r="AH6" s="2"/>
      <c r="AJ6" s="102"/>
      <c r="AK6" s="102"/>
      <c r="AL6" s="102"/>
      <c r="AM6" s="102"/>
    </row>
    <row r="7" spans="1:56" x14ac:dyDescent="0.3">
      <c r="A7" s="104" t="s">
        <v>37</v>
      </c>
      <c r="B7" s="17"/>
      <c r="C7" s="9"/>
      <c r="D7" s="9"/>
      <c r="E7" s="17" t="s">
        <v>36</v>
      </c>
      <c r="F7" s="57">
        <v>345</v>
      </c>
      <c r="G7" s="9">
        <v>119</v>
      </c>
      <c r="H7" s="60">
        <v>0</v>
      </c>
      <c r="I7" s="57">
        <v>136</v>
      </c>
      <c r="J7" s="57">
        <v>42</v>
      </c>
      <c r="K7" s="60">
        <v>0</v>
      </c>
      <c r="L7" s="64"/>
      <c r="M7" s="2"/>
      <c r="N7" s="2"/>
      <c r="O7" s="9"/>
      <c r="Q7" s="57"/>
      <c r="R7" s="57"/>
      <c r="S7" s="57"/>
      <c r="AG7" s="2"/>
      <c r="AH7" s="2"/>
      <c r="AJ7" s="102"/>
      <c r="AK7" s="102"/>
      <c r="AL7" s="102"/>
      <c r="AM7" s="102"/>
    </row>
    <row r="8" spans="1:56" x14ac:dyDescent="0.3">
      <c r="A8" s="16" t="s">
        <v>19</v>
      </c>
      <c r="B8" s="17"/>
      <c r="C8" s="57"/>
      <c r="D8" s="57"/>
      <c r="E8" s="17" t="s">
        <v>21</v>
      </c>
      <c r="F8" s="57">
        <v>275</v>
      </c>
      <c r="G8" s="9">
        <v>110</v>
      </c>
      <c r="H8" s="60">
        <v>0</v>
      </c>
      <c r="I8" s="57">
        <v>1083</v>
      </c>
      <c r="J8" s="57">
        <v>676</v>
      </c>
      <c r="K8" s="60">
        <v>0</v>
      </c>
      <c r="L8" s="105" t="s">
        <v>21</v>
      </c>
      <c r="M8" s="57">
        <v>562</v>
      </c>
      <c r="N8" s="9">
        <v>233</v>
      </c>
      <c r="O8" s="66">
        <v>0</v>
      </c>
      <c r="P8" s="105" t="s">
        <v>21</v>
      </c>
      <c r="Q8" s="57">
        <v>283</v>
      </c>
      <c r="R8" s="57">
        <v>98</v>
      </c>
      <c r="S8" s="57">
        <v>0</v>
      </c>
      <c r="T8" s="17"/>
      <c r="Y8" s="17"/>
      <c r="Z8" s="17"/>
      <c r="AA8" s="17"/>
      <c r="AC8" s="17"/>
      <c r="AF8" s="17"/>
      <c r="AG8" s="9"/>
      <c r="AH8" s="9"/>
      <c r="AJ8" s="102"/>
      <c r="AK8" s="102"/>
      <c r="AL8" s="102"/>
      <c r="AM8" s="102"/>
    </row>
    <row r="9" spans="1:56" x14ac:dyDescent="0.3">
      <c r="A9" s="104" t="s">
        <v>34</v>
      </c>
      <c r="B9" s="17"/>
      <c r="C9" s="9"/>
      <c r="D9" s="9"/>
      <c r="E9" s="17" t="s">
        <v>21</v>
      </c>
      <c r="F9" s="57">
        <v>140</v>
      </c>
      <c r="G9" s="9">
        <v>505</v>
      </c>
      <c r="H9" s="59">
        <v>10</v>
      </c>
      <c r="I9" s="57">
        <v>190</v>
      </c>
      <c r="J9" s="57">
        <v>1015</v>
      </c>
      <c r="K9" s="59">
        <v>0</v>
      </c>
      <c r="M9" s="2"/>
      <c r="N9" s="9"/>
      <c r="O9" s="9"/>
      <c r="Q9" s="2"/>
      <c r="R9" s="2"/>
      <c r="S9" s="9"/>
      <c r="AG9" s="2"/>
      <c r="AH9" s="2"/>
      <c r="AJ9" s="102"/>
      <c r="AK9" s="102"/>
      <c r="AL9" s="102"/>
      <c r="AM9" s="102"/>
    </row>
    <row r="10" spans="1:56" x14ac:dyDescent="0.3">
      <c r="A10" s="103" t="s">
        <v>349</v>
      </c>
      <c r="B10" s="17" t="s">
        <v>40</v>
      </c>
      <c r="C10" s="57">
        <v>90</v>
      </c>
      <c r="D10" s="57">
        <v>138</v>
      </c>
      <c r="E10" s="17"/>
      <c r="F10" s="9"/>
      <c r="G10" s="9"/>
      <c r="H10" s="9"/>
      <c r="I10" s="9"/>
      <c r="J10" s="9"/>
      <c r="K10" s="9"/>
      <c r="L10" s="16" t="s">
        <v>21</v>
      </c>
      <c r="M10" s="57">
        <v>108</v>
      </c>
      <c r="N10" s="57">
        <v>432</v>
      </c>
      <c r="O10" s="57">
        <v>0</v>
      </c>
      <c r="P10" s="16" t="s">
        <v>21</v>
      </c>
      <c r="Q10" s="57">
        <v>3</v>
      </c>
      <c r="R10" s="57">
        <v>12</v>
      </c>
      <c r="S10" s="57">
        <v>6</v>
      </c>
      <c r="T10" s="17"/>
      <c r="Y10" s="17"/>
      <c r="Z10" s="17"/>
      <c r="AA10" s="17"/>
      <c r="AC10" s="17"/>
      <c r="AF10" s="17" t="s">
        <v>4</v>
      </c>
      <c r="AG10" s="9">
        <v>547</v>
      </c>
      <c r="AH10" s="9">
        <v>708</v>
      </c>
      <c r="AI10" s="103" t="s">
        <v>4</v>
      </c>
      <c r="AJ10" s="102">
        <v>502</v>
      </c>
      <c r="AK10" s="102">
        <v>572</v>
      </c>
      <c r="AL10" s="102">
        <v>1177</v>
      </c>
      <c r="AM10" s="102">
        <v>1351</v>
      </c>
    </row>
    <row r="11" spans="1:56" x14ac:dyDescent="0.3">
      <c r="A11" s="103" t="s">
        <v>14</v>
      </c>
      <c r="C11" s="2"/>
      <c r="D11" s="2"/>
      <c r="F11" s="2"/>
      <c r="G11" s="2"/>
      <c r="H11" s="2"/>
      <c r="I11" s="2"/>
      <c r="J11" s="2"/>
      <c r="K11" s="2"/>
      <c r="L11" s="16" t="s">
        <v>2</v>
      </c>
      <c r="M11" s="57">
        <v>2642</v>
      </c>
      <c r="N11" s="9">
        <v>8120</v>
      </c>
      <c r="O11" s="57">
        <v>0</v>
      </c>
      <c r="P11" s="16" t="s">
        <v>2</v>
      </c>
      <c r="Q11" s="66">
        <v>2195</v>
      </c>
      <c r="R11" s="57">
        <v>3085</v>
      </c>
      <c r="S11" s="57">
        <v>10</v>
      </c>
      <c r="T11" s="51" t="s">
        <v>4</v>
      </c>
      <c r="U11" s="61">
        <v>29240</v>
      </c>
      <c r="V11" s="61">
        <v>4265</v>
      </c>
      <c r="W11" s="61">
        <v>5060</v>
      </c>
      <c r="X11" s="9">
        <v>1968</v>
      </c>
      <c r="Y11" s="61">
        <v>29060</v>
      </c>
      <c r="Z11" s="61">
        <v>6562</v>
      </c>
      <c r="AA11" s="51" t="s">
        <v>4</v>
      </c>
      <c r="AB11" s="61">
        <v>20583</v>
      </c>
      <c r="AC11" s="61">
        <v>7767</v>
      </c>
      <c r="AD11" s="61">
        <v>39581</v>
      </c>
      <c r="AE11" s="61">
        <v>3338</v>
      </c>
      <c r="AF11" s="51" t="s">
        <v>4</v>
      </c>
      <c r="AG11" s="61">
        <v>51675</v>
      </c>
      <c r="AH11" s="61">
        <v>13157</v>
      </c>
      <c r="AI11" s="51" t="s">
        <v>4</v>
      </c>
      <c r="AJ11" s="102">
        <v>73766</v>
      </c>
      <c r="AK11" s="102">
        <v>18229</v>
      </c>
      <c r="AL11" s="102">
        <v>93489</v>
      </c>
      <c r="AM11" s="102">
        <v>16441</v>
      </c>
    </row>
    <row r="12" spans="1:56" x14ac:dyDescent="0.3">
      <c r="A12" s="103" t="s">
        <v>289</v>
      </c>
      <c r="B12" s="17" t="s">
        <v>2</v>
      </c>
      <c r="C12" s="61">
        <v>5347</v>
      </c>
      <c r="D12" s="61">
        <v>27757</v>
      </c>
      <c r="E12" s="17" t="s">
        <v>2</v>
      </c>
      <c r="F12" s="57">
        <v>1130</v>
      </c>
      <c r="G12" s="9">
        <v>4479</v>
      </c>
      <c r="H12" s="60">
        <v>0</v>
      </c>
      <c r="I12" s="57">
        <v>1217</v>
      </c>
      <c r="J12" s="57">
        <v>4939</v>
      </c>
      <c r="K12" s="60">
        <v>0</v>
      </c>
      <c r="M12" s="2"/>
      <c r="N12" s="2"/>
      <c r="O12" s="2"/>
      <c r="Q12" s="2"/>
      <c r="R12" s="2"/>
      <c r="S12" s="9"/>
      <c r="T12" s="63"/>
      <c r="U12" s="9"/>
      <c r="V12" s="9"/>
      <c r="W12" s="9"/>
      <c r="X12" s="9"/>
      <c r="Y12" s="2"/>
      <c r="Z12" s="2"/>
      <c r="AA12" s="17"/>
      <c r="AB12" s="2"/>
      <c r="AC12" s="2"/>
      <c r="AD12" s="2"/>
      <c r="AE12" s="2"/>
      <c r="AF12" s="17"/>
      <c r="AG12" s="2"/>
      <c r="AH12" s="2"/>
      <c r="AJ12" s="2"/>
      <c r="AK12" s="2"/>
      <c r="AL12" s="102"/>
      <c r="AM12" s="102"/>
    </row>
    <row r="13" spans="1:56" ht="13.8" customHeight="1" x14ac:dyDescent="0.3">
      <c r="A13" s="103" t="s">
        <v>289</v>
      </c>
      <c r="C13" s="2"/>
      <c r="D13" s="2"/>
      <c r="E13" s="51" t="s">
        <v>36</v>
      </c>
      <c r="F13" s="2"/>
      <c r="G13" s="2"/>
      <c r="H13" s="2"/>
      <c r="I13" s="2">
        <v>89</v>
      </c>
      <c r="J13" s="2">
        <v>33</v>
      </c>
      <c r="K13" s="2">
        <v>6</v>
      </c>
      <c r="M13" s="2"/>
      <c r="N13" s="2"/>
      <c r="O13" s="2"/>
      <c r="Q13" s="2"/>
      <c r="R13" s="2"/>
      <c r="S13" s="9"/>
      <c r="U13" s="9"/>
      <c r="V13" s="9"/>
      <c r="W13" s="9"/>
      <c r="X13" s="9"/>
      <c r="Y13" s="2"/>
      <c r="Z13" s="2"/>
      <c r="AB13" s="2"/>
      <c r="AC13" s="2"/>
      <c r="AD13" s="2"/>
      <c r="AE13" s="2"/>
      <c r="AG13" s="2"/>
      <c r="AH13" s="2"/>
      <c r="AJ13" s="102"/>
      <c r="AK13" s="102"/>
      <c r="AL13" s="102"/>
      <c r="AM13" s="102"/>
    </row>
    <row r="14" spans="1:56" x14ac:dyDescent="0.3">
      <c r="A14" s="103" t="s">
        <v>289</v>
      </c>
      <c r="C14" s="2"/>
      <c r="D14" s="2"/>
      <c r="E14" s="51" t="s">
        <v>8</v>
      </c>
      <c r="F14" s="2"/>
      <c r="G14" s="2"/>
      <c r="H14" s="2"/>
      <c r="I14" s="2">
        <v>3</v>
      </c>
      <c r="J14" s="2">
        <v>1</v>
      </c>
      <c r="K14" s="2">
        <v>0</v>
      </c>
      <c r="M14" s="2"/>
      <c r="N14" s="2"/>
      <c r="O14" s="2"/>
      <c r="Q14" s="2"/>
      <c r="R14" s="2"/>
      <c r="S14" s="9"/>
      <c r="U14" s="9"/>
      <c r="V14" s="9"/>
      <c r="W14" s="9"/>
      <c r="X14" s="9"/>
      <c r="Y14" s="2"/>
      <c r="Z14" s="2"/>
      <c r="AB14" s="2"/>
      <c r="AC14" s="2"/>
      <c r="AD14" s="2"/>
      <c r="AE14" s="2"/>
      <c r="AG14" s="2"/>
      <c r="AH14" s="2"/>
      <c r="AJ14" s="102"/>
      <c r="AK14" s="102"/>
      <c r="AL14" s="102"/>
      <c r="AM14" s="102"/>
    </row>
    <row r="15" spans="1:56" x14ac:dyDescent="0.3">
      <c r="A15" s="17" t="s">
        <v>28</v>
      </c>
      <c r="B15" s="17"/>
      <c r="C15" s="57"/>
      <c r="D15" s="9"/>
      <c r="E15" s="17"/>
      <c r="F15" s="57"/>
      <c r="G15" s="9"/>
      <c r="H15" s="66"/>
      <c r="I15" s="9"/>
      <c r="J15" s="66"/>
      <c r="K15" s="66"/>
      <c r="M15" s="2"/>
      <c r="N15" s="9"/>
      <c r="O15" s="9"/>
      <c r="Q15" s="17"/>
      <c r="T15" s="63" t="s">
        <v>4</v>
      </c>
      <c r="U15" s="9"/>
      <c r="V15" s="9"/>
      <c r="W15" s="9">
        <v>852</v>
      </c>
      <c r="X15" s="9">
        <v>286</v>
      </c>
      <c r="Y15" s="61">
        <v>3162</v>
      </c>
      <c r="Z15" s="61">
        <v>1581</v>
      </c>
      <c r="AA15" s="17" t="s">
        <v>4</v>
      </c>
      <c r="AB15" s="9">
        <v>426</v>
      </c>
      <c r="AC15" s="9">
        <v>92</v>
      </c>
      <c r="AD15" s="106">
        <v>346.5</v>
      </c>
      <c r="AE15" s="9">
        <v>104</v>
      </c>
      <c r="AF15" s="17"/>
      <c r="AG15" s="61"/>
      <c r="AH15" s="61"/>
      <c r="AJ15" s="102"/>
      <c r="AK15" s="102"/>
      <c r="AL15" s="102"/>
      <c r="AM15" s="102"/>
    </row>
    <row r="16" spans="1:56" x14ac:dyDescent="0.3">
      <c r="A16" s="17" t="s">
        <v>31</v>
      </c>
      <c r="B16" s="17"/>
      <c r="C16" s="9"/>
      <c r="D16" s="9"/>
      <c r="E16" s="17" t="s">
        <v>4</v>
      </c>
      <c r="F16" s="57"/>
      <c r="G16" s="9"/>
      <c r="H16" s="66"/>
      <c r="I16" s="9">
        <v>230</v>
      </c>
      <c r="J16" s="9">
        <v>390</v>
      </c>
      <c r="K16" s="66">
        <v>0</v>
      </c>
      <c r="M16" s="2"/>
      <c r="N16" s="9"/>
      <c r="O16" s="9"/>
      <c r="Q16" s="17"/>
      <c r="T16" s="63" t="s">
        <v>4</v>
      </c>
      <c r="U16" s="9">
        <v>336</v>
      </c>
      <c r="V16" s="9">
        <v>634</v>
      </c>
      <c r="W16" s="61">
        <v>2434</v>
      </c>
      <c r="X16" s="61">
        <v>3811</v>
      </c>
      <c r="Y16" s="61">
        <v>1731</v>
      </c>
      <c r="Z16" s="61">
        <v>3462</v>
      </c>
      <c r="AA16" s="17" t="s">
        <v>4</v>
      </c>
      <c r="AB16" s="9">
        <v>255</v>
      </c>
      <c r="AC16" s="9">
        <v>510</v>
      </c>
      <c r="AD16" s="9">
        <v>151</v>
      </c>
      <c r="AE16" s="9">
        <v>302</v>
      </c>
      <c r="AF16" s="17" t="s">
        <v>4</v>
      </c>
      <c r="AG16" s="61">
        <v>15</v>
      </c>
      <c r="AH16" s="61">
        <v>30</v>
      </c>
      <c r="AI16" s="51" t="s">
        <v>4</v>
      </c>
      <c r="AJ16" s="102">
        <v>108</v>
      </c>
      <c r="AK16" s="102">
        <v>216</v>
      </c>
      <c r="AL16" s="102"/>
      <c r="AM16" s="102"/>
    </row>
    <row r="17" spans="1:39" x14ac:dyDescent="0.3">
      <c r="A17" s="103" t="s">
        <v>29</v>
      </c>
      <c r="B17" s="17"/>
      <c r="C17" s="61"/>
      <c r="D17" s="61"/>
      <c r="E17" s="17"/>
      <c r="F17" s="57"/>
      <c r="G17" s="9"/>
      <c r="H17" s="59"/>
      <c r="I17" s="57"/>
      <c r="J17" s="57"/>
      <c r="K17" s="59"/>
      <c r="L17" s="64"/>
      <c r="M17" s="57"/>
      <c r="N17" s="9"/>
      <c r="O17" s="57"/>
      <c r="Q17" s="64"/>
      <c r="R17" s="64"/>
      <c r="S17" s="64"/>
      <c r="T17" s="17" t="s">
        <v>4</v>
      </c>
      <c r="U17" s="61">
        <v>2856</v>
      </c>
      <c r="V17" s="9">
        <v>747</v>
      </c>
      <c r="W17" s="61">
        <v>1860</v>
      </c>
      <c r="X17" s="61">
        <v>1093</v>
      </c>
      <c r="Y17" s="61">
        <v>1327</v>
      </c>
      <c r="Z17" s="9">
        <v>534</v>
      </c>
      <c r="AA17" s="17" t="s">
        <v>4</v>
      </c>
      <c r="AB17" s="66">
        <v>1532</v>
      </c>
      <c r="AC17" s="9">
        <v>610</v>
      </c>
      <c r="AD17" s="106">
        <v>5587.5</v>
      </c>
      <c r="AE17" s="61">
        <v>3162</v>
      </c>
      <c r="AF17" s="17"/>
      <c r="AG17" s="61"/>
      <c r="AH17" s="61"/>
      <c r="AJ17" s="102"/>
      <c r="AK17" s="102"/>
      <c r="AL17" s="102"/>
      <c r="AM17" s="102"/>
    </row>
    <row r="18" spans="1:39" x14ac:dyDescent="0.3">
      <c r="A18" s="16" t="s">
        <v>290</v>
      </c>
      <c r="B18" s="17"/>
      <c r="C18" s="9"/>
      <c r="D18" s="9"/>
      <c r="E18" s="17"/>
      <c r="F18" s="9"/>
      <c r="G18" s="9"/>
      <c r="H18" s="9"/>
      <c r="I18" s="9"/>
      <c r="J18" s="9"/>
      <c r="K18" s="9"/>
      <c r="M18" s="2"/>
      <c r="N18" s="9"/>
      <c r="O18" s="9"/>
      <c r="Q18" s="17"/>
      <c r="U18" s="9"/>
      <c r="V18" s="9"/>
      <c r="W18" s="9"/>
      <c r="X18" s="9"/>
      <c r="Y18" s="2"/>
      <c r="Z18" s="2"/>
      <c r="AA18" s="17"/>
      <c r="AB18" s="2"/>
      <c r="AC18" s="2"/>
      <c r="AD18" s="61"/>
      <c r="AE18" s="61"/>
      <c r="AF18" s="17" t="s">
        <v>4</v>
      </c>
      <c r="AG18" s="61">
        <v>332</v>
      </c>
      <c r="AH18" s="61">
        <v>1992</v>
      </c>
      <c r="AI18" s="51" t="s">
        <v>4</v>
      </c>
      <c r="AJ18" s="102">
        <v>21</v>
      </c>
      <c r="AK18" s="102">
        <v>210</v>
      </c>
      <c r="AL18" s="102">
        <v>196</v>
      </c>
      <c r="AM18" s="102">
        <v>1194</v>
      </c>
    </row>
    <row r="19" spans="1:39" x14ac:dyDescent="0.3">
      <c r="A19" s="16" t="s">
        <v>291</v>
      </c>
      <c r="B19" s="17"/>
      <c r="C19" s="9"/>
      <c r="D19" s="9"/>
      <c r="E19" s="17"/>
      <c r="F19" s="9"/>
      <c r="G19" s="9"/>
      <c r="H19" s="9"/>
      <c r="I19" s="9"/>
      <c r="J19" s="9"/>
      <c r="K19" s="9"/>
      <c r="M19" s="9"/>
      <c r="N19" s="9"/>
      <c r="O19" s="9"/>
      <c r="Q19" s="17"/>
      <c r="R19" s="17"/>
      <c r="U19" s="9"/>
      <c r="V19" s="9"/>
      <c r="W19" s="9"/>
      <c r="X19" s="9"/>
      <c r="Y19" s="2"/>
      <c r="Z19" s="2"/>
      <c r="AB19" s="2"/>
      <c r="AC19" s="2"/>
      <c r="AD19" s="2"/>
      <c r="AE19" s="2"/>
      <c r="AF19" s="51" t="s">
        <v>4</v>
      </c>
      <c r="AG19" s="61">
        <v>3780</v>
      </c>
      <c r="AH19" s="61">
        <v>2377</v>
      </c>
      <c r="AI19" s="51" t="s">
        <v>4</v>
      </c>
      <c r="AJ19" s="102">
        <v>5586</v>
      </c>
      <c r="AK19" s="102">
        <v>4654</v>
      </c>
      <c r="AL19" s="102">
        <v>4507</v>
      </c>
      <c r="AM19" s="102">
        <v>2684</v>
      </c>
    </row>
    <row r="20" spans="1:39" x14ac:dyDescent="0.3">
      <c r="A20" s="16" t="s">
        <v>189</v>
      </c>
      <c r="B20" s="17" t="s">
        <v>30</v>
      </c>
      <c r="C20" s="57">
        <v>465</v>
      </c>
      <c r="D20" s="66">
        <v>3720</v>
      </c>
      <c r="E20" s="17" t="s">
        <v>30</v>
      </c>
      <c r="F20" s="57">
        <v>200</v>
      </c>
      <c r="G20" s="9">
        <v>1600</v>
      </c>
      <c r="H20" s="60">
        <v>0</v>
      </c>
      <c r="I20" s="57">
        <v>210</v>
      </c>
      <c r="J20" s="57">
        <v>3880</v>
      </c>
      <c r="K20" s="60">
        <v>0</v>
      </c>
      <c r="L20" s="16" t="s">
        <v>30</v>
      </c>
      <c r="M20" s="57">
        <v>160</v>
      </c>
      <c r="N20" s="57">
        <v>2000</v>
      </c>
      <c r="O20" s="57">
        <v>0</v>
      </c>
      <c r="P20" s="16" t="s">
        <v>30</v>
      </c>
      <c r="Q20" s="57">
        <v>143</v>
      </c>
      <c r="R20" s="57">
        <v>2288</v>
      </c>
      <c r="S20" s="57">
        <v>0</v>
      </c>
      <c r="T20" s="51" t="s">
        <v>30</v>
      </c>
      <c r="U20" s="9">
        <v>118</v>
      </c>
      <c r="V20" s="61">
        <v>3300</v>
      </c>
      <c r="W20" s="9">
        <v>73</v>
      </c>
      <c r="X20" s="9">
        <v>1300</v>
      </c>
      <c r="Y20" s="9">
        <v>65</v>
      </c>
      <c r="Z20" s="61">
        <v>1300</v>
      </c>
      <c r="AA20" s="17" t="s">
        <v>30</v>
      </c>
      <c r="AB20" s="9">
        <v>54</v>
      </c>
      <c r="AC20" s="61">
        <v>1080</v>
      </c>
      <c r="AD20" s="61">
        <v>1324</v>
      </c>
      <c r="AE20" s="61">
        <v>16480</v>
      </c>
      <c r="AF20" s="17" t="s">
        <v>30</v>
      </c>
      <c r="AG20" s="61">
        <v>2284</v>
      </c>
      <c r="AH20" s="61">
        <v>45680</v>
      </c>
      <c r="AJ20" s="102"/>
      <c r="AK20" s="102"/>
      <c r="AL20" s="102"/>
      <c r="AM20" s="102"/>
    </row>
    <row r="21" spans="1:39" x14ac:dyDescent="0.3">
      <c r="A21" s="17" t="s">
        <v>33</v>
      </c>
      <c r="B21" s="17" t="s">
        <v>40</v>
      </c>
      <c r="C21" s="66">
        <v>1106</v>
      </c>
      <c r="D21" s="57">
        <v>464</v>
      </c>
      <c r="E21" s="17" t="s">
        <v>4</v>
      </c>
      <c r="F21" s="57"/>
      <c r="G21" s="9"/>
      <c r="H21" s="59"/>
      <c r="I21" s="9">
        <v>160</v>
      </c>
      <c r="J21" s="9">
        <v>80</v>
      </c>
      <c r="K21" s="9">
        <v>0</v>
      </c>
      <c r="L21" s="105" t="s">
        <v>4</v>
      </c>
      <c r="M21" s="57">
        <v>1552</v>
      </c>
      <c r="N21" s="57">
        <v>379</v>
      </c>
      <c r="O21" s="57">
        <v>15</v>
      </c>
      <c r="P21" s="105" t="s">
        <v>4</v>
      </c>
      <c r="Q21" s="57">
        <v>4278</v>
      </c>
      <c r="R21" s="57">
        <v>1201</v>
      </c>
      <c r="S21" s="57">
        <v>0</v>
      </c>
      <c r="U21" s="9"/>
      <c r="V21" s="9"/>
      <c r="W21" s="9"/>
      <c r="X21" s="9"/>
      <c r="Y21" s="2"/>
      <c r="Z21" s="2"/>
      <c r="AA21" s="17"/>
      <c r="AB21" s="2"/>
      <c r="AC21" s="9"/>
      <c r="AD21" s="2"/>
      <c r="AE21" s="2"/>
      <c r="AF21" s="17"/>
      <c r="AG21" s="9"/>
      <c r="AH21" s="9"/>
      <c r="AJ21" s="102"/>
      <c r="AK21" s="102"/>
      <c r="AL21" s="102"/>
      <c r="AM21" s="102"/>
    </row>
    <row r="22" spans="1:39" x14ac:dyDescent="0.3">
      <c r="A22" s="9" t="s">
        <v>33</v>
      </c>
      <c r="B22" s="17"/>
      <c r="C22" s="66"/>
      <c r="D22" s="57"/>
      <c r="E22" s="17" t="s">
        <v>36</v>
      </c>
      <c r="F22" s="57">
        <v>762</v>
      </c>
      <c r="G22" s="9">
        <v>381</v>
      </c>
      <c r="H22" s="60">
        <v>0</v>
      </c>
      <c r="I22" s="9">
        <v>246</v>
      </c>
      <c r="J22" s="9">
        <v>123</v>
      </c>
      <c r="K22" s="9">
        <v>0</v>
      </c>
      <c r="L22" s="64"/>
      <c r="M22" s="57"/>
      <c r="N22" s="57"/>
      <c r="O22" s="57"/>
      <c r="P22" s="105"/>
      <c r="Q22" s="57"/>
      <c r="R22" s="57"/>
      <c r="S22" s="57"/>
      <c r="U22" s="9"/>
      <c r="V22" s="9"/>
      <c r="W22" s="9"/>
      <c r="X22" s="9"/>
      <c r="Y22" s="2"/>
      <c r="Z22" s="2"/>
      <c r="AA22" s="17"/>
      <c r="AB22" s="2"/>
      <c r="AC22" s="9"/>
      <c r="AD22" s="2"/>
      <c r="AE22" s="2"/>
      <c r="AF22" s="17"/>
      <c r="AG22" s="9"/>
      <c r="AH22" s="9"/>
      <c r="AJ22" s="102"/>
      <c r="AK22" s="102"/>
      <c r="AL22" s="102"/>
      <c r="AM22" s="102"/>
    </row>
    <row r="23" spans="1:39" x14ac:dyDescent="0.3">
      <c r="A23" s="58" t="s">
        <v>97</v>
      </c>
      <c r="B23" s="17"/>
      <c r="C23" s="2"/>
      <c r="D23" s="2"/>
      <c r="E23" s="17"/>
      <c r="F23" s="9"/>
      <c r="G23" s="17"/>
      <c r="H23" s="17"/>
      <c r="I23" s="9"/>
      <c r="J23" s="9"/>
      <c r="K23" s="9"/>
      <c r="L23" s="64"/>
      <c r="M23" s="57"/>
      <c r="N23" s="57"/>
      <c r="O23" s="9"/>
      <c r="P23" s="103"/>
      <c r="Q23" s="57"/>
      <c r="R23" s="57"/>
      <c r="S23" s="57"/>
      <c r="T23" s="17" t="s">
        <v>98</v>
      </c>
      <c r="U23" s="9"/>
      <c r="V23" s="9"/>
      <c r="W23" s="9"/>
      <c r="X23" s="9"/>
      <c r="Y23" s="61">
        <v>7000</v>
      </c>
      <c r="Z23" s="61">
        <v>4250</v>
      </c>
      <c r="AB23" s="2"/>
      <c r="AC23" s="9"/>
      <c r="AD23" s="2"/>
      <c r="AE23" s="2"/>
      <c r="AF23" s="51" t="s">
        <v>25</v>
      </c>
      <c r="AG23" s="61">
        <v>16662</v>
      </c>
      <c r="AH23" s="61">
        <v>16704</v>
      </c>
      <c r="AJ23" s="91"/>
      <c r="AK23" s="91"/>
      <c r="AL23" s="91"/>
      <c r="AM23" s="91"/>
    </row>
    <row r="24" spans="1:39" x14ac:dyDescent="0.3">
      <c r="A24" s="17" t="s">
        <v>292</v>
      </c>
      <c r="B24" s="17"/>
      <c r="C24" s="9"/>
      <c r="D24" s="9"/>
      <c r="E24" s="17"/>
      <c r="F24" s="57"/>
      <c r="G24" s="17"/>
      <c r="H24" s="74"/>
      <c r="I24" s="9"/>
      <c r="J24" s="66"/>
      <c r="K24" s="66"/>
      <c r="M24" s="2"/>
      <c r="N24" s="9"/>
      <c r="O24" s="9"/>
      <c r="Q24" s="17"/>
      <c r="U24" s="9"/>
      <c r="V24" s="9"/>
      <c r="W24" s="9"/>
      <c r="X24" s="9"/>
      <c r="Y24" s="2"/>
      <c r="Z24" s="2"/>
      <c r="AA24" s="17" t="s">
        <v>26</v>
      </c>
      <c r="AB24" s="9"/>
      <c r="AC24" s="9"/>
      <c r="AD24" s="61">
        <v>5936</v>
      </c>
      <c r="AE24" s="61">
        <v>4275</v>
      </c>
      <c r="AF24" s="17" t="s">
        <v>26</v>
      </c>
      <c r="AG24" s="107">
        <v>4000</v>
      </c>
      <c r="AH24" s="107">
        <v>3000</v>
      </c>
      <c r="AJ24" s="91"/>
      <c r="AK24" s="91"/>
      <c r="AL24" s="91"/>
      <c r="AM24" s="91"/>
    </row>
    <row r="25" spans="1:39" x14ac:dyDescent="0.3">
      <c r="A25" s="104" t="s">
        <v>38</v>
      </c>
      <c r="B25" s="17"/>
      <c r="C25" s="9"/>
      <c r="D25" s="9"/>
      <c r="E25" s="17" t="s">
        <v>36</v>
      </c>
      <c r="F25" s="57"/>
      <c r="G25" s="17"/>
      <c r="H25" s="77"/>
      <c r="I25" s="57">
        <v>67</v>
      </c>
      <c r="J25" s="57">
        <v>132</v>
      </c>
      <c r="K25" s="60">
        <v>0</v>
      </c>
      <c r="M25" s="2"/>
      <c r="N25" s="2"/>
      <c r="O25" s="9"/>
      <c r="U25" s="9"/>
      <c r="V25" s="9"/>
      <c r="W25" s="9"/>
      <c r="X25" s="9"/>
      <c r="Y25" s="2"/>
      <c r="Z25" s="2"/>
      <c r="AB25" s="2"/>
      <c r="AC25" s="2"/>
      <c r="AD25" s="2"/>
      <c r="AE25" s="2"/>
      <c r="AI25" s="108"/>
      <c r="AJ25" s="91"/>
      <c r="AK25" s="91"/>
      <c r="AL25" s="91"/>
      <c r="AM25" s="91"/>
    </row>
    <row r="26" spans="1:39" x14ac:dyDescent="0.3">
      <c r="A26" s="17" t="s">
        <v>293</v>
      </c>
      <c r="B26" s="51" t="s">
        <v>30</v>
      </c>
      <c r="C26" s="57">
        <v>196</v>
      </c>
      <c r="D26" s="66">
        <v>1960</v>
      </c>
      <c r="E26" s="17"/>
      <c r="F26" s="57"/>
      <c r="G26" s="17"/>
      <c r="H26" s="74"/>
      <c r="I26" s="9"/>
      <c r="J26" s="66"/>
      <c r="K26" s="66"/>
      <c r="M26" s="2"/>
      <c r="N26" s="9"/>
      <c r="O26" s="9"/>
      <c r="Q26" s="17"/>
      <c r="T26" s="17"/>
      <c r="U26" s="9"/>
      <c r="V26" s="9"/>
      <c r="W26" s="9"/>
      <c r="X26" s="9"/>
      <c r="Y26" s="9"/>
      <c r="Z26" s="9"/>
      <c r="AA26" s="17"/>
      <c r="AC26" s="17"/>
      <c r="AF26" s="17" t="s">
        <v>30</v>
      </c>
      <c r="AG26" s="9">
        <v>235</v>
      </c>
      <c r="AH26" s="61">
        <v>1827</v>
      </c>
      <c r="AI26" s="51" t="s">
        <v>30</v>
      </c>
      <c r="AJ26" s="109">
        <v>144</v>
      </c>
      <c r="AK26" s="109">
        <v>1080</v>
      </c>
      <c r="AL26" s="91"/>
      <c r="AM26" s="91"/>
    </row>
    <row r="27" spans="1:39" x14ac:dyDescent="0.3">
      <c r="A27" s="16" t="s">
        <v>15</v>
      </c>
      <c r="B27" s="17"/>
      <c r="C27" s="9"/>
      <c r="D27" s="9"/>
      <c r="E27" s="17"/>
      <c r="F27" s="9"/>
      <c r="G27" s="17"/>
      <c r="H27" s="17"/>
      <c r="I27" s="9"/>
      <c r="J27" s="9"/>
      <c r="K27" s="9"/>
      <c r="M27" s="2"/>
      <c r="N27" s="9"/>
      <c r="O27" s="9"/>
      <c r="Q27" s="17"/>
      <c r="T27" s="63" t="s">
        <v>4</v>
      </c>
      <c r="U27" s="61">
        <v>6270</v>
      </c>
      <c r="V27" s="61">
        <v>1347</v>
      </c>
      <c r="W27" s="61">
        <v>10363</v>
      </c>
      <c r="X27" s="61">
        <v>3793</v>
      </c>
      <c r="Y27" s="61">
        <v>8618</v>
      </c>
      <c r="Z27" s="61">
        <v>4253</v>
      </c>
      <c r="AA27" s="17" t="s">
        <v>4</v>
      </c>
      <c r="AB27" s="61">
        <v>5903</v>
      </c>
      <c r="AC27" s="61">
        <v>2668</v>
      </c>
      <c r="AD27" s="61">
        <v>11168</v>
      </c>
      <c r="AE27" s="61">
        <v>5558</v>
      </c>
      <c r="AF27" s="17" t="s">
        <v>4</v>
      </c>
      <c r="AG27" s="61">
        <v>1375</v>
      </c>
      <c r="AH27" s="9">
        <v>568</v>
      </c>
      <c r="AI27" s="51" t="s">
        <v>4</v>
      </c>
      <c r="AJ27" s="102">
        <v>8060</v>
      </c>
      <c r="AK27" s="102">
        <v>5039</v>
      </c>
      <c r="AL27" s="102">
        <v>7299</v>
      </c>
      <c r="AM27" s="102">
        <v>3035</v>
      </c>
    </row>
    <row r="28" spans="1:39" x14ac:dyDescent="0.3">
      <c r="A28" s="16" t="s">
        <v>16</v>
      </c>
      <c r="B28" s="17"/>
      <c r="C28" s="9"/>
      <c r="D28" s="9"/>
      <c r="E28" s="17" t="s">
        <v>17</v>
      </c>
      <c r="F28" s="9"/>
      <c r="G28" s="17"/>
      <c r="H28" s="17"/>
      <c r="I28" s="57">
        <v>53</v>
      </c>
      <c r="J28" s="57">
        <v>3710</v>
      </c>
      <c r="K28" s="60">
        <v>0</v>
      </c>
      <c r="L28" s="110" t="s">
        <v>17</v>
      </c>
      <c r="M28" s="57">
        <v>270</v>
      </c>
      <c r="N28" s="57">
        <v>16200</v>
      </c>
      <c r="O28" s="66">
        <v>0</v>
      </c>
      <c r="P28" s="110" t="s">
        <v>8</v>
      </c>
      <c r="Q28" s="66">
        <v>4</v>
      </c>
      <c r="R28" s="66">
        <v>240</v>
      </c>
      <c r="S28" s="66">
        <v>0</v>
      </c>
      <c r="T28" s="17" t="s">
        <v>8</v>
      </c>
      <c r="U28" s="9">
        <v>4</v>
      </c>
      <c r="V28" s="9">
        <v>83</v>
      </c>
      <c r="W28" s="9">
        <v>13</v>
      </c>
      <c r="X28" s="9">
        <v>900</v>
      </c>
      <c r="Y28" s="61">
        <v>3</v>
      </c>
      <c r="Z28" s="9">
        <v>174</v>
      </c>
      <c r="AA28" s="17" t="s">
        <v>8</v>
      </c>
      <c r="AB28" s="9">
        <v>1</v>
      </c>
      <c r="AC28" s="9">
        <v>58</v>
      </c>
      <c r="AD28" s="9"/>
      <c r="AE28" s="9"/>
      <c r="AF28" s="17" t="s">
        <v>8</v>
      </c>
      <c r="AG28" s="9">
        <v>183</v>
      </c>
      <c r="AH28" s="61">
        <v>10980</v>
      </c>
      <c r="AI28" s="51" t="s">
        <v>17</v>
      </c>
      <c r="AJ28" s="102">
        <v>323</v>
      </c>
      <c r="AK28" s="102">
        <v>25840</v>
      </c>
      <c r="AL28" s="102">
        <v>920</v>
      </c>
      <c r="AM28" s="102">
        <v>67447</v>
      </c>
    </row>
    <row r="29" spans="1:39" x14ac:dyDescent="0.3">
      <c r="A29" s="16" t="s">
        <v>20</v>
      </c>
      <c r="B29" s="17" t="s">
        <v>21</v>
      </c>
      <c r="C29" s="57">
        <v>320</v>
      </c>
      <c r="D29" s="57">
        <v>50</v>
      </c>
      <c r="E29" s="17" t="s">
        <v>21</v>
      </c>
      <c r="F29" s="57">
        <v>180</v>
      </c>
      <c r="G29" s="9">
        <v>900</v>
      </c>
      <c r="H29" s="60">
        <v>0</v>
      </c>
      <c r="I29" s="57">
        <v>479</v>
      </c>
      <c r="J29" s="57">
        <v>1197</v>
      </c>
      <c r="K29" s="60">
        <v>10</v>
      </c>
      <c r="L29" s="16" t="s">
        <v>21</v>
      </c>
      <c r="M29" s="57">
        <v>399</v>
      </c>
      <c r="N29" s="57">
        <v>1197</v>
      </c>
      <c r="O29" s="57">
        <v>0</v>
      </c>
      <c r="P29" s="16" t="s">
        <v>21</v>
      </c>
      <c r="Q29" s="57">
        <v>223</v>
      </c>
      <c r="R29" s="57">
        <v>548</v>
      </c>
      <c r="S29" s="57">
        <v>10</v>
      </c>
      <c r="T29" s="17"/>
      <c r="U29" s="9"/>
      <c r="V29" s="9"/>
      <c r="W29" s="9"/>
      <c r="X29" s="9"/>
      <c r="Y29" s="9"/>
      <c r="Z29" s="9"/>
      <c r="AA29" s="17"/>
      <c r="AB29" s="2"/>
      <c r="AC29" s="9"/>
      <c r="AD29" s="2"/>
      <c r="AE29" s="2"/>
      <c r="AF29" s="17"/>
      <c r="AG29" s="9"/>
      <c r="AH29" s="9"/>
      <c r="AJ29" s="102"/>
      <c r="AK29" s="102"/>
      <c r="AL29" s="102"/>
      <c r="AM29" s="102"/>
    </row>
    <row r="30" spans="1:39" x14ac:dyDescent="0.3">
      <c r="A30" s="104" t="s">
        <v>10</v>
      </c>
      <c r="B30" s="17"/>
      <c r="C30" s="9"/>
      <c r="D30" s="9"/>
      <c r="E30" s="9" t="s">
        <v>2</v>
      </c>
      <c r="F30" s="2">
        <v>75.5</v>
      </c>
      <c r="G30" s="2">
        <v>500</v>
      </c>
      <c r="H30" s="2">
        <v>0</v>
      </c>
      <c r="I30" s="2"/>
      <c r="J30" s="2"/>
      <c r="K30" s="2"/>
      <c r="L30" s="74"/>
      <c r="M30" s="66"/>
      <c r="N30" s="2"/>
      <c r="O30" s="57"/>
      <c r="Q30" s="66"/>
      <c r="R30" s="66"/>
      <c r="S30" s="66"/>
      <c r="U30" s="9"/>
      <c r="V30" s="9"/>
      <c r="W30" s="9"/>
      <c r="X30" s="9"/>
      <c r="Y30" s="2"/>
      <c r="Z30" s="2"/>
      <c r="AB30" s="2"/>
      <c r="AC30" s="2"/>
      <c r="AD30" s="2"/>
      <c r="AE30" s="2"/>
      <c r="AG30" s="2"/>
      <c r="AH30" s="2"/>
      <c r="AJ30" s="102"/>
      <c r="AK30" s="102"/>
      <c r="AL30" s="102"/>
      <c r="AM30" s="102"/>
    </row>
    <row r="31" spans="1:39" x14ac:dyDescent="0.3">
      <c r="A31" s="58" t="s">
        <v>10</v>
      </c>
      <c r="B31" s="17"/>
      <c r="C31" s="9"/>
      <c r="D31" s="9"/>
      <c r="E31" s="17" t="s">
        <v>36</v>
      </c>
      <c r="F31" s="57"/>
      <c r="G31" s="9"/>
      <c r="H31" s="60"/>
      <c r="I31" s="9">
        <v>174</v>
      </c>
      <c r="J31" s="9">
        <v>87</v>
      </c>
      <c r="K31" s="9">
        <v>0</v>
      </c>
      <c r="L31" s="74"/>
      <c r="M31" s="66"/>
      <c r="N31" s="2"/>
      <c r="O31" s="57"/>
      <c r="Q31" s="66"/>
      <c r="R31" s="66"/>
      <c r="S31" s="66"/>
      <c r="U31" s="9"/>
      <c r="V31" s="9"/>
      <c r="W31" s="9"/>
      <c r="X31" s="9"/>
      <c r="Y31" s="2"/>
      <c r="Z31" s="2"/>
      <c r="AB31" s="2"/>
      <c r="AC31" s="2"/>
      <c r="AD31" s="2"/>
      <c r="AE31" s="2"/>
      <c r="AG31" s="2"/>
      <c r="AH31" s="2"/>
      <c r="AJ31" s="102"/>
      <c r="AK31" s="102"/>
      <c r="AL31" s="102"/>
      <c r="AM31" s="102"/>
    </row>
    <row r="32" spans="1:39" x14ac:dyDescent="0.3">
      <c r="A32" s="17" t="s">
        <v>350</v>
      </c>
      <c r="B32" s="17"/>
      <c r="C32" s="9"/>
      <c r="D32" s="9"/>
      <c r="E32" s="17" t="s">
        <v>4</v>
      </c>
      <c r="F32" s="57">
        <v>480</v>
      </c>
      <c r="G32" s="9">
        <v>195</v>
      </c>
      <c r="H32" s="60">
        <v>10</v>
      </c>
      <c r="I32" s="57">
        <v>2403</v>
      </c>
      <c r="J32" s="57">
        <v>1000</v>
      </c>
      <c r="K32" s="60">
        <v>0</v>
      </c>
      <c r="L32" s="105" t="s">
        <v>4</v>
      </c>
      <c r="M32" s="111">
        <v>1450.5</v>
      </c>
      <c r="N32" s="9">
        <v>483</v>
      </c>
      <c r="O32" s="57">
        <v>10</v>
      </c>
      <c r="P32" s="105" t="s">
        <v>4</v>
      </c>
      <c r="Q32" s="111">
        <v>2710.5</v>
      </c>
      <c r="R32" s="66">
        <v>723</v>
      </c>
      <c r="S32" s="66">
        <v>0</v>
      </c>
      <c r="U32" s="9"/>
      <c r="V32" s="9"/>
      <c r="W32" s="9"/>
      <c r="X32" s="9"/>
      <c r="Y32" s="2"/>
      <c r="Z32" s="2"/>
      <c r="AA32" s="17"/>
      <c r="AB32" s="2"/>
      <c r="AC32" s="9"/>
      <c r="AD32" s="2"/>
      <c r="AE32" s="2"/>
      <c r="AF32" s="17"/>
      <c r="AG32" s="9"/>
      <c r="AH32" s="9"/>
      <c r="AJ32" s="102"/>
      <c r="AK32" s="102"/>
      <c r="AL32" s="102"/>
      <c r="AM32" s="102"/>
    </row>
    <row r="33" spans="1:82" x14ac:dyDescent="0.3">
      <c r="A33" s="104" t="s">
        <v>39</v>
      </c>
      <c r="B33" s="17" t="s">
        <v>4</v>
      </c>
      <c r="C33" s="83">
        <v>4410</v>
      </c>
      <c r="D33" s="83">
        <v>1836</v>
      </c>
      <c r="E33" s="17"/>
      <c r="F33" s="17"/>
      <c r="G33" s="17"/>
      <c r="H33" s="17"/>
      <c r="I33" s="17"/>
      <c r="J33" s="17"/>
      <c r="K33" s="17"/>
      <c r="L33" s="74"/>
      <c r="M33" s="66"/>
      <c r="N33" s="2"/>
      <c r="O33" s="57"/>
      <c r="Q33" s="66"/>
      <c r="R33" s="66"/>
      <c r="S33" s="66"/>
      <c r="U33" s="9"/>
      <c r="V33" s="9"/>
      <c r="W33" s="9"/>
      <c r="X33" s="9"/>
      <c r="Y33" s="2"/>
      <c r="Z33" s="2"/>
      <c r="AB33" s="2"/>
      <c r="AC33" s="2"/>
      <c r="AD33" s="2"/>
      <c r="AE33" s="2"/>
      <c r="AG33" s="2"/>
      <c r="AH33" s="2"/>
      <c r="AJ33" s="102"/>
      <c r="AK33" s="102"/>
      <c r="AL33" s="102"/>
      <c r="AM33" s="102"/>
    </row>
    <row r="34" spans="1:82" x14ac:dyDescent="0.3">
      <c r="A34" s="16" t="s">
        <v>18</v>
      </c>
      <c r="B34" s="74"/>
      <c r="C34" s="9"/>
      <c r="D34" s="9"/>
      <c r="E34" s="17"/>
      <c r="F34" s="17"/>
      <c r="G34" s="17"/>
      <c r="H34" s="17"/>
      <c r="I34" s="17"/>
      <c r="J34" s="17"/>
      <c r="K34" s="17"/>
      <c r="L34" s="74"/>
      <c r="M34" s="66"/>
      <c r="N34" s="9"/>
      <c r="O34" s="57"/>
      <c r="Q34" s="74"/>
      <c r="R34" s="74"/>
      <c r="S34" s="74"/>
      <c r="T34" s="17"/>
      <c r="U34" s="9"/>
      <c r="V34" s="9"/>
      <c r="W34" s="9"/>
      <c r="X34" s="9"/>
      <c r="Y34" s="9"/>
      <c r="Z34" s="9"/>
      <c r="AA34" s="17" t="s">
        <v>4</v>
      </c>
      <c r="AB34" s="2"/>
      <c r="AC34" s="9"/>
      <c r="AD34" s="106">
        <v>56.5</v>
      </c>
      <c r="AE34" s="9">
        <v>55</v>
      </c>
      <c r="AF34" s="17" t="s">
        <v>4</v>
      </c>
      <c r="AG34" s="61">
        <v>1007</v>
      </c>
      <c r="AH34" s="61">
        <v>1007</v>
      </c>
      <c r="AI34" s="51" t="s">
        <v>4</v>
      </c>
      <c r="AJ34" s="102">
        <v>378</v>
      </c>
      <c r="AK34" s="102">
        <v>378</v>
      </c>
      <c r="AL34" s="102">
        <v>1477</v>
      </c>
      <c r="AM34" s="102">
        <v>1929</v>
      </c>
    </row>
    <row r="35" spans="1:82" x14ac:dyDescent="0.3">
      <c r="A35" s="17" t="s">
        <v>12</v>
      </c>
      <c r="B35" s="17" t="s">
        <v>2</v>
      </c>
      <c r="C35" s="57">
        <v>311</v>
      </c>
      <c r="D35" s="66">
        <v>1274</v>
      </c>
      <c r="E35" s="17" t="s">
        <v>2</v>
      </c>
      <c r="F35" s="9">
        <v>1230</v>
      </c>
      <c r="G35" s="9">
        <v>5997</v>
      </c>
      <c r="H35" s="9">
        <v>0</v>
      </c>
      <c r="I35" s="9">
        <v>190.5</v>
      </c>
      <c r="J35" s="9">
        <v>1006</v>
      </c>
      <c r="K35" s="9">
        <v>10</v>
      </c>
      <c r="L35" s="16" t="s">
        <v>4</v>
      </c>
      <c r="M35" s="66">
        <v>9195</v>
      </c>
      <c r="N35" s="9">
        <v>2064</v>
      </c>
      <c r="O35" s="57">
        <v>0</v>
      </c>
      <c r="P35" s="16" t="s">
        <v>4</v>
      </c>
      <c r="Q35" s="112">
        <v>77907.25</v>
      </c>
      <c r="R35" s="66">
        <v>7723</v>
      </c>
      <c r="S35" s="66">
        <v>25</v>
      </c>
      <c r="T35" s="63" t="s">
        <v>4</v>
      </c>
      <c r="U35" s="61">
        <v>129143</v>
      </c>
      <c r="V35" s="61">
        <v>15662</v>
      </c>
      <c r="W35" s="61">
        <v>109909</v>
      </c>
      <c r="X35" s="61">
        <v>34952</v>
      </c>
      <c r="Y35" s="61">
        <v>16532</v>
      </c>
      <c r="Z35" s="61">
        <v>5564</v>
      </c>
      <c r="AA35" s="17" t="s">
        <v>4</v>
      </c>
      <c r="AB35" s="61">
        <v>1165</v>
      </c>
      <c r="AC35" s="9">
        <v>299</v>
      </c>
      <c r="AD35" s="61">
        <v>2130</v>
      </c>
      <c r="AE35" s="9">
        <v>536</v>
      </c>
      <c r="AF35" s="17" t="s">
        <v>4</v>
      </c>
      <c r="AG35" s="2">
        <v>3723</v>
      </c>
      <c r="AH35" s="2">
        <v>1707</v>
      </c>
      <c r="AJ35" s="102"/>
      <c r="AK35" s="102"/>
      <c r="AL35" s="102"/>
      <c r="AM35" s="102"/>
    </row>
    <row r="36" spans="1:82" x14ac:dyDescent="0.3">
      <c r="A36" s="9" t="s">
        <v>12</v>
      </c>
      <c r="B36" s="17"/>
      <c r="C36" s="57"/>
      <c r="D36" s="66"/>
      <c r="E36" s="17" t="s">
        <v>36</v>
      </c>
      <c r="F36" s="9">
        <v>23124</v>
      </c>
      <c r="G36" s="9">
        <v>8360</v>
      </c>
      <c r="H36" s="9">
        <v>0</v>
      </c>
      <c r="I36" s="9">
        <v>1296</v>
      </c>
      <c r="J36" s="9">
        <v>550</v>
      </c>
      <c r="K36" s="9">
        <v>15</v>
      </c>
      <c r="L36" s="74"/>
      <c r="M36" s="66"/>
      <c r="N36" s="9"/>
      <c r="O36" s="57"/>
      <c r="Q36" s="66"/>
      <c r="R36" s="66"/>
      <c r="S36" s="66"/>
      <c r="T36" s="63"/>
      <c r="U36" s="61"/>
      <c r="V36" s="61"/>
      <c r="W36" s="61"/>
      <c r="X36" s="9"/>
      <c r="Y36" s="61"/>
      <c r="Z36" s="61"/>
      <c r="AA36" s="17"/>
      <c r="AB36" s="61"/>
      <c r="AC36" s="9"/>
      <c r="AD36" s="61"/>
      <c r="AE36" s="9"/>
      <c r="AF36" s="17"/>
      <c r="AG36" s="61"/>
      <c r="AH36" s="61"/>
      <c r="AJ36" s="102"/>
      <c r="AK36" s="102"/>
      <c r="AL36" s="102"/>
      <c r="AM36" s="102"/>
    </row>
    <row r="37" spans="1:82" x14ac:dyDescent="0.3">
      <c r="A37" s="16" t="s">
        <v>348</v>
      </c>
      <c r="B37" s="17" t="s">
        <v>25</v>
      </c>
      <c r="C37" s="66">
        <v>2080</v>
      </c>
      <c r="D37" s="66">
        <v>15757</v>
      </c>
      <c r="E37" s="17" t="s">
        <v>21</v>
      </c>
      <c r="F37" s="9">
        <v>1079</v>
      </c>
      <c r="G37" s="9">
        <v>5579</v>
      </c>
      <c r="H37" s="9">
        <v>0</v>
      </c>
      <c r="I37" s="9">
        <v>2506</v>
      </c>
      <c r="J37" s="9">
        <v>14536</v>
      </c>
      <c r="K37" s="9">
        <v>0</v>
      </c>
      <c r="L37" s="105" t="s">
        <v>21</v>
      </c>
      <c r="M37" s="57">
        <v>2018</v>
      </c>
      <c r="N37" s="9">
        <v>9858</v>
      </c>
      <c r="O37" s="66">
        <v>0</v>
      </c>
      <c r="P37" s="105" t="s">
        <v>21</v>
      </c>
      <c r="Q37" s="66">
        <v>2129</v>
      </c>
      <c r="R37" s="66">
        <v>8516</v>
      </c>
      <c r="S37" s="66">
        <v>0</v>
      </c>
      <c r="T37" s="63" t="s">
        <v>4</v>
      </c>
      <c r="U37" s="61">
        <v>7267</v>
      </c>
      <c r="V37" s="61">
        <v>7748</v>
      </c>
      <c r="W37" s="61">
        <v>8082</v>
      </c>
      <c r="X37" s="61">
        <v>15847</v>
      </c>
      <c r="Y37" s="61">
        <v>4856</v>
      </c>
      <c r="Z37" s="61">
        <v>9714</v>
      </c>
      <c r="AA37" s="17" t="s">
        <v>4</v>
      </c>
      <c r="AB37" s="61">
        <v>5001</v>
      </c>
      <c r="AC37" s="61">
        <v>10002</v>
      </c>
      <c r="AD37" s="61">
        <v>4712</v>
      </c>
      <c r="AE37" s="61">
        <v>9560</v>
      </c>
      <c r="AF37" s="17" t="s">
        <v>4</v>
      </c>
      <c r="AG37" s="61">
        <v>5895</v>
      </c>
      <c r="AH37" s="61">
        <v>11890</v>
      </c>
      <c r="AI37" s="51" t="s">
        <v>4</v>
      </c>
      <c r="AJ37" s="102">
        <v>8391</v>
      </c>
      <c r="AK37" s="102">
        <v>16782</v>
      </c>
      <c r="AL37" s="102">
        <v>4029</v>
      </c>
      <c r="AM37" s="102">
        <v>5346</v>
      </c>
    </row>
    <row r="38" spans="1:82" x14ac:dyDescent="0.3">
      <c r="B38" s="17"/>
      <c r="C38" s="74"/>
      <c r="D38" s="74"/>
      <c r="AG38" s="2"/>
      <c r="AH38" s="2"/>
      <c r="AJ38" s="102"/>
      <c r="AK38" s="102"/>
      <c r="AL38" s="102"/>
      <c r="AM38" s="102"/>
    </row>
    <row r="39" spans="1:82" x14ac:dyDescent="0.3">
      <c r="B39" s="17"/>
      <c r="C39" s="64"/>
      <c r="D39" s="74"/>
      <c r="AG39" s="2"/>
      <c r="AH39" s="2"/>
      <c r="AJ39" s="102"/>
      <c r="AK39" s="102"/>
      <c r="AL39" s="102"/>
      <c r="AM39" s="102"/>
    </row>
    <row r="40" spans="1:82" x14ac:dyDescent="0.3">
      <c r="A40" s="1" t="s">
        <v>99</v>
      </c>
      <c r="B40" s="2"/>
      <c r="F40" s="3"/>
      <c r="G40" s="2"/>
      <c r="J40" s="3"/>
      <c r="L40" s="51"/>
      <c r="M40" s="2"/>
      <c r="N40" s="3"/>
      <c r="P40" s="51"/>
      <c r="R40" s="3"/>
      <c r="S40" s="51"/>
      <c r="U40" s="51"/>
      <c r="V40" s="3"/>
      <c r="W40" s="51"/>
      <c r="X40" s="51"/>
      <c r="Y40" s="3"/>
      <c r="Z40" s="2"/>
      <c r="AB40" s="3"/>
      <c r="AF40" s="3"/>
      <c r="AI40" s="3"/>
      <c r="AM40" s="3"/>
      <c r="AO40" s="4"/>
      <c r="AQ40" s="3"/>
      <c r="AS40" s="2"/>
      <c r="AU40" s="3"/>
      <c r="AY40" s="3"/>
      <c r="BC40" s="3"/>
      <c r="BF40" s="3"/>
      <c r="BJ40" s="3"/>
      <c r="BM40" s="3"/>
      <c r="BQ40" s="3"/>
      <c r="BT40" s="3"/>
      <c r="BW40" s="3"/>
      <c r="CA40" s="3"/>
      <c r="CD40" s="3"/>
    </row>
    <row r="41" spans="1:82" s="2" customFormat="1" x14ac:dyDescent="0.3">
      <c r="A41" s="2" t="s">
        <v>100</v>
      </c>
      <c r="B41" s="2">
        <v>1</v>
      </c>
      <c r="C41" s="3" t="s">
        <v>101</v>
      </c>
      <c r="D41" s="95">
        <v>108</v>
      </c>
      <c r="E41" s="3" t="s">
        <v>102</v>
      </c>
      <c r="H41" s="95"/>
      <c r="I41" s="3"/>
      <c r="K41" s="5"/>
      <c r="M41" s="3"/>
      <c r="O41" s="95"/>
      <c r="P41" s="4"/>
      <c r="Q41" s="3"/>
      <c r="R41" s="12"/>
      <c r="T41" s="95"/>
      <c r="U41" s="3"/>
      <c r="X41" s="3"/>
      <c r="Z41" s="95"/>
      <c r="AA41" s="3"/>
      <c r="AE41" s="3"/>
      <c r="AG41" s="95"/>
      <c r="AH41" s="3"/>
      <c r="AK41" s="95"/>
      <c r="AL41" s="3"/>
      <c r="AO41" s="95"/>
      <c r="AP41" s="3"/>
      <c r="AS41" s="95"/>
      <c r="AT41" s="3"/>
      <c r="AW41" s="95"/>
      <c r="AX41" s="3"/>
      <c r="BA41" s="95"/>
      <c r="BB41" s="3"/>
      <c r="BE41" s="3"/>
      <c r="BG41" s="95"/>
      <c r="BI41" s="3"/>
      <c r="BK41" s="95"/>
      <c r="BL41" s="3"/>
      <c r="BP41" s="3"/>
      <c r="BS41" s="3"/>
      <c r="BV41" s="3"/>
      <c r="BZ41" s="3"/>
      <c r="CC41" s="3"/>
    </row>
    <row r="42" spans="1:82" s="2" customFormat="1" x14ac:dyDescent="0.3">
      <c r="A42" s="2" t="s">
        <v>100</v>
      </c>
      <c r="B42" s="2">
        <v>1</v>
      </c>
      <c r="C42" s="3" t="s">
        <v>103</v>
      </c>
      <c r="D42" s="95">
        <v>32.5</v>
      </c>
      <c r="E42" s="3" t="s">
        <v>102</v>
      </c>
      <c r="H42" s="95"/>
      <c r="I42" s="3"/>
      <c r="M42" s="3"/>
      <c r="N42" s="51"/>
      <c r="O42" s="95"/>
      <c r="Q42" s="3"/>
      <c r="R42" s="12"/>
      <c r="T42" s="95"/>
      <c r="U42" s="3"/>
      <c r="X42" s="3"/>
      <c r="Z42" s="95"/>
      <c r="AA42" s="3"/>
      <c r="AE42" s="3"/>
      <c r="AG42" s="95"/>
      <c r="AH42" s="3"/>
      <c r="AK42" s="95"/>
      <c r="AL42" s="3"/>
      <c r="AO42" s="95"/>
      <c r="AP42" s="3"/>
      <c r="AS42" s="95"/>
      <c r="AT42" s="3"/>
      <c r="AW42" s="95"/>
      <c r="AX42" s="3"/>
      <c r="BA42" s="95"/>
      <c r="BB42" s="3"/>
      <c r="BE42" s="3"/>
      <c r="BG42" s="95"/>
      <c r="BI42" s="3"/>
      <c r="BK42" s="95"/>
      <c r="BL42" s="3"/>
      <c r="BP42" s="3"/>
      <c r="BS42" s="3"/>
      <c r="BV42" s="3"/>
      <c r="BZ42" s="3"/>
      <c r="CC42" s="3"/>
    </row>
    <row r="43" spans="1:82" x14ac:dyDescent="0.3">
      <c r="A43" s="2"/>
      <c r="B43" s="2">
        <v>1</v>
      </c>
      <c r="C43" s="3" t="s">
        <v>104</v>
      </c>
      <c r="D43" s="95">
        <v>6.5</v>
      </c>
      <c r="E43" s="6" t="s">
        <v>102</v>
      </c>
      <c r="F43" s="2"/>
      <c r="G43" s="3"/>
      <c r="H43" s="95"/>
      <c r="I43" s="3"/>
      <c r="J43" s="3"/>
      <c r="K43" s="95"/>
      <c r="L43" s="3"/>
      <c r="M43" s="3"/>
      <c r="O43" s="95"/>
      <c r="P43" s="51"/>
      <c r="Q43" s="3"/>
      <c r="S43" s="51"/>
      <c r="T43" s="95"/>
      <c r="U43" s="3"/>
      <c r="V43" s="51"/>
      <c r="W43" s="12"/>
      <c r="X43" s="3"/>
      <c r="Z43" s="95"/>
      <c r="AA43" s="3"/>
      <c r="AE43" s="3"/>
      <c r="AG43" s="95"/>
      <c r="AH43" s="3"/>
      <c r="AK43" s="95"/>
      <c r="AL43" s="3"/>
      <c r="AO43" s="95"/>
      <c r="AP43" s="3"/>
      <c r="AS43" s="95"/>
      <c r="AT43" s="3"/>
      <c r="AW43" s="95"/>
      <c r="AX43" s="3"/>
      <c r="BA43" s="95"/>
      <c r="BB43" s="3"/>
      <c r="BE43" s="3"/>
      <c r="BG43" s="95"/>
      <c r="BI43" s="3"/>
      <c r="BK43" s="95"/>
      <c r="BL43" s="3"/>
      <c r="BP43" s="3"/>
      <c r="BS43" s="3"/>
      <c r="BV43" s="3"/>
      <c r="BZ43" s="3"/>
      <c r="CC43" s="3"/>
    </row>
    <row r="44" spans="1:82" x14ac:dyDescent="0.3">
      <c r="A44" s="2"/>
      <c r="B44" s="2">
        <v>1</v>
      </c>
      <c r="C44" s="3" t="s">
        <v>105</v>
      </c>
      <c r="D44" s="95">
        <v>112</v>
      </c>
      <c r="E44" s="3" t="s">
        <v>106</v>
      </c>
      <c r="F44" s="2"/>
      <c r="G44" s="3"/>
      <c r="H44" s="95"/>
      <c r="I44" s="3"/>
      <c r="J44" s="3"/>
      <c r="K44" s="95"/>
      <c r="L44" s="3"/>
      <c r="M44" s="3"/>
      <c r="O44" s="95"/>
      <c r="P44" s="51"/>
      <c r="Q44" s="3"/>
      <c r="S44" s="51"/>
      <c r="T44" s="95"/>
      <c r="U44" s="3"/>
      <c r="V44" s="51"/>
      <c r="W44" s="12"/>
      <c r="X44" s="3"/>
      <c r="Z44" s="95"/>
      <c r="AA44" s="3"/>
      <c r="AE44" s="3"/>
      <c r="AG44" s="95"/>
      <c r="AH44" s="3"/>
      <c r="AK44" s="95"/>
      <c r="AL44" s="3"/>
      <c r="AO44" s="95"/>
      <c r="AP44" s="3"/>
      <c r="AS44" s="95"/>
      <c r="AT44" s="3"/>
      <c r="AW44" s="95"/>
      <c r="AX44" s="3"/>
      <c r="BA44" s="95"/>
      <c r="BB44" s="3"/>
      <c r="BE44" s="3"/>
      <c r="BG44" s="95"/>
      <c r="BI44" s="3"/>
      <c r="BK44" s="95"/>
      <c r="BL44" s="3"/>
      <c r="BP44" s="3"/>
      <c r="BS44" s="3"/>
      <c r="BV44" s="3"/>
      <c r="BZ44" s="3"/>
      <c r="CC44" s="3"/>
    </row>
    <row r="45" spans="1:82" x14ac:dyDescent="0.3">
      <c r="A45" s="2"/>
      <c r="B45" s="2">
        <v>1</v>
      </c>
      <c r="C45" s="3" t="s">
        <v>105</v>
      </c>
      <c r="D45" s="95">
        <f>D44/D43</f>
        <v>17.23076923076923</v>
      </c>
      <c r="E45" s="3" t="s">
        <v>104</v>
      </c>
      <c r="F45" s="2"/>
      <c r="G45" s="95"/>
      <c r="H45" s="95"/>
      <c r="I45" s="3"/>
      <c r="J45" s="95"/>
      <c r="L45" s="95"/>
      <c r="M45" s="3"/>
      <c r="O45" s="95"/>
      <c r="P45" s="95"/>
      <c r="Q45" s="3"/>
      <c r="S45" s="51"/>
      <c r="T45" s="95"/>
      <c r="U45" s="3"/>
      <c r="V45" s="12"/>
      <c r="W45" s="2"/>
      <c r="X45" s="3"/>
      <c r="Z45" s="95"/>
      <c r="AA45" s="3"/>
      <c r="AE45" s="3"/>
      <c r="AG45" s="95"/>
      <c r="AH45" s="3"/>
      <c r="AK45" s="95"/>
      <c r="AL45" s="3"/>
      <c r="AN45" s="12"/>
      <c r="AO45" s="95"/>
      <c r="AP45" s="3"/>
      <c r="AS45" s="95"/>
      <c r="AT45" s="3"/>
      <c r="AW45" s="95"/>
      <c r="AX45" s="3"/>
      <c r="BA45" s="95"/>
      <c r="BB45" s="3"/>
      <c r="BE45" s="3"/>
      <c r="BG45" s="95"/>
      <c r="BI45" s="3"/>
      <c r="BK45" s="95"/>
      <c r="BL45" s="3"/>
      <c r="BP45" s="3"/>
      <c r="BS45" s="3"/>
      <c r="BV45" s="3"/>
      <c r="BZ45" s="3"/>
      <c r="CC45" s="3"/>
    </row>
    <row r="46" spans="1:82" s="2" customFormat="1" ht="15" customHeight="1" x14ac:dyDescent="0.3">
      <c r="B46" s="154">
        <v>1</v>
      </c>
      <c r="C46" s="155" t="s">
        <v>107</v>
      </c>
      <c r="D46" s="156">
        <v>130</v>
      </c>
      <c r="E46" s="157" t="s">
        <v>102</v>
      </c>
      <c r="F46" s="7"/>
      <c r="G46" s="8"/>
      <c r="H46" s="96"/>
      <c r="I46" s="3"/>
      <c r="J46" s="8"/>
      <c r="K46" s="8"/>
      <c r="L46" s="8"/>
      <c r="M46" s="3"/>
      <c r="N46" s="8"/>
      <c r="O46" s="96"/>
      <c r="P46" s="8"/>
      <c r="Q46" s="3"/>
      <c r="R46" s="8"/>
      <c r="S46" s="8"/>
      <c r="T46" s="96"/>
      <c r="U46" s="3"/>
      <c r="V46" s="8"/>
      <c r="X46" s="3"/>
      <c r="Z46" s="96"/>
      <c r="AA46" s="3"/>
      <c r="AE46" s="3"/>
      <c r="AG46" s="96"/>
      <c r="AH46" s="3"/>
      <c r="AK46" s="96"/>
      <c r="AL46" s="3"/>
      <c r="AO46" s="96"/>
      <c r="AP46" s="3"/>
      <c r="AS46" s="96"/>
      <c r="AT46" s="3"/>
      <c r="AW46" s="96"/>
      <c r="AX46" s="3"/>
      <c r="BA46" s="96"/>
      <c r="BB46" s="3"/>
      <c r="BE46" s="3"/>
      <c r="BG46" s="96"/>
      <c r="BI46" s="3"/>
      <c r="BK46" s="96"/>
      <c r="BL46" s="3"/>
      <c r="BP46" s="3"/>
      <c r="BS46" s="3"/>
      <c r="BV46" s="3"/>
      <c r="BZ46" s="3"/>
      <c r="CC46" s="3"/>
    </row>
    <row r="47" spans="1:82" s="2" customFormat="1" ht="28.8" customHeight="1" x14ac:dyDescent="0.3">
      <c r="B47" s="154"/>
      <c r="C47" s="155"/>
      <c r="D47" s="156"/>
      <c r="E47" s="157"/>
      <c r="H47" s="96"/>
      <c r="I47" s="51"/>
      <c r="M47" s="51"/>
      <c r="O47" s="96"/>
      <c r="Q47" s="51"/>
      <c r="T47" s="96"/>
      <c r="U47" s="51"/>
      <c r="X47" s="51"/>
      <c r="Z47" s="96"/>
      <c r="AA47" s="51"/>
      <c r="AE47" s="51"/>
      <c r="AG47" s="96"/>
      <c r="AH47" s="51"/>
      <c r="AK47" s="96"/>
      <c r="AL47" s="51"/>
      <c r="AO47" s="96"/>
      <c r="AP47" s="51"/>
      <c r="AS47" s="96"/>
      <c r="AT47" s="51"/>
      <c r="AW47" s="96"/>
      <c r="AX47" s="51"/>
      <c r="BA47" s="96"/>
      <c r="BB47" s="51"/>
      <c r="BE47" s="51"/>
      <c r="BG47" s="96"/>
      <c r="BI47" s="51"/>
      <c r="BK47" s="96"/>
      <c r="BL47" s="51"/>
      <c r="BP47" s="51"/>
      <c r="BS47" s="51"/>
      <c r="BV47" s="51"/>
      <c r="BZ47" s="51"/>
      <c r="CC47" s="51"/>
    </row>
    <row r="48" spans="1:82" s="2" customFormat="1" x14ac:dyDescent="0.3">
      <c r="B48" s="9">
        <v>1</v>
      </c>
      <c r="C48" s="3" t="s">
        <v>108</v>
      </c>
      <c r="D48" s="95">
        <v>260</v>
      </c>
      <c r="E48" s="3" t="s">
        <v>102</v>
      </c>
      <c r="H48" s="95"/>
      <c r="I48" s="3"/>
      <c r="M48" s="3"/>
      <c r="O48" s="95"/>
      <c r="Q48" s="3"/>
      <c r="T48" s="95"/>
      <c r="U48" s="3"/>
      <c r="X48" s="3"/>
      <c r="Z48" s="95"/>
      <c r="AA48" s="3"/>
      <c r="AE48" s="3"/>
      <c r="AG48" s="95"/>
      <c r="AH48" s="3"/>
      <c r="AK48" s="95"/>
      <c r="AL48" s="3"/>
      <c r="AO48" s="95"/>
      <c r="AP48" s="3"/>
      <c r="AS48" s="95"/>
      <c r="AT48" s="3"/>
      <c r="AW48" s="95"/>
      <c r="AX48" s="3"/>
      <c r="BA48" s="95"/>
      <c r="BB48" s="3"/>
      <c r="BE48" s="3"/>
      <c r="BG48" s="95"/>
      <c r="BI48" s="3"/>
      <c r="BK48" s="95"/>
      <c r="BL48" s="3"/>
      <c r="BP48" s="3"/>
      <c r="BS48" s="3"/>
      <c r="BV48" s="3"/>
      <c r="BZ48" s="3"/>
      <c r="CC48" s="3"/>
    </row>
    <row r="49" spans="1:81" s="2" customFormat="1" x14ac:dyDescent="0.3">
      <c r="B49" s="9">
        <v>1</v>
      </c>
      <c r="C49" s="3" t="s">
        <v>352</v>
      </c>
      <c r="D49" s="95">
        <f>D46/D44</f>
        <v>1.1607142857142858</v>
      </c>
      <c r="E49" s="3" t="s">
        <v>109</v>
      </c>
      <c r="H49" s="95"/>
      <c r="I49" s="3"/>
      <c r="M49" s="3"/>
      <c r="O49" s="95"/>
      <c r="Q49" s="3"/>
      <c r="T49" s="95"/>
      <c r="U49" s="3"/>
      <c r="X49" s="3"/>
      <c r="Z49" s="95"/>
      <c r="AA49" s="3"/>
      <c r="AE49" s="3"/>
      <c r="AG49" s="95"/>
      <c r="AH49" s="3"/>
      <c r="AK49" s="95"/>
      <c r="AL49" s="3"/>
      <c r="AO49" s="95"/>
      <c r="AP49" s="3"/>
      <c r="AS49" s="95"/>
      <c r="AT49" s="3"/>
      <c r="AW49" s="95"/>
      <c r="AX49" s="3"/>
      <c r="BA49" s="95"/>
      <c r="BB49" s="3"/>
      <c r="BE49" s="3"/>
      <c r="BG49" s="95"/>
      <c r="BI49" s="3"/>
      <c r="BK49" s="95"/>
      <c r="BL49" s="3"/>
      <c r="BP49" s="3"/>
      <c r="BS49" s="3"/>
      <c r="BV49" s="3"/>
      <c r="BZ49" s="3"/>
      <c r="CC49" s="3"/>
    </row>
    <row r="50" spans="1:81" s="2" customFormat="1" x14ac:dyDescent="0.3">
      <c r="B50" s="9">
        <v>1</v>
      </c>
      <c r="C50" s="3" t="s">
        <v>108</v>
      </c>
      <c r="D50" s="95">
        <f>D48/D44</f>
        <v>2.3214285714285716</v>
      </c>
      <c r="E50" s="3" t="s">
        <v>109</v>
      </c>
      <c r="H50" s="95"/>
      <c r="I50" s="3"/>
      <c r="M50" s="3"/>
      <c r="O50" s="95"/>
      <c r="Q50" s="3"/>
      <c r="T50" s="95"/>
      <c r="U50" s="3"/>
      <c r="X50" s="3"/>
      <c r="Z50" s="95"/>
      <c r="AA50" s="3"/>
      <c r="AE50" s="3"/>
      <c r="AG50" s="95"/>
      <c r="AH50" s="3"/>
      <c r="AK50" s="95"/>
      <c r="AL50" s="3"/>
      <c r="AO50" s="95"/>
      <c r="AP50" s="3"/>
      <c r="AS50" s="95"/>
      <c r="AT50" s="3"/>
      <c r="AW50" s="95"/>
      <c r="AX50" s="3"/>
      <c r="BA50" s="95"/>
      <c r="BB50" s="3"/>
      <c r="BE50" s="3"/>
      <c r="BG50" s="95"/>
      <c r="BI50" s="3"/>
      <c r="BK50" s="95"/>
      <c r="BL50" s="3"/>
      <c r="BP50" s="3"/>
      <c r="BS50" s="3"/>
      <c r="BV50" s="3"/>
      <c r="BZ50" s="3"/>
      <c r="CC50" s="3"/>
    </row>
    <row r="51" spans="1:81" x14ac:dyDescent="0.3">
      <c r="A51" s="2"/>
      <c r="B51" s="9">
        <v>1</v>
      </c>
      <c r="C51" s="3" t="s">
        <v>110</v>
      </c>
      <c r="D51" s="95">
        <v>20</v>
      </c>
      <c r="E51" s="3" t="s">
        <v>109</v>
      </c>
      <c r="F51" s="97">
        <f>D51*D44</f>
        <v>2240</v>
      </c>
      <c r="G51" s="3" t="s">
        <v>102</v>
      </c>
      <c r="H51" s="97">
        <f>F51/D53</f>
        <v>420</v>
      </c>
      <c r="I51" s="11" t="s">
        <v>111</v>
      </c>
      <c r="J51" s="97">
        <f>F51/D52</f>
        <v>1016.048117135833</v>
      </c>
      <c r="K51" s="3" t="s">
        <v>112</v>
      </c>
      <c r="L51" s="10"/>
      <c r="P51" s="10"/>
      <c r="S51" s="51"/>
      <c r="T51" s="10"/>
      <c r="U51" s="51"/>
      <c r="V51" s="2"/>
      <c r="W51" s="10"/>
      <c r="X51" s="51"/>
      <c r="Z51" s="10"/>
      <c r="AA51" s="12"/>
      <c r="AB51" s="12"/>
      <c r="AD51" s="10"/>
      <c r="AG51" s="10"/>
      <c r="AK51" s="10"/>
      <c r="AO51" s="10"/>
      <c r="AS51" s="10"/>
      <c r="AT51" s="12"/>
      <c r="AW51" s="10"/>
      <c r="BA51" s="10"/>
      <c r="BD51" s="10"/>
      <c r="BH51" s="10"/>
      <c r="BK51" s="10"/>
      <c r="BO51" s="10"/>
      <c r="BR51" s="10"/>
      <c r="BU51" s="10"/>
      <c r="BY51" s="10"/>
      <c r="CB51" s="10"/>
    </row>
    <row r="52" spans="1:81" x14ac:dyDescent="0.3">
      <c r="A52" s="2"/>
      <c r="B52" s="9">
        <v>1</v>
      </c>
      <c r="C52" s="3" t="s">
        <v>113</v>
      </c>
      <c r="D52" s="95">
        <v>2.2046199999999998</v>
      </c>
      <c r="E52" s="3" t="s">
        <v>102</v>
      </c>
      <c r="F52" s="97">
        <f>D52/D44</f>
        <v>1.9684107142857142E-2</v>
      </c>
      <c r="G52" s="11" t="s">
        <v>109</v>
      </c>
      <c r="I52" s="12"/>
      <c r="J52" s="12"/>
      <c r="L52" s="10"/>
      <c r="P52" s="10"/>
      <c r="S52" s="51"/>
      <c r="T52" s="10"/>
      <c r="U52" s="51"/>
      <c r="V52" s="2"/>
      <c r="W52" s="10"/>
      <c r="X52" s="51"/>
      <c r="Z52" s="10"/>
      <c r="AA52" s="12"/>
      <c r="AB52" s="12"/>
      <c r="AD52" s="10"/>
      <c r="AG52" s="10"/>
      <c r="AK52" s="10"/>
      <c r="AO52" s="10"/>
      <c r="AS52" s="10"/>
      <c r="AT52" s="12"/>
      <c r="AW52" s="10"/>
      <c r="BA52" s="10"/>
      <c r="BD52" s="10"/>
      <c r="BH52" s="10"/>
      <c r="BK52" s="10"/>
      <c r="BO52" s="10"/>
      <c r="BR52" s="10"/>
      <c r="BU52" s="10"/>
      <c r="BY52" s="10"/>
      <c r="CB52" s="10"/>
    </row>
    <row r="53" spans="1:81" x14ac:dyDescent="0.3">
      <c r="A53" s="2"/>
      <c r="B53" s="9">
        <v>1</v>
      </c>
      <c r="C53" s="3" t="s">
        <v>114</v>
      </c>
      <c r="D53" s="95">
        <f>16/3</f>
        <v>5.333333333333333</v>
      </c>
      <c r="E53" s="3" t="s">
        <v>102</v>
      </c>
      <c r="F53" s="97">
        <f>D53/D44</f>
        <v>4.7619047619047616E-2</v>
      </c>
      <c r="G53" s="11" t="s">
        <v>109</v>
      </c>
      <c r="I53" s="12"/>
      <c r="J53" s="12"/>
      <c r="L53" s="3"/>
      <c r="P53" s="3"/>
      <c r="S53" s="51"/>
      <c r="T53" s="3"/>
      <c r="U53" s="51"/>
      <c r="V53" s="2"/>
      <c r="W53" s="3"/>
      <c r="X53" s="51"/>
      <c r="Z53" s="3"/>
      <c r="AA53" s="12"/>
      <c r="AB53" s="12"/>
      <c r="AD53" s="3"/>
      <c r="AG53" s="3"/>
      <c r="AK53" s="3"/>
      <c r="AO53" s="3"/>
      <c r="AS53" s="3"/>
      <c r="AT53" s="12"/>
      <c r="AW53" s="3"/>
      <c r="BA53" s="3"/>
      <c r="BD53" s="3"/>
      <c r="BH53" s="3"/>
      <c r="BK53" s="3"/>
      <c r="BO53" s="3"/>
      <c r="BR53" s="3"/>
      <c r="BU53" s="3"/>
      <c r="BY53" s="3"/>
      <c r="CB53" s="3"/>
    </row>
    <row r="54" spans="1:81" x14ac:dyDescent="0.3">
      <c r="A54" s="2"/>
      <c r="B54" s="9">
        <v>1</v>
      </c>
      <c r="C54" s="3" t="s">
        <v>115</v>
      </c>
      <c r="D54" s="95">
        <v>100</v>
      </c>
      <c r="E54" s="3" t="s">
        <v>114</v>
      </c>
      <c r="F54" s="97">
        <f>D54*F53</f>
        <v>4.7619047619047619</v>
      </c>
      <c r="G54" s="11" t="s">
        <v>109</v>
      </c>
      <c r="H54" s="95">
        <f>F54/D51</f>
        <v>0.23809523809523808</v>
      </c>
      <c r="I54" s="11" t="s">
        <v>116</v>
      </c>
      <c r="J54" s="12"/>
      <c r="L54" s="3"/>
      <c r="P54" s="3"/>
      <c r="S54" s="51"/>
      <c r="T54" s="3"/>
      <c r="U54" s="51"/>
      <c r="V54" s="2"/>
      <c r="W54" s="3"/>
      <c r="X54" s="51"/>
      <c r="Z54" s="3"/>
      <c r="AA54" s="12"/>
      <c r="AB54" s="12"/>
      <c r="AD54" s="3"/>
      <c r="AG54" s="3"/>
      <c r="AK54" s="3"/>
      <c r="AO54" s="3"/>
      <c r="AS54" s="3"/>
      <c r="AT54" s="12"/>
      <c r="AW54" s="3"/>
      <c r="BA54" s="3"/>
      <c r="BD54" s="3"/>
      <c r="BH54" s="3"/>
      <c r="BK54" s="3"/>
      <c r="BO54" s="3"/>
      <c r="BR54" s="3"/>
      <c r="BU54" s="3"/>
      <c r="BY54" s="3"/>
      <c r="CB54" s="3"/>
    </row>
    <row r="55" spans="1:81" x14ac:dyDescent="0.3">
      <c r="A55" s="2"/>
      <c r="B55" s="9">
        <v>1</v>
      </c>
      <c r="C55" s="3" t="s">
        <v>117</v>
      </c>
      <c r="D55" s="95">
        <f>D44/D53</f>
        <v>21</v>
      </c>
      <c r="E55" s="3" t="s">
        <v>114</v>
      </c>
      <c r="F55" s="97"/>
      <c r="G55" s="11"/>
      <c r="I55" s="3"/>
      <c r="J55" s="12"/>
      <c r="K55" s="12"/>
      <c r="L55" s="51"/>
      <c r="M55" s="3"/>
      <c r="P55" s="51"/>
      <c r="Q55" s="3"/>
      <c r="S55" s="51"/>
      <c r="U55" s="3"/>
      <c r="V55" s="51"/>
      <c r="W55" s="2"/>
      <c r="X55" s="3"/>
      <c r="AA55" s="3"/>
      <c r="AB55" s="12"/>
      <c r="AC55" s="12"/>
      <c r="AE55" s="3"/>
      <c r="AH55" s="3"/>
      <c r="AL55" s="3"/>
      <c r="AP55" s="3"/>
      <c r="AT55" s="3"/>
      <c r="AU55" s="12"/>
      <c r="AX55" s="3"/>
      <c r="BB55" s="3"/>
      <c r="BE55" s="3"/>
      <c r="BI55" s="3"/>
      <c r="BL55" s="3"/>
      <c r="BP55" s="3"/>
      <c r="BS55" s="3"/>
      <c r="BV55" s="3"/>
      <c r="BZ55" s="3"/>
      <c r="CC55" s="3"/>
    </row>
    <row r="56" spans="1:81" x14ac:dyDescent="0.3">
      <c r="A56" s="2"/>
      <c r="B56" s="12"/>
      <c r="F56" s="12"/>
      <c r="G56" s="12"/>
      <c r="H56" s="12"/>
      <c r="I56" s="2"/>
      <c r="K56" s="12"/>
      <c r="L56" s="12"/>
      <c r="M56" s="2"/>
      <c r="P56" s="51"/>
      <c r="Q56" s="2"/>
      <c r="S56" s="51"/>
      <c r="U56" s="2"/>
      <c r="V56" s="51"/>
      <c r="W56" s="51"/>
      <c r="X56" s="2"/>
      <c r="Y56" s="2"/>
      <c r="AA56" s="2"/>
      <c r="AC56" s="12"/>
      <c r="AD56" s="12"/>
      <c r="AE56" s="2"/>
      <c r="AH56" s="2"/>
      <c r="AL56" s="2"/>
      <c r="AP56" s="2"/>
      <c r="AT56" s="2"/>
      <c r="AV56" s="12"/>
      <c r="AX56" s="2"/>
      <c r="BB56" s="2"/>
      <c r="BE56" s="2"/>
      <c r="BI56" s="2"/>
      <c r="BL56" s="2"/>
      <c r="BP56" s="2"/>
      <c r="BS56" s="2"/>
      <c r="BV56" s="2"/>
      <c r="BZ56" s="2"/>
      <c r="CC56" s="2"/>
    </row>
    <row r="57" spans="1:81" x14ac:dyDescent="0.3">
      <c r="A57" s="2"/>
      <c r="B57" s="2">
        <v>1</v>
      </c>
      <c r="C57" s="3" t="s">
        <v>101</v>
      </c>
      <c r="D57" s="95">
        <v>108</v>
      </c>
      <c r="E57" s="3" t="s">
        <v>102</v>
      </c>
      <c r="H57" s="3"/>
      <c r="I57" s="3"/>
      <c r="J57" s="95"/>
      <c r="K57" s="95"/>
      <c r="L57" s="3"/>
      <c r="M57" s="3"/>
      <c r="O57" s="98"/>
      <c r="P57" s="98"/>
      <c r="Q57" s="3"/>
      <c r="R57" s="98"/>
      <c r="S57" s="98"/>
      <c r="T57" s="2"/>
      <c r="U57" s="3"/>
      <c r="V57" s="2"/>
      <c r="W57" s="99"/>
      <c r="X57" s="3"/>
      <c r="Y57" s="99"/>
      <c r="Z57" s="99"/>
      <c r="AA57" s="3"/>
      <c r="AB57" s="12"/>
      <c r="AC57" s="2"/>
      <c r="AD57" s="2"/>
      <c r="AE57" s="3"/>
      <c r="AF57" s="2"/>
      <c r="AG57" s="2"/>
      <c r="AH57" s="3"/>
      <c r="AL57" s="3"/>
      <c r="AP57" s="3"/>
      <c r="AT57" s="3"/>
      <c r="AX57" s="3"/>
      <c r="BB57" s="3"/>
      <c r="BE57" s="3"/>
      <c r="BI57" s="3"/>
      <c r="BL57" s="3"/>
      <c r="BP57" s="3"/>
      <c r="BS57" s="3"/>
      <c r="BV57" s="3"/>
      <c r="BZ57" s="3"/>
      <c r="CC57" s="3"/>
    </row>
    <row r="58" spans="1:81" x14ac:dyDescent="0.3">
      <c r="A58" s="2"/>
      <c r="B58" s="2">
        <v>1</v>
      </c>
      <c r="C58" s="3" t="s">
        <v>103</v>
      </c>
      <c r="D58" s="95">
        <v>32.5</v>
      </c>
      <c r="E58" s="3" t="s">
        <v>102</v>
      </c>
      <c r="F58" s="2"/>
      <c r="G58" s="2"/>
      <c r="H58" s="3"/>
      <c r="I58" s="3"/>
      <c r="J58" s="95"/>
      <c r="K58" s="95"/>
      <c r="L58" s="3"/>
      <c r="M58" s="3"/>
      <c r="O58" s="98"/>
      <c r="P58" s="98"/>
      <c r="Q58" s="3"/>
      <c r="R58" s="98"/>
      <c r="S58" s="98"/>
      <c r="T58" s="2"/>
      <c r="U58" s="3"/>
      <c r="V58" s="2"/>
      <c r="W58" s="99"/>
      <c r="X58" s="3"/>
      <c r="Y58" s="99"/>
      <c r="Z58" s="99"/>
      <c r="AA58" s="3"/>
      <c r="AB58" s="12"/>
      <c r="AC58" s="2"/>
      <c r="AD58" s="2"/>
      <c r="AE58" s="3"/>
      <c r="AF58" s="2"/>
      <c r="AG58" s="2"/>
      <c r="AH58" s="3"/>
      <c r="AL58" s="3"/>
      <c r="AP58" s="3"/>
      <c r="AT58" s="3"/>
      <c r="AX58" s="3"/>
      <c r="BB58" s="3"/>
      <c r="BE58" s="3"/>
      <c r="BI58" s="3"/>
      <c r="BL58" s="3"/>
      <c r="BP58" s="3"/>
      <c r="BS58" s="3"/>
      <c r="BV58" s="3"/>
      <c r="BZ58" s="3"/>
      <c r="CC58" s="3"/>
    </row>
    <row r="59" spans="1:81" x14ac:dyDescent="0.3">
      <c r="A59" s="2"/>
      <c r="B59" s="2">
        <v>1</v>
      </c>
      <c r="C59" s="3" t="s">
        <v>105</v>
      </c>
      <c r="D59" s="95">
        <v>112</v>
      </c>
      <c r="E59" s="3" t="s">
        <v>106</v>
      </c>
      <c r="H59" s="3"/>
      <c r="I59" s="3"/>
      <c r="J59" s="95"/>
      <c r="K59" s="95"/>
      <c r="L59" s="3"/>
      <c r="M59" s="3"/>
      <c r="O59" s="98"/>
      <c r="P59" s="98"/>
      <c r="Q59" s="3"/>
      <c r="R59" s="98"/>
      <c r="S59" s="98"/>
      <c r="T59" s="2"/>
      <c r="U59" s="3"/>
      <c r="V59" s="2"/>
      <c r="W59" s="99"/>
      <c r="X59" s="3"/>
      <c r="Y59" s="99"/>
      <c r="Z59" s="99"/>
      <c r="AA59" s="3"/>
      <c r="AB59" s="12"/>
      <c r="AC59" s="2"/>
      <c r="AD59" s="2"/>
      <c r="AE59" s="3"/>
      <c r="AF59" s="2"/>
      <c r="AG59" s="2"/>
      <c r="AH59" s="3"/>
      <c r="AL59" s="3"/>
      <c r="AP59" s="3"/>
      <c r="AT59" s="3"/>
      <c r="AX59" s="3"/>
      <c r="BB59" s="3"/>
      <c r="BE59" s="3"/>
      <c r="BI59" s="3"/>
      <c r="BL59" s="3"/>
      <c r="BP59" s="3"/>
      <c r="BS59" s="3"/>
      <c r="BV59" s="3"/>
      <c r="BZ59" s="3"/>
      <c r="CC59" s="3"/>
    </row>
    <row r="60" spans="1:81" ht="14.4" customHeight="1" x14ac:dyDescent="0.3">
      <c r="A60" s="2"/>
      <c r="B60" s="154">
        <v>1</v>
      </c>
      <c r="C60" s="155" t="s">
        <v>107</v>
      </c>
      <c r="D60" s="156">
        <v>130</v>
      </c>
      <c r="E60" s="157" t="s">
        <v>102</v>
      </c>
      <c r="H60" s="3"/>
      <c r="I60" s="3"/>
      <c r="J60" s="95"/>
      <c r="K60" s="95"/>
      <c r="L60" s="3"/>
      <c r="M60" s="3"/>
      <c r="O60" s="98"/>
      <c r="P60" s="98"/>
      <c r="Q60" s="3"/>
      <c r="R60" s="98"/>
      <c r="S60" s="98"/>
      <c r="T60" s="2"/>
      <c r="U60" s="3"/>
      <c r="V60" s="2"/>
      <c r="W60" s="99"/>
      <c r="X60" s="3"/>
      <c r="Y60" s="99"/>
      <c r="Z60" s="99"/>
      <c r="AA60" s="3"/>
      <c r="AB60" s="12"/>
      <c r="AC60" s="2"/>
      <c r="AD60" s="2"/>
      <c r="AE60" s="3"/>
      <c r="AF60" s="2"/>
      <c r="AG60" s="2"/>
      <c r="AH60" s="3"/>
      <c r="AL60" s="3"/>
      <c r="AP60" s="3"/>
      <c r="AT60" s="3"/>
      <c r="AX60" s="3"/>
      <c r="BB60" s="3"/>
      <c r="BE60" s="3"/>
      <c r="BI60" s="3"/>
      <c r="BL60" s="3"/>
      <c r="BP60" s="3"/>
      <c r="BS60" s="3"/>
      <c r="BV60" s="3"/>
      <c r="BZ60" s="3"/>
      <c r="CC60" s="3"/>
    </row>
    <row r="61" spans="1:81" ht="14.4" customHeight="1" x14ac:dyDescent="0.3">
      <c r="A61" s="2"/>
      <c r="B61" s="154"/>
      <c r="C61" s="155"/>
      <c r="D61" s="156"/>
      <c r="E61" s="157"/>
      <c r="F61" s="2"/>
      <c r="G61" s="2"/>
      <c r="H61" s="3"/>
      <c r="I61" s="3"/>
      <c r="J61" s="95"/>
      <c r="K61" s="95"/>
      <c r="L61" s="3"/>
      <c r="M61" s="3"/>
      <c r="O61" s="98"/>
      <c r="P61" s="98"/>
      <c r="Q61" s="3"/>
      <c r="R61" s="98"/>
      <c r="S61" s="98"/>
      <c r="T61" s="2"/>
      <c r="U61" s="3"/>
      <c r="V61" s="2"/>
      <c r="W61" s="99"/>
      <c r="X61" s="3"/>
      <c r="Y61" s="99"/>
      <c r="Z61" s="99"/>
      <c r="AA61" s="3"/>
      <c r="AB61" s="12"/>
      <c r="AC61" s="2"/>
      <c r="AD61" s="2"/>
      <c r="AE61" s="3"/>
      <c r="AF61" s="2"/>
      <c r="AG61" s="2"/>
      <c r="AH61" s="3"/>
      <c r="AL61" s="3"/>
      <c r="AP61" s="3"/>
      <c r="AT61" s="3"/>
      <c r="AX61" s="3"/>
      <c r="BB61" s="3"/>
      <c r="BE61" s="3"/>
      <c r="BI61" s="3"/>
      <c r="BL61" s="3"/>
      <c r="BP61" s="3"/>
      <c r="BS61" s="3"/>
      <c r="BV61" s="3"/>
      <c r="BZ61" s="3"/>
      <c r="CC61" s="3"/>
    </row>
    <row r="62" spans="1:81" x14ac:dyDescent="0.3">
      <c r="A62" s="2"/>
      <c r="B62" s="9">
        <v>1</v>
      </c>
      <c r="C62" s="3" t="s">
        <v>108</v>
      </c>
      <c r="D62" s="95">
        <v>260</v>
      </c>
      <c r="E62" s="3" t="s">
        <v>102</v>
      </c>
      <c r="F62" s="2"/>
      <c r="G62" s="2"/>
      <c r="H62" s="3"/>
      <c r="I62" s="3"/>
      <c r="J62" s="95"/>
      <c r="K62" s="95"/>
      <c r="L62" s="3"/>
      <c r="M62" s="3"/>
      <c r="O62" s="98"/>
      <c r="P62" s="98"/>
      <c r="Q62" s="3"/>
      <c r="R62" s="98"/>
      <c r="S62" s="98"/>
      <c r="T62" s="2"/>
      <c r="U62" s="3"/>
      <c r="V62" s="2"/>
      <c r="W62" s="99"/>
      <c r="X62" s="3"/>
      <c r="Y62" s="99"/>
      <c r="Z62" s="99"/>
      <c r="AA62" s="3"/>
      <c r="AB62" s="12"/>
      <c r="AC62" s="2"/>
      <c r="AD62" s="2"/>
      <c r="AE62" s="3"/>
      <c r="AF62" s="2"/>
      <c r="AG62" s="2"/>
      <c r="AH62" s="3"/>
      <c r="AL62" s="3"/>
      <c r="AP62" s="3"/>
      <c r="AT62" s="3"/>
      <c r="AX62" s="3"/>
      <c r="BB62" s="3"/>
      <c r="BE62" s="3"/>
      <c r="BI62" s="3"/>
      <c r="BL62" s="3"/>
      <c r="BP62" s="3"/>
      <c r="BS62" s="3"/>
      <c r="BV62" s="3"/>
      <c r="BZ62" s="3"/>
      <c r="CC62" s="3"/>
    </row>
    <row r="63" spans="1:81" x14ac:dyDescent="0.3">
      <c r="A63" s="2"/>
      <c r="B63" s="9">
        <v>1</v>
      </c>
      <c r="C63" s="3" t="s">
        <v>352</v>
      </c>
      <c r="D63" s="95">
        <f>D60/D59</f>
        <v>1.1607142857142858</v>
      </c>
      <c r="E63" s="3" t="s">
        <v>109</v>
      </c>
      <c r="F63" s="2"/>
      <c r="G63" s="2"/>
      <c r="H63" s="3"/>
      <c r="I63" s="3"/>
      <c r="J63" s="95"/>
      <c r="K63" s="95"/>
      <c r="L63" s="3"/>
      <c r="M63" s="3"/>
      <c r="O63" s="98"/>
      <c r="P63" s="98"/>
      <c r="Q63" s="3"/>
      <c r="R63" s="98"/>
      <c r="S63" s="98"/>
      <c r="T63" s="2"/>
      <c r="U63" s="3"/>
      <c r="V63" s="2"/>
      <c r="W63" s="99"/>
      <c r="X63" s="3"/>
      <c r="Y63" s="99"/>
      <c r="Z63" s="99"/>
      <c r="AA63" s="3"/>
      <c r="AB63" s="12"/>
      <c r="AC63" s="2"/>
      <c r="AD63" s="2"/>
      <c r="AE63" s="3"/>
      <c r="AF63" s="2"/>
      <c r="AG63" s="2"/>
      <c r="AH63" s="3"/>
      <c r="AL63" s="3"/>
      <c r="AP63" s="3"/>
      <c r="AT63" s="3"/>
      <c r="AX63" s="3"/>
      <c r="BB63" s="3"/>
      <c r="BE63" s="3"/>
      <c r="BI63" s="3"/>
      <c r="BL63" s="3"/>
      <c r="BP63" s="3"/>
      <c r="BS63" s="3"/>
      <c r="BV63" s="3"/>
      <c r="BZ63" s="3"/>
      <c r="CC63" s="3"/>
    </row>
    <row r="64" spans="1:81" x14ac:dyDescent="0.3">
      <c r="A64" s="2"/>
      <c r="B64" s="9">
        <v>1</v>
      </c>
      <c r="C64" s="3" t="s">
        <v>108</v>
      </c>
      <c r="D64" s="95">
        <f>D62/D59</f>
        <v>2.3214285714285716</v>
      </c>
      <c r="E64" s="3" t="s">
        <v>109</v>
      </c>
      <c r="F64" s="2"/>
      <c r="G64" s="2"/>
      <c r="H64" s="3"/>
      <c r="I64" s="3"/>
      <c r="J64" s="95"/>
      <c r="K64" s="95"/>
      <c r="L64" s="3"/>
      <c r="M64" s="3"/>
      <c r="O64" s="98"/>
      <c r="P64" s="98"/>
      <c r="Q64" s="3"/>
      <c r="R64" s="98"/>
      <c r="S64" s="98"/>
      <c r="T64" s="2"/>
      <c r="U64" s="3"/>
      <c r="V64" s="2"/>
      <c r="W64" s="99"/>
      <c r="X64" s="3"/>
      <c r="Y64" s="99"/>
      <c r="Z64" s="99"/>
      <c r="AA64" s="3"/>
      <c r="AB64" s="12"/>
      <c r="AC64" s="2"/>
      <c r="AD64" s="2"/>
      <c r="AE64" s="3"/>
      <c r="AF64" s="2"/>
      <c r="AG64" s="2"/>
      <c r="AH64" s="3"/>
      <c r="AL64" s="3"/>
      <c r="AP64" s="3"/>
      <c r="AT64" s="3"/>
      <c r="AX64" s="3"/>
      <c r="BB64" s="3"/>
      <c r="BE64" s="3"/>
      <c r="BI64" s="3"/>
      <c r="BL64" s="3"/>
      <c r="BP64" s="3"/>
      <c r="BS64" s="3"/>
      <c r="BV64" s="3"/>
      <c r="BZ64" s="3"/>
      <c r="CC64" s="3"/>
    </row>
    <row r="65" spans="1:81" x14ac:dyDescent="0.3">
      <c r="A65" s="2"/>
      <c r="B65" s="2"/>
      <c r="C65" s="2"/>
      <c r="D65" s="2"/>
      <c r="E65" s="2"/>
      <c r="F65" s="2"/>
      <c r="G65" s="2"/>
      <c r="H65" s="3"/>
      <c r="I65" s="3"/>
      <c r="J65" s="95"/>
      <c r="K65" s="95"/>
      <c r="L65" s="3"/>
      <c r="M65" s="3"/>
      <c r="O65" s="98"/>
      <c r="P65" s="98"/>
      <c r="Q65" s="3"/>
      <c r="R65" s="98"/>
      <c r="S65" s="98"/>
      <c r="T65" s="2"/>
      <c r="U65" s="3"/>
      <c r="V65" s="2"/>
      <c r="W65" s="99"/>
      <c r="X65" s="3"/>
      <c r="Y65" s="99"/>
      <c r="Z65" s="99"/>
      <c r="AA65" s="3"/>
      <c r="AB65" s="12"/>
      <c r="AC65" s="2"/>
      <c r="AD65" s="2"/>
      <c r="AE65" s="3"/>
      <c r="AF65" s="2"/>
      <c r="AG65" s="2"/>
      <c r="AH65" s="3"/>
      <c r="AL65" s="3"/>
      <c r="AP65" s="3"/>
      <c r="AT65" s="3"/>
      <c r="AX65" s="3"/>
      <c r="BB65" s="3"/>
      <c r="BE65" s="3"/>
      <c r="BI65" s="3"/>
      <c r="BL65" s="3"/>
      <c r="BP65" s="3"/>
      <c r="BS65" s="3"/>
      <c r="BV65" s="3"/>
      <c r="BZ65" s="3"/>
      <c r="CC65" s="3"/>
    </row>
    <row r="66" spans="1:81" x14ac:dyDescent="0.3">
      <c r="A66" s="2" t="s">
        <v>118</v>
      </c>
      <c r="B66" s="2">
        <v>1</v>
      </c>
      <c r="C66" s="6" t="s">
        <v>119</v>
      </c>
      <c r="D66" s="2">
        <v>373.33</v>
      </c>
      <c r="E66" s="3" t="s">
        <v>102</v>
      </c>
      <c r="F66" s="97">
        <f>D66/D59</f>
        <v>3.3333035714285715</v>
      </c>
      <c r="G66" s="3" t="s">
        <v>109</v>
      </c>
      <c r="H66" s="3"/>
      <c r="I66" s="3"/>
      <c r="J66" s="95"/>
      <c r="K66" s="95"/>
      <c r="L66" s="3"/>
      <c r="M66" s="3"/>
      <c r="O66" s="98"/>
      <c r="P66" s="98"/>
      <c r="Q66" s="3"/>
      <c r="R66" s="98"/>
      <c r="S66" s="98"/>
      <c r="T66" s="2"/>
      <c r="U66" s="3"/>
      <c r="V66" s="2"/>
      <c r="W66" s="99"/>
      <c r="X66" s="3"/>
      <c r="Y66" s="99"/>
      <c r="Z66" s="99"/>
      <c r="AA66" s="3"/>
      <c r="AB66" s="12"/>
      <c r="AC66" s="2"/>
      <c r="AD66" s="2"/>
      <c r="AE66" s="3"/>
      <c r="AF66" s="2"/>
      <c r="AG66" s="2"/>
      <c r="AH66" s="3"/>
      <c r="AL66" s="3"/>
      <c r="AP66" s="3"/>
      <c r="AT66" s="3"/>
      <c r="AX66" s="3"/>
      <c r="BB66" s="3"/>
      <c r="BE66" s="3"/>
      <c r="BI66" s="3"/>
      <c r="BL66" s="3"/>
      <c r="BP66" s="3"/>
      <c r="BS66" s="3"/>
      <c r="BV66" s="3"/>
      <c r="BZ66" s="3"/>
      <c r="CC66" s="3"/>
    </row>
    <row r="67" spans="1:81" x14ac:dyDescent="0.3">
      <c r="A67" s="2" t="s">
        <v>23</v>
      </c>
      <c r="B67" s="2">
        <v>1</v>
      </c>
      <c r="C67" s="6" t="s">
        <v>101</v>
      </c>
      <c r="D67" s="2">
        <v>0.5</v>
      </c>
      <c r="E67" s="3" t="s">
        <v>109</v>
      </c>
      <c r="F67" s="2"/>
      <c r="G67" s="2"/>
      <c r="H67" s="3"/>
      <c r="I67" s="3"/>
      <c r="J67" s="95"/>
      <c r="K67" s="95"/>
      <c r="L67" s="3"/>
      <c r="M67" s="3"/>
      <c r="O67" s="98"/>
      <c r="P67" s="98"/>
      <c r="Q67" s="3"/>
      <c r="R67" s="98"/>
      <c r="S67" s="98"/>
      <c r="T67" s="2"/>
      <c r="U67" s="3"/>
      <c r="V67" s="2"/>
      <c r="W67" s="99"/>
      <c r="X67" s="3"/>
      <c r="Y67" s="99"/>
      <c r="Z67" s="99"/>
      <c r="AA67" s="3"/>
      <c r="AB67" s="12"/>
      <c r="AC67" s="2"/>
      <c r="AD67" s="2"/>
      <c r="AE67" s="3"/>
      <c r="AF67" s="2"/>
      <c r="AG67" s="2"/>
      <c r="AH67" s="3"/>
      <c r="AL67" s="3"/>
      <c r="AP67" s="3"/>
      <c r="AT67" s="3"/>
      <c r="AX67" s="3"/>
      <c r="BB67" s="3"/>
      <c r="BE67" s="3"/>
      <c r="BI67" s="3"/>
      <c r="BL67" s="3"/>
      <c r="BP67" s="3"/>
      <c r="BS67" s="3"/>
      <c r="BV67" s="3"/>
      <c r="BZ67" s="3"/>
      <c r="CC67" s="3"/>
    </row>
    <row r="68" spans="1:81" x14ac:dyDescent="0.3">
      <c r="A68" s="2" t="s">
        <v>10</v>
      </c>
      <c r="B68" s="2">
        <v>1</v>
      </c>
      <c r="C68" s="3" t="s">
        <v>120</v>
      </c>
      <c r="D68" s="95">
        <v>1.5</v>
      </c>
      <c r="E68" s="3" t="s">
        <v>109</v>
      </c>
      <c r="G68" s="3"/>
      <c r="H68" s="3"/>
      <c r="I68" s="3"/>
      <c r="J68" s="95"/>
      <c r="K68" s="95"/>
      <c r="L68" s="3"/>
      <c r="M68" s="3"/>
      <c r="O68" s="98"/>
      <c r="P68" s="98"/>
      <c r="Q68" s="3"/>
      <c r="R68" s="98"/>
      <c r="S68" s="98"/>
      <c r="T68" s="2"/>
      <c r="U68" s="3"/>
      <c r="V68" s="2"/>
      <c r="W68" s="99"/>
      <c r="X68" s="3"/>
      <c r="Y68" s="99"/>
      <c r="Z68" s="99"/>
      <c r="AA68" s="3"/>
      <c r="AB68" s="12"/>
      <c r="AC68" s="2"/>
      <c r="AD68" s="2"/>
      <c r="AE68" s="3"/>
      <c r="AF68" s="2"/>
      <c r="AG68" s="2"/>
      <c r="AH68" s="3"/>
      <c r="AL68" s="3"/>
      <c r="AP68" s="3"/>
      <c r="AT68" s="3"/>
      <c r="AX68" s="3"/>
      <c r="BB68" s="3"/>
      <c r="BE68" s="3"/>
      <c r="BI68" s="3"/>
      <c r="BL68" s="3"/>
      <c r="BP68" s="3"/>
      <c r="BS68" s="3"/>
      <c r="BV68" s="3"/>
      <c r="BZ68" s="3"/>
      <c r="CC68" s="3"/>
    </row>
    <row r="69" spans="1:81" x14ac:dyDescent="0.3">
      <c r="A69" s="2" t="s">
        <v>12</v>
      </c>
      <c r="B69" s="2">
        <v>1</v>
      </c>
      <c r="C69" s="3" t="s">
        <v>120</v>
      </c>
      <c r="D69" s="95">
        <v>1.75</v>
      </c>
      <c r="E69" s="3" t="s">
        <v>109</v>
      </c>
      <c r="G69" s="3"/>
      <c r="H69" s="3"/>
      <c r="I69" s="3"/>
      <c r="J69" s="95"/>
      <c r="K69" s="95"/>
      <c r="L69" s="3"/>
      <c r="M69" s="3"/>
      <c r="O69" s="98"/>
      <c r="P69" s="98"/>
      <c r="Q69" s="3"/>
      <c r="R69" s="98"/>
      <c r="S69" s="98"/>
      <c r="T69" s="2"/>
      <c r="U69" s="3"/>
      <c r="V69" s="2"/>
      <c r="W69" s="99"/>
      <c r="X69" s="3"/>
      <c r="Y69" s="99"/>
      <c r="Z69" s="99"/>
      <c r="AA69" s="3"/>
      <c r="AB69" s="12"/>
      <c r="AC69" s="2"/>
      <c r="AD69" s="2"/>
      <c r="AE69" s="3"/>
      <c r="AF69" s="2"/>
      <c r="AG69" s="2"/>
      <c r="AH69" s="3"/>
      <c r="AL69" s="3"/>
      <c r="AP69" s="3"/>
      <c r="AT69" s="3"/>
      <c r="AX69" s="3"/>
      <c r="BB69" s="3"/>
      <c r="BE69" s="3"/>
      <c r="BI69" s="3"/>
      <c r="BL69" s="3"/>
      <c r="BP69" s="3"/>
      <c r="BS69" s="3"/>
      <c r="BV69" s="3"/>
      <c r="BZ69" s="3"/>
      <c r="CC69" s="3"/>
    </row>
    <row r="70" spans="1:81" x14ac:dyDescent="0.3">
      <c r="A70" s="2" t="s">
        <v>121</v>
      </c>
      <c r="B70" s="2">
        <v>1</v>
      </c>
      <c r="C70" s="3" t="s">
        <v>120</v>
      </c>
      <c r="D70" s="95">
        <v>1.5</v>
      </c>
      <c r="E70" s="3" t="s">
        <v>109</v>
      </c>
      <c r="G70" s="3"/>
      <c r="H70" s="3"/>
      <c r="I70" s="3"/>
      <c r="J70" s="95"/>
      <c r="K70" s="95"/>
      <c r="L70" s="3"/>
      <c r="M70" s="3"/>
      <c r="O70" s="98"/>
      <c r="P70" s="98"/>
      <c r="Q70" s="3"/>
      <c r="R70" s="98"/>
      <c r="S70" s="98"/>
      <c r="T70" s="2"/>
      <c r="U70" s="3"/>
      <c r="V70" s="2"/>
      <c r="W70" s="99"/>
      <c r="X70" s="3"/>
      <c r="Y70" s="99"/>
      <c r="Z70" s="99"/>
      <c r="AA70" s="3"/>
      <c r="AB70" s="12"/>
      <c r="AC70" s="2"/>
      <c r="AD70" s="2"/>
      <c r="AE70" s="3"/>
      <c r="AF70" s="2"/>
      <c r="AG70" s="2"/>
      <c r="AH70" s="3"/>
      <c r="AL70" s="3"/>
      <c r="AP70" s="3"/>
      <c r="AT70" s="3"/>
      <c r="AX70" s="3"/>
      <c r="BB70" s="3"/>
      <c r="BE70" s="3"/>
      <c r="BI70" s="3"/>
      <c r="BL70" s="3"/>
      <c r="BP70" s="3"/>
      <c r="BS70" s="3"/>
      <c r="BV70" s="3"/>
      <c r="BZ70" s="3"/>
      <c r="CC70" s="3"/>
    </row>
    <row r="71" spans="1:81" x14ac:dyDescent="0.3">
      <c r="A71" s="2" t="s">
        <v>16</v>
      </c>
      <c r="B71" s="2">
        <v>1</v>
      </c>
      <c r="C71" s="3" t="s">
        <v>119</v>
      </c>
      <c r="D71" s="95">
        <v>1.26</v>
      </c>
      <c r="E71" s="3" t="s">
        <v>109</v>
      </c>
      <c r="G71" s="3"/>
      <c r="H71" s="3"/>
      <c r="I71" s="3"/>
      <c r="J71" s="95"/>
      <c r="K71" s="95"/>
      <c r="L71" s="3"/>
      <c r="M71" s="3"/>
      <c r="O71" s="98"/>
      <c r="P71" s="98"/>
      <c r="Q71" s="3"/>
      <c r="R71" s="98"/>
      <c r="S71" s="98"/>
      <c r="T71" s="2"/>
      <c r="U71" s="3"/>
      <c r="V71" s="2"/>
      <c r="W71" s="99"/>
      <c r="X71" s="3"/>
      <c r="Y71" s="99"/>
      <c r="Z71" s="99"/>
      <c r="AA71" s="3"/>
      <c r="AB71" s="12"/>
      <c r="AC71" s="2"/>
      <c r="AD71" s="2"/>
      <c r="AE71" s="3"/>
      <c r="AF71" s="2"/>
      <c r="AG71" s="2"/>
      <c r="AH71" s="3"/>
      <c r="AL71" s="3"/>
      <c r="AP71" s="3"/>
      <c r="AT71" s="3"/>
      <c r="AX71" s="3"/>
      <c r="BB71" s="3"/>
      <c r="BE71" s="3"/>
      <c r="BI71" s="3"/>
      <c r="BL71" s="3"/>
      <c r="BP71" s="3"/>
      <c r="BS71" s="3"/>
      <c r="BV71" s="3"/>
      <c r="BZ71" s="3"/>
      <c r="CC71" s="3"/>
    </row>
    <row r="72" spans="1:81" x14ac:dyDescent="0.3">
      <c r="A72" s="2" t="s">
        <v>122</v>
      </c>
      <c r="B72" s="2">
        <v>1</v>
      </c>
      <c r="C72" s="3" t="s">
        <v>123</v>
      </c>
      <c r="D72" s="95">
        <v>15.9</v>
      </c>
      <c r="E72" s="3" t="s">
        <v>109</v>
      </c>
      <c r="G72" s="3"/>
      <c r="H72" s="3"/>
      <c r="I72" s="3"/>
      <c r="J72" s="95"/>
      <c r="K72" s="95"/>
      <c r="L72" s="3"/>
      <c r="M72" s="3"/>
      <c r="O72" s="98"/>
      <c r="P72" s="98"/>
      <c r="Q72" s="3"/>
      <c r="R72" s="98"/>
      <c r="S72" s="98"/>
      <c r="T72" s="2"/>
      <c r="U72" s="3"/>
      <c r="V72" s="2"/>
      <c r="W72" s="99"/>
      <c r="X72" s="3"/>
      <c r="Y72" s="99"/>
      <c r="Z72" s="99"/>
      <c r="AA72" s="3"/>
      <c r="AB72" s="12"/>
      <c r="AC72" s="2"/>
      <c r="AD72" s="2"/>
      <c r="AE72" s="3"/>
      <c r="AF72" s="2"/>
      <c r="AG72" s="2"/>
      <c r="AH72" s="3"/>
      <c r="AL72" s="3"/>
      <c r="AP72" s="3"/>
      <c r="AT72" s="3"/>
      <c r="AX72" s="3"/>
      <c r="BB72" s="3"/>
      <c r="BE72" s="3"/>
      <c r="BI72" s="3"/>
      <c r="BL72" s="3"/>
      <c r="BP72" s="3"/>
      <c r="BS72" s="3"/>
      <c r="BV72" s="3"/>
      <c r="BZ72" s="3"/>
      <c r="CC72" s="3"/>
    </row>
    <row r="73" spans="1:81" x14ac:dyDescent="0.3">
      <c r="A73" s="2" t="s">
        <v>34</v>
      </c>
      <c r="B73" s="2">
        <v>1</v>
      </c>
      <c r="C73" s="3" t="s">
        <v>124</v>
      </c>
      <c r="D73" s="95">
        <f>439.681/D59</f>
        <v>3.9257232142857141</v>
      </c>
      <c r="E73" s="3" t="s">
        <v>109</v>
      </c>
      <c r="G73" s="3"/>
      <c r="I73" s="3"/>
      <c r="J73" s="95"/>
      <c r="K73" s="95"/>
      <c r="L73" s="3"/>
      <c r="M73" s="3"/>
      <c r="O73" s="98"/>
      <c r="P73" s="98"/>
      <c r="Q73" s="3"/>
      <c r="R73" s="98"/>
      <c r="S73" s="98"/>
      <c r="T73" s="2"/>
      <c r="U73" s="3"/>
      <c r="V73" s="2"/>
      <c r="W73" s="99"/>
      <c r="X73" s="3"/>
      <c r="Y73" s="99"/>
      <c r="Z73" s="99"/>
      <c r="AA73" s="3"/>
      <c r="AB73" s="12"/>
      <c r="AC73" s="2"/>
      <c r="AD73" s="2"/>
      <c r="AE73" s="3"/>
      <c r="AF73" s="2"/>
      <c r="AG73" s="2"/>
      <c r="AH73" s="3"/>
      <c r="AL73" s="3"/>
      <c r="AP73" s="3"/>
      <c r="AT73" s="3"/>
      <c r="AX73" s="3"/>
      <c r="BB73" s="3"/>
      <c r="BE73" s="3"/>
      <c r="BI73" s="3"/>
      <c r="BL73" s="3"/>
      <c r="BP73" s="3"/>
      <c r="BS73" s="3"/>
      <c r="BV73" s="3"/>
      <c r="BZ73" s="3"/>
      <c r="CC73" s="3"/>
    </row>
    <row r="74" spans="1:81" x14ac:dyDescent="0.3">
      <c r="A74" s="2" t="s">
        <v>96</v>
      </c>
      <c r="B74" s="2">
        <v>1</v>
      </c>
      <c r="C74" s="3" t="s">
        <v>124</v>
      </c>
      <c r="D74" s="95">
        <v>3</v>
      </c>
      <c r="E74" s="3" t="s">
        <v>109</v>
      </c>
      <c r="G74" s="3"/>
      <c r="I74" s="3"/>
      <c r="L74" s="51"/>
      <c r="M74" s="3"/>
      <c r="O74" s="98"/>
      <c r="P74" s="98"/>
      <c r="Q74" s="3"/>
      <c r="R74" s="98"/>
      <c r="S74" s="98"/>
      <c r="T74" s="12"/>
      <c r="U74" s="3"/>
      <c r="V74" s="12"/>
      <c r="W74" s="99"/>
      <c r="X74" s="3"/>
      <c r="Y74" s="99"/>
      <c r="Z74" s="99"/>
      <c r="AA74" s="3"/>
      <c r="AB74" s="12"/>
      <c r="AC74" s="2"/>
      <c r="AD74" s="2"/>
      <c r="AE74" s="3"/>
      <c r="AF74" s="2"/>
      <c r="AG74" s="2"/>
      <c r="AH74" s="3"/>
      <c r="AL74" s="3"/>
      <c r="AP74" s="3"/>
      <c r="AT74" s="3"/>
      <c r="AX74" s="3"/>
      <c r="BB74" s="3"/>
      <c r="BE74" s="3"/>
      <c r="BI74" s="3"/>
      <c r="BL74" s="3"/>
      <c r="BP74" s="3"/>
      <c r="BS74" s="3"/>
      <c r="BV74" s="3"/>
      <c r="BZ74" s="3"/>
      <c r="CC74" s="3"/>
    </row>
    <row r="75" spans="1:81" x14ac:dyDescent="0.3">
      <c r="A75" s="2" t="s">
        <v>47</v>
      </c>
      <c r="B75" s="2">
        <v>1</v>
      </c>
      <c r="C75" s="3" t="s">
        <v>124</v>
      </c>
      <c r="D75" s="95">
        <v>2.98</v>
      </c>
      <c r="E75" s="3" t="s">
        <v>109</v>
      </c>
      <c r="G75" s="3"/>
      <c r="I75" s="3"/>
      <c r="L75" s="51"/>
      <c r="M75" s="3"/>
      <c r="O75" s="98"/>
      <c r="P75" s="98"/>
      <c r="Q75" s="3"/>
      <c r="R75" s="98"/>
      <c r="S75" s="98"/>
      <c r="T75" s="12"/>
      <c r="U75" s="3"/>
      <c r="V75" s="12"/>
      <c r="W75" s="99"/>
      <c r="X75" s="3"/>
      <c r="Y75" s="99"/>
      <c r="Z75" s="99"/>
      <c r="AA75" s="3"/>
      <c r="AB75" s="12"/>
      <c r="AC75" s="2"/>
      <c r="AD75" s="2"/>
      <c r="AE75" s="3"/>
      <c r="AF75" s="2"/>
      <c r="AG75" s="2"/>
      <c r="AH75" s="3"/>
      <c r="AL75" s="3"/>
      <c r="AP75" s="3"/>
      <c r="AT75" s="3"/>
      <c r="AX75" s="3"/>
      <c r="BB75" s="3"/>
      <c r="BE75" s="3"/>
      <c r="BI75" s="3"/>
      <c r="BL75" s="3"/>
      <c r="BP75" s="3"/>
      <c r="BS75" s="3"/>
      <c r="BV75" s="3"/>
      <c r="BZ75" s="3"/>
      <c r="CC75" s="3"/>
    </row>
    <row r="76" spans="1:81" x14ac:dyDescent="0.3">
      <c r="A76" s="2" t="s">
        <v>31</v>
      </c>
      <c r="B76" s="2">
        <v>1</v>
      </c>
      <c r="C76" s="3" t="s">
        <v>125</v>
      </c>
      <c r="D76" s="95">
        <v>9</v>
      </c>
      <c r="E76" s="3" t="s">
        <v>126</v>
      </c>
      <c r="G76" s="3"/>
      <c r="I76" s="3"/>
      <c r="L76" s="51"/>
      <c r="M76" s="3"/>
      <c r="O76" s="98"/>
      <c r="P76" s="98"/>
      <c r="Q76" s="3"/>
      <c r="R76" s="98"/>
      <c r="S76" s="98"/>
      <c r="T76" s="12"/>
      <c r="U76" s="3"/>
      <c r="V76" s="12"/>
      <c r="W76" s="99"/>
      <c r="X76" s="3"/>
      <c r="Y76" s="99"/>
      <c r="Z76" s="99"/>
      <c r="AA76" s="3"/>
      <c r="AB76" s="12"/>
      <c r="AC76" s="2"/>
      <c r="AD76" s="2"/>
      <c r="AE76" s="3"/>
      <c r="AF76" s="2"/>
      <c r="AG76" s="2"/>
      <c r="AH76" s="3"/>
      <c r="AL76" s="3"/>
      <c r="AP76" s="3"/>
      <c r="AT76" s="3"/>
      <c r="AX76" s="3"/>
      <c r="BB76" s="3"/>
      <c r="BE76" s="3"/>
      <c r="BI76" s="3"/>
      <c r="BL76" s="3"/>
      <c r="BP76" s="3"/>
      <c r="BS76" s="3"/>
      <c r="BV76" s="3"/>
      <c r="BZ76" s="3"/>
      <c r="CC76" s="3"/>
    </row>
    <row r="77" spans="1:81" x14ac:dyDescent="0.3">
      <c r="A77" s="2" t="s">
        <v>127</v>
      </c>
      <c r="B77" s="2">
        <v>1</v>
      </c>
      <c r="C77" s="3" t="s">
        <v>128</v>
      </c>
      <c r="D77" s="95">
        <v>9</v>
      </c>
      <c r="E77" s="3" t="s">
        <v>126</v>
      </c>
      <c r="G77" s="3"/>
      <c r="I77" s="3"/>
      <c r="L77" s="51"/>
      <c r="M77" s="3"/>
      <c r="O77" s="98"/>
      <c r="P77" s="98"/>
      <c r="Q77" s="3"/>
      <c r="R77" s="98"/>
      <c r="S77" s="98"/>
      <c r="T77" s="12"/>
      <c r="U77" s="3"/>
      <c r="V77" s="12"/>
      <c r="W77" s="99"/>
      <c r="X77" s="3"/>
      <c r="Y77" s="99"/>
      <c r="Z77" s="99"/>
      <c r="AA77" s="3"/>
      <c r="AB77" s="12"/>
      <c r="AC77" s="2"/>
      <c r="AD77" s="2"/>
      <c r="AE77" s="3"/>
      <c r="AF77" s="2"/>
      <c r="AG77" s="2"/>
      <c r="AH77" s="3"/>
      <c r="AL77" s="3"/>
      <c r="AP77" s="3"/>
      <c r="AT77" s="3"/>
      <c r="AX77" s="3"/>
      <c r="BB77" s="3"/>
      <c r="BE77" s="3"/>
      <c r="BI77" s="3"/>
      <c r="BL77" s="3"/>
      <c r="BP77" s="3"/>
      <c r="BS77" s="3"/>
      <c r="BV77" s="3"/>
      <c r="BZ77" s="3"/>
      <c r="CC77" s="3"/>
    </row>
    <row r="78" spans="1:81" x14ac:dyDescent="0.3">
      <c r="A78" s="2" t="s">
        <v>9</v>
      </c>
      <c r="B78" s="2">
        <v>1</v>
      </c>
      <c r="C78" s="3" t="s">
        <v>120</v>
      </c>
      <c r="D78" s="95">
        <v>1.75</v>
      </c>
      <c r="E78" s="3" t="s">
        <v>109</v>
      </c>
      <c r="F78" s="51">
        <f>D78*D59</f>
        <v>196</v>
      </c>
      <c r="G78" s="3" t="s">
        <v>102</v>
      </c>
      <c r="I78" s="3"/>
      <c r="L78" s="51"/>
      <c r="M78" s="3"/>
      <c r="O78" s="98"/>
      <c r="P78" s="98"/>
      <c r="Q78" s="3"/>
      <c r="R78" s="98"/>
      <c r="S78" s="98"/>
      <c r="T78" s="12"/>
      <c r="U78" s="3"/>
      <c r="V78" s="12"/>
      <c r="W78" s="99"/>
      <c r="X78" s="3"/>
      <c r="Y78" s="99"/>
      <c r="Z78" s="99"/>
      <c r="AA78" s="3"/>
      <c r="AB78" s="12"/>
      <c r="AC78" s="2"/>
      <c r="AD78" s="2"/>
      <c r="AE78" s="3"/>
      <c r="AF78" s="2"/>
      <c r="AG78" s="2"/>
      <c r="AH78" s="3"/>
      <c r="AL78" s="3"/>
      <c r="AP78" s="3"/>
      <c r="AT78" s="3"/>
      <c r="AX78" s="3"/>
      <c r="BB78" s="3"/>
      <c r="BE78" s="3"/>
      <c r="BI78" s="3"/>
      <c r="BL78" s="3"/>
      <c r="BP78" s="3"/>
      <c r="BS78" s="3"/>
      <c r="BV78" s="3"/>
      <c r="BZ78" s="3"/>
      <c r="CC78" s="3"/>
    </row>
    <row r="79" spans="1:81" x14ac:dyDescent="0.3">
      <c r="A79" s="2" t="s">
        <v>9</v>
      </c>
      <c r="B79" s="2">
        <v>1</v>
      </c>
      <c r="C79" s="3" t="s">
        <v>119</v>
      </c>
      <c r="D79" s="95">
        <v>175</v>
      </c>
      <c r="E79" s="3" t="s">
        <v>102</v>
      </c>
      <c r="F79" s="95">
        <f>D79/D59</f>
        <v>1.5625</v>
      </c>
      <c r="G79" s="3" t="s">
        <v>105</v>
      </c>
      <c r="I79" s="3"/>
      <c r="L79" s="51"/>
      <c r="M79" s="3"/>
      <c r="O79" s="98"/>
      <c r="P79" s="98"/>
      <c r="Q79" s="3"/>
      <c r="R79" s="98"/>
      <c r="S79" s="98"/>
      <c r="T79" s="12"/>
      <c r="U79" s="3"/>
      <c r="V79" s="12"/>
      <c r="W79" s="99"/>
      <c r="X79" s="3"/>
      <c r="Y79" s="99"/>
      <c r="Z79" s="99"/>
      <c r="AA79" s="3"/>
      <c r="AB79" s="12"/>
      <c r="AC79" s="2"/>
      <c r="AD79" s="2"/>
      <c r="AE79" s="3"/>
      <c r="AF79" s="2"/>
      <c r="AG79" s="2"/>
      <c r="AH79" s="3"/>
      <c r="AL79" s="3"/>
      <c r="AP79" s="3"/>
      <c r="AT79" s="3"/>
      <c r="AX79" s="3"/>
      <c r="BB79" s="3"/>
      <c r="BE79" s="3"/>
      <c r="BI79" s="3"/>
      <c r="BL79" s="3"/>
      <c r="BP79" s="3"/>
      <c r="BS79" s="3"/>
      <c r="BV79" s="3"/>
      <c r="BZ79" s="3"/>
      <c r="CC79" s="3"/>
    </row>
    <row r="80" spans="1:81" x14ac:dyDescent="0.3">
      <c r="A80" s="2" t="s">
        <v>129</v>
      </c>
      <c r="B80" s="2">
        <v>1</v>
      </c>
      <c r="C80" s="3" t="s">
        <v>130</v>
      </c>
      <c r="D80" s="95">
        <v>0.15175</v>
      </c>
      <c r="E80" s="3" t="s">
        <v>109</v>
      </c>
      <c r="F80" s="95">
        <v>16.997</v>
      </c>
      <c r="G80" s="3" t="s">
        <v>102</v>
      </c>
      <c r="I80" s="3"/>
      <c r="L80" s="51"/>
      <c r="M80" s="3"/>
      <c r="O80" s="98"/>
      <c r="P80" s="98"/>
      <c r="Q80" s="3"/>
      <c r="R80" s="98"/>
      <c r="S80" s="98"/>
      <c r="T80" s="12"/>
      <c r="U80" s="3"/>
      <c r="V80" s="12"/>
      <c r="W80" s="99"/>
      <c r="X80" s="3"/>
      <c r="Y80" s="99"/>
      <c r="Z80" s="99"/>
      <c r="AA80" s="3"/>
      <c r="AB80" s="12"/>
      <c r="AC80" s="2"/>
      <c r="AD80" s="2"/>
      <c r="AE80" s="3"/>
      <c r="AF80" s="2"/>
      <c r="AG80" s="2"/>
      <c r="AH80" s="3"/>
      <c r="AL80" s="3"/>
      <c r="AP80" s="3"/>
      <c r="AT80" s="3"/>
      <c r="AX80" s="3"/>
      <c r="BB80" s="3"/>
      <c r="BE80" s="3"/>
      <c r="BI80" s="3"/>
      <c r="BL80" s="3"/>
      <c r="BP80" s="3"/>
      <c r="BS80" s="3"/>
      <c r="BV80" s="3"/>
      <c r="BZ80" s="3"/>
      <c r="CC80" s="3"/>
    </row>
    <row r="81" spans="1:81" x14ac:dyDescent="0.3">
      <c r="A81" s="2" t="s">
        <v>35</v>
      </c>
      <c r="B81" s="2">
        <v>1</v>
      </c>
      <c r="C81" s="3" t="s">
        <v>120</v>
      </c>
      <c r="D81" s="95">
        <v>1.5</v>
      </c>
      <c r="E81" s="3" t="s">
        <v>109</v>
      </c>
      <c r="G81" s="3"/>
      <c r="I81" s="3"/>
      <c r="L81" s="51"/>
      <c r="M81" s="3"/>
      <c r="O81" s="98"/>
      <c r="P81" s="98"/>
      <c r="Q81" s="3"/>
      <c r="R81" s="98"/>
      <c r="S81" s="98"/>
      <c r="T81" s="12"/>
      <c r="U81" s="3"/>
      <c r="V81" s="12"/>
      <c r="W81" s="99"/>
      <c r="X81" s="3"/>
      <c r="Y81" s="99"/>
      <c r="Z81" s="99"/>
      <c r="AA81" s="3"/>
      <c r="AB81" s="12"/>
      <c r="AC81" s="2"/>
      <c r="AD81" s="2"/>
      <c r="AE81" s="3"/>
      <c r="AF81" s="2"/>
      <c r="AG81" s="2"/>
      <c r="AH81" s="3"/>
      <c r="AL81" s="3"/>
      <c r="AP81" s="3"/>
      <c r="AT81" s="3"/>
      <c r="AX81" s="3"/>
      <c r="BB81" s="3"/>
      <c r="BE81" s="3"/>
      <c r="BI81" s="3"/>
      <c r="BL81" s="3"/>
      <c r="BP81" s="3"/>
      <c r="BS81" s="3"/>
      <c r="BV81" s="3"/>
      <c r="BZ81" s="3"/>
      <c r="CC81" s="3"/>
    </row>
    <row r="82" spans="1:81" x14ac:dyDescent="0.3">
      <c r="A82" s="2" t="s">
        <v>131</v>
      </c>
      <c r="B82" s="2">
        <v>1</v>
      </c>
      <c r="C82" s="3" t="s">
        <v>120</v>
      </c>
      <c r="D82" s="95">
        <v>1.625</v>
      </c>
      <c r="E82" s="3" t="s">
        <v>109</v>
      </c>
      <c r="G82" s="3"/>
      <c r="I82" s="3"/>
      <c r="L82" s="51"/>
      <c r="M82" s="3"/>
      <c r="O82" s="98"/>
      <c r="P82" s="98"/>
      <c r="Q82" s="3"/>
      <c r="R82" s="98"/>
      <c r="S82" s="98"/>
      <c r="T82" s="12"/>
      <c r="U82" s="3"/>
      <c r="V82" s="12"/>
      <c r="W82" s="99"/>
      <c r="X82" s="3"/>
      <c r="Y82" s="99"/>
      <c r="Z82" s="99"/>
      <c r="AA82" s="3"/>
      <c r="AB82" s="12"/>
      <c r="AC82" s="2"/>
      <c r="AD82" s="2"/>
      <c r="AE82" s="3"/>
      <c r="AF82" s="2"/>
      <c r="AG82" s="2"/>
      <c r="AH82" s="3"/>
      <c r="AL82" s="3"/>
      <c r="AP82" s="3"/>
      <c r="AT82" s="3"/>
      <c r="AX82" s="3"/>
      <c r="BB82" s="3"/>
      <c r="BE82" s="3"/>
      <c r="BI82" s="3"/>
      <c r="BL82" s="3"/>
      <c r="BP82" s="3"/>
      <c r="BS82" s="3"/>
      <c r="BV82" s="3"/>
      <c r="BZ82" s="3"/>
      <c r="CC82" s="3"/>
    </row>
    <row r="83" spans="1:81" x14ac:dyDescent="0.3">
      <c r="A83" s="2" t="s">
        <v>3</v>
      </c>
      <c r="B83" s="2">
        <v>1</v>
      </c>
      <c r="C83" s="3" t="s">
        <v>120</v>
      </c>
      <c r="D83" s="95">
        <v>1.5</v>
      </c>
      <c r="E83" s="3" t="s">
        <v>109</v>
      </c>
      <c r="G83" s="3"/>
      <c r="I83" s="3"/>
      <c r="L83" s="51"/>
      <c r="M83" s="3"/>
      <c r="O83" s="98"/>
      <c r="P83" s="98"/>
      <c r="Q83" s="3"/>
      <c r="R83" s="98"/>
      <c r="S83" s="98"/>
      <c r="T83" s="12"/>
      <c r="U83" s="3"/>
      <c r="V83" s="12"/>
      <c r="W83" s="99"/>
      <c r="X83" s="3"/>
      <c r="Y83" s="99"/>
      <c r="Z83" s="99"/>
      <c r="AA83" s="3"/>
      <c r="AB83" s="12"/>
      <c r="AC83" s="2"/>
      <c r="AD83" s="2"/>
      <c r="AE83" s="3"/>
      <c r="AF83" s="2"/>
      <c r="AG83" s="2"/>
      <c r="AH83" s="3"/>
      <c r="AL83" s="3"/>
      <c r="AP83" s="3"/>
      <c r="AT83" s="3"/>
      <c r="AX83" s="3"/>
      <c r="BB83" s="3"/>
      <c r="BE83" s="3"/>
      <c r="BI83" s="3"/>
      <c r="BL83" s="3"/>
      <c r="BP83" s="3"/>
      <c r="BS83" s="3"/>
      <c r="BV83" s="3"/>
      <c r="BZ83" s="3"/>
      <c r="CC83" s="3"/>
    </row>
    <row r="84" spans="1:81" x14ac:dyDescent="0.3">
      <c r="A84" s="2" t="s">
        <v>15</v>
      </c>
      <c r="B84" s="2">
        <v>1</v>
      </c>
      <c r="C84" s="3" t="s">
        <v>120</v>
      </c>
      <c r="D84" s="95">
        <v>1.5</v>
      </c>
      <c r="E84" s="3" t="s">
        <v>109</v>
      </c>
      <c r="G84" s="3"/>
      <c r="I84" s="3"/>
      <c r="L84" s="51"/>
      <c r="M84" s="3"/>
      <c r="O84" s="98"/>
      <c r="P84" s="98"/>
      <c r="Q84" s="3"/>
      <c r="R84" s="98"/>
      <c r="S84" s="98"/>
      <c r="T84" s="12"/>
      <c r="U84" s="3"/>
      <c r="V84" s="12"/>
      <c r="W84" s="99"/>
      <c r="X84" s="3"/>
      <c r="Y84" s="99"/>
      <c r="Z84" s="99"/>
      <c r="AA84" s="3"/>
      <c r="AB84" s="12"/>
      <c r="AC84" s="2"/>
      <c r="AD84" s="2"/>
      <c r="AE84" s="3"/>
      <c r="AF84" s="2"/>
      <c r="AG84" s="2"/>
      <c r="AH84" s="3"/>
      <c r="AL84" s="3"/>
      <c r="AP84" s="3"/>
      <c r="AT84" s="3"/>
      <c r="AX84" s="3"/>
      <c r="BB84" s="3"/>
      <c r="BE84" s="3"/>
      <c r="BI84" s="3"/>
      <c r="BL84" s="3"/>
      <c r="BP84" s="3"/>
      <c r="BS84" s="3"/>
      <c r="BV84" s="3"/>
      <c r="BZ84" s="3"/>
      <c r="CC84" s="3"/>
    </row>
    <row r="85" spans="1:81" x14ac:dyDescent="0.3">
      <c r="A85" s="151" t="s">
        <v>132</v>
      </c>
      <c r="B85" s="2">
        <v>1</v>
      </c>
      <c r="C85" s="3" t="s">
        <v>133</v>
      </c>
      <c r="D85" s="95">
        <v>18.559999999999999</v>
      </c>
      <c r="E85" s="3" t="s">
        <v>126</v>
      </c>
      <c r="G85" s="3"/>
      <c r="I85" s="3"/>
      <c r="L85" s="51"/>
      <c r="M85" s="3"/>
      <c r="O85" s="98"/>
      <c r="P85" s="98"/>
      <c r="Q85" s="3"/>
      <c r="R85" s="98"/>
      <c r="S85" s="98"/>
      <c r="T85" s="12"/>
      <c r="U85" s="3"/>
      <c r="V85" s="12"/>
      <c r="W85" s="99"/>
      <c r="X85" s="3"/>
      <c r="Y85" s="99"/>
      <c r="Z85" s="99"/>
      <c r="AA85" s="3"/>
      <c r="AB85" s="12"/>
      <c r="AC85" s="2"/>
      <c r="AD85" s="2"/>
      <c r="AE85" s="3"/>
      <c r="AF85" s="2"/>
      <c r="AG85" s="2"/>
      <c r="AH85" s="3"/>
      <c r="AL85" s="3"/>
      <c r="AP85" s="3"/>
      <c r="AT85" s="3"/>
      <c r="AX85" s="3"/>
      <c r="BB85" s="3"/>
      <c r="BE85" s="3"/>
      <c r="BI85" s="3"/>
      <c r="BL85" s="3"/>
      <c r="BP85" s="3"/>
      <c r="BS85" s="3"/>
      <c r="BV85" s="3"/>
      <c r="BZ85" s="3"/>
      <c r="CC85" s="3"/>
    </row>
    <row r="86" spans="1:81" x14ac:dyDescent="0.3">
      <c r="A86" s="151"/>
      <c r="B86" s="2">
        <v>1</v>
      </c>
      <c r="C86" s="3" t="s">
        <v>134</v>
      </c>
      <c r="D86" s="95">
        <v>164</v>
      </c>
      <c r="E86" s="3" t="s">
        <v>102</v>
      </c>
      <c r="F86" s="95">
        <f>D86/D44</f>
        <v>1.4642857142857142</v>
      </c>
      <c r="G86" s="3" t="s">
        <v>109</v>
      </c>
      <c r="I86" s="6"/>
      <c r="L86" s="51"/>
      <c r="M86" s="6"/>
      <c r="O86" s="98"/>
      <c r="P86" s="98"/>
      <c r="Q86" s="6"/>
      <c r="R86" s="98"/>
      <c r="S86" s="98"/>
      <c r="T86" s="12"/>
      <c r="U86" s="6"/>
      <c r="V86" s="12"/>
      <c r="W86" s="99"/>
      <c r="X86" s="6"/>
      <c r="Y86" s="99"/>
      <c r="Z86" s="99"/>
      <c r="AA86" s="6"/>
      <c r="AB86" s="12"/>
      <c r="AC86" s="2"/>
      <c r="AD86" s="2"/>
      <c r="AE86" s="6"/>
      <c r="AF86" s="2"/>
      <c r="AG86" s="2"/>
      <c r="AH86" s="6"/>
      <c r="AL86" s="6"/>
      <c r="AP86" s="6"/>
      <c r="AT86" s="6"/>
      <c r="AX86" s="6"/>
      <c r="BB86" s="6"/>
      <c r="BE86" s="6"/>
      <c r="BI86" s="6"/>
      <c r="BL86" s="6"/>
      <c r="BP86" s="6"/>
      <c r="BS86" s="6"/>
      <c r="BV86" s="6"/>
      <c r="BZ86" s="6"/>
      <c r="CC86" s="6"/>
    </row>
    <row r="87" spans="1:81" x14ac:dyDescent="0.3">
      <c r="A87" s="151" t="s">
        <v>135</v>
      </c>
      <c r="B87" s="2">
        <v>1</v>
      </c>
      <c r="C87" s="3" t="s">
        <v>136</v>
      </c>
      <c r="D87" s="95">
        <v>336</v>
      </c>
      <c r="E87" s="3" t="s">
        <v>102</v>
      </c>
      <c r="F87" s="95">
        <v>3</v>
      </c>
      <c r="G87" s="3" t="s">
        <v>109</v>
      </c>
      <c r="I87" s="3"/>
      <c r="L87" s="51"/>
      <c r="M87" s="3"/>
      <c r="O87" s="98"/>
      <c r="P87" s="98"/>
      <c r="Q87" s="3"/>
      <c r="R87" s="98"/>
      <c r="S87" s="98"/>
      <c r="T87" s="12"/>
      <c r="U87" s="3"/>
      <c r="V87" s="12"/>
      <c r="W87" s="99"/>
      <c r="X87" s="3"/>
      <c r="Y87" s="99"/>
      <c r="Z87" s="99"/>
      <c r="AA87" s="3"/>
      <c r="AB87" s="12"/>
      <c r="AC87" s="2"/>
      <c r="AD87" s="2"/>
      <c r="AE87" s="3"/>
      <c r="AF87" s="2"/>
      <c r="AG87" s="2"/>
      <c r="AH87" s="3"/>
      <c r="AL87" s="3"/>
      <c r="AP87" s="3"/>
      <c r="AT87" s="3"/>
      <c r="AX87" s="3"/>
      <c r="BB87" s="3"/>
      <c r="BE87" s="3"/>
      <c r="BI87" s="3"/>
      <c r="BL87" s="3"/>
      <c r="BP87" s="3"/>
      <c r="BS87" s="3"/>
      <c r="BV87" s="3"/>
      <c r="BZ87" s="3"/>
      <c r="CC87" s="3"/>
    </row>
    <row r="88" spans="1:81" x14ac:dyDescent="0.3">
      <c r="A88" s="151"/>
      <c r="B88" s="2">
        <v>1</v>
      </c>
      <c r="C88" s="3" t="s">
        <v>137</v>
      </c>
      <c r="D88" s="95">
        <v>240</v>
      </c>
      <c r="E88" s="3" t="s">
        <v>102</v>
      </c>
      <c r="F88" s="95">
        <f>D88/D59</f>
        <v>2.1428571428571428</v>
      </c>
      <c r="G88" s="3" t="s">
        <v>109</v>
      </c>
      <c r="I88" s="3"/>
      <c r="L88" s="51"/>
      <c r="M88" s="3"/>
      <c r="O88" s="98"/>
      <c r="P88" s="98"/>
      <c r="Q88" s="3"/>
      <c r="R88" s="98"/>
      <c r="S88" s="98"/>
      <c r="T88" s="12"/>
      <c r="U88" s="3"/>
      <c r="V88" s="12"/>
      <c r="W88" s="99"/>
      <c r="X88" s="3"/>
      <c r="Y88" s="99"/>
      <c r="Z88" s="99"/>
      <c r="AA88" s="3"/>
      <c r="AB88" s="12"/>
      <c r="AC88" s="2"/>
      <c r="AD88" s="2"/>
      <c r="AE88" s="3"/>
      <c r="AF88" s="2"/>
      <c r="AG88" s="2"/>
      <c r="AH88" s="3"/>
      <c r="AL88" s="3"/>
      <c r="AP88" s="3"/>
      <c r="AT88" s="3"/>
      <c r="AX88" s="3"/>
      <c r="BB88" s="3"/>
      <c r="BE88" s="3"/>
      <c r="BI88" s="3"/>
      <c r="BL88" s="3"/>
      <c r="BP88" s="3"/>
      <c r="BS88" s="3"/>
      <c r="BV88" s="3"/>
      <c r="BZ88" s="3"/>
      <c r="CC88" s="3"/>
    </row>
    <row r="89" spans="1:81" x14ac:dyDescent="0.3">
      <c r="A89" s="151" t="s">
        <v>29</v>
      </c>
      <c r="B89" s="2">
        <v>1</v>
      </c>
      <c r="C89" s="3" t="s">
        <v>138</v>
      </c>
      <c r="D89" s="95">
        <v>3.40835</v>
      </c>
      <c r="E89" s="3" t="s">
        <v>120</v>
      </c>
      <c r="F89" s="95">
        <f>D89*D90/D59</f>
        <v>5.9646125000000003</v>
      </c>
      <c r="G89" s="3" t="s">
        <v>109</v>
      </c>
      <c r="I89" s="3"/>
      <c r="L89" s="51"/>
      <c r="M89" s="3"/>
      <c r="O89" s="98"/>
      <c r="P89" s="98"/>
      <c r="Q89" s="3"/>
      <c r="R89" s="98"/>
      <c r="S89" s="98"/>
      <c r="T89" s="12"/>
      <c r="U89" s="3"/>
      <c r="V89" s="12"/>
      <c r="W89" s="99"/>
      <c r="X89" s="3"/>
      <c r="Y89" s="99"/>
      <c r="Z89" s="99"/>
      <c r="AA89" s="3"/>
      <c r="AB89" s="12"/>
      <c r="AC89" s="2"/>
      <c r="AD89" s="2"/>
      <c r="AE89" s="3"/>
      <c r="AF89" s="2"/>
      <c r="AG89" s="2"/>
      <c r="AH89" s="3"/>
      <c r="AL89" s="3"/>
      <c r="AP89" s="3"/>
      <c r="AT89" s="3"/>
      <c r="AX89" s="3"/>
      <c r="BB89" s="3"/>
      <c r="BE89" s="3"/>
      <c r="BI89" s="3"/>
      <c r="BL89" s="3"/>
      <c r="BP89" s="3"/>
      <c r="BS89" s="3"/>
      <c r="BV89" s="3"/>
      <c r="BZ89" s="3"/>
      <c r="CC89" s="3"/>
    </row>
    <row r="90" spans="1:81" x14ac:dyDescent="0.3">
      <c r="A90" s="151"/>
      <c r="B90" s="2">
        <v>1</v>
      </c>
      <c r="C90" s="3" t="s">
        <v>120</v>
      </c>
      <c r="D90" s="97">
        <v>196</v>
      </c>
      <c r="E90" s="3" t="s">
        <v>102</v>
      </c>
      <c r="F90" s="95"/>
      <c r="G90" s="2"/>
      <c r="I90" s="3"/>
      <c r="L90" s="51"/>
      <c r="M90" s="3"/>
      <c r="O90" s="98"/>
      <c r="P90" s="98"/>
      <c r="Q90" s="3"/>
      <c r="R90" s="98"/>
      <c r="S90" s="98"/>
      <c r="T90" s="12"/>
      <c r="U90" s="3"/>
      <c r="V90" s="12"/>
      <c r="W90" s="99"/>
      <c r="X90" s="3"/>
      <c r="Y90" s="99"/>
      <c r="Z90" s="99"/>
      <c r="AA90" s="3"/>
      <c r="AB90" s="12"/>
      <c r="AC90" s="2"/>
      <c r="AD90" s="2"/>
      <c r="AE90" s="3"/>
      <c r="AF90" s="2"/>
      <c r="AG90" s="2"/>
      <c r="AH90" s="3"/>
      <c r="AL90" s="3"/>
      <c r="AP90" s="3"/>
      <c r="AT90" s="3"/>
      <c r="AX90" s="3"/>
      <c r="BB90" s="3"/>
      <c r="BE90" s="3"/>
      <c r="BI90" s="3"/>
      <c r="BL90" s="3"/>
      <c r="BP90" s="3"/>
      <c r="BS90" s="3"/>
      <c r="BV90" s="3"/>
      <c r="BZ90" s="3"/>
      <c r="CC90" s="3"/>
    </row>
    <row r="91" spans="1:81" x14ac:dyDescent="0.3">
      <c r="A91" s="151" t="s">
        <v>74</v>
      </c>
      <c r="B91" s="2">
        <v>1</v>
      </c>
      <c r="C91" s="3" t="s">
        <v>139</v>
      </c>
      <c r="D91" s="97">
        <v>1</v>
      </c>
      <c r="E91" s="3" t="s">
        <v>124</v>
      </c>
      <c r="F91" s="95">
        <f>F92</f>
        <v>3.0446428571428572</v>
      </c>
      <c r="G91" s="3" t="s">
        <v>109</v>
      </c>
      <c r="I91" s="3"/>
      <c r="L91" s="51"/>
      <c r="M91" s="3"/>
      <c r="O91" s="98"/>
      <c r="P91" s="98"/>
      <c r="Q91" s="3"/>
      <c r="R91" s="98"/>
      <c r="S91" s="98"/>
      <c r="T91" s="12"/>
      <c r="U91" s="3"/>
      <c r="V91" s="12"/>
      <c r="W91" s="99"/>
      <c r="X91" s="3"/>
      <c r="Y91" s="99"/>
      <c r="Z91" s="99"/>
      <c r="AA91" s="3"/>
      <c r="AB91" s="12"/>
      <c r="AC91" s="2"/>
      <c r="AD91" s="2"/>
      <c r="AE91" s="3"/>
      <c r="AF91" s="2"/>
      <c r="AG91" s="2"/>
      <c r="AH91" s="3"/>
      <c r="AL91" s="3"/>
      <c r="AP91" s="3"/>
      <c r="AT91" s="3"/>
      <c r="AX91" s="3"/>
      <c r="BB91" s="3"/>
      <c r="BE91" s="3"/>
      <c r="BI91" s="3"/>
      <c r="BL91" s="3"/>
      <c r="BP91" s="3"/>
      <c r="BS91" s="3"/>
      <c r="BV91" s="3"/>
      <c r="BZ91" s="3"/>
      <c r="CC91" s="3"/>
    </row>
    <row r="92" spans="1:81" x14ac:dyDescent="0.3">
      <c r="A92" s="151"/>
      <c r="B92" s="2">
        <v>1</v>
      </c>
      <c r="C92" s="3" t="s">
        <v>124</v>
      </c>
      <c r="D92" s="97">
        <f>(355+327)/2</f>
        <v>341</v>
      </c>
      <c r="E92" s="3" t="s">
        <v>102</v>
      </c>
      <c r="F92" s="95">
        <f>D92/D59</f>
        <v>3.0446428571428572</v>
      </c>
      <c r="G92" s="3" t="s">
        <v>109</v>
      </c>
      <c r="I92" s="3"/>
      <c r="L92" s="51"/>
      <c r="M92" s="3"/>
      <c r="O92" s="98"/>
      <c r="P92" s="98"/>
      <c r="Q92" s="3"/>
      <c r="R92" s="98"/>
      <c r="S92" s="98"/>
      <c r="T92" s="12"/>
      <c r="U92" s="3"/>
      <c r="V92" s="12"/>
      <c r="W92" s="99"/>
      <c r="X92" s="3"/>
      <c r="Y92" s="99"/>
      <c r="Z92" s="99"/>
      <c r="AA92" s="3"/>
      <c r="AB92" s="12"/>
      <c r="AC92" s="2"/>
      <c r="AD92" s="2"/>
      <c r="AE92" s="3"/>
      <c r="AF92" s="2"/>
      <c r="AG92" s="2"/>
      <c r="AH92" s="3"/>
      <c r="AL92" s="3"/>
      <c r="AP92" s="3"/>
      <c r="AT92" s="3"/>
      <c r="AX92" s="3"/>
      <c r="BB92" s="3"/>
      <c r="BE92" s="3"/>
      <c r="BI92" s="3"/>
      <c r="BL92" s="3"/>
      <c r="BP92" s="3"/>
      <c r="BS92" s="3"/>
      <c r="BV92" s="3"/>
      <c r="BZ92" s="3"/>
      <c r="CC92" s="3"/>
    </row>
    <row r="93" spans="1:81" x14ac:dyDescent="0.3">
      <c r="A93" s="151" t="s">
        <v>16</v>
      </c>
      <c r="B93" s="2">
        <v>1</v>
      </c>
      <c r="C93" s="6" t="s">
        <v>119</v>
      </c>
      <c r="D93" s="97">
        <v>140.63</v>
      </c>
      <c r="E93" s="3" t="s">
        <v>102</v>
      </c>
      <c r="F93" s="95">
        <f>D93/D59</f>
        <v>1.255625</v>
      </c>
      <c r="G93" s="3" t="s">
        <v>109</v>
      </c>
      <c r="I93" s="3"/>
      <c r="L93" s="51"/>
      <c r="M93" s="3"/>
      <c r="O93" s="98"/>
      <c r="P93" s="98"/>
      <c r="Q93" s="3"/>
      <c r="R93" s="98"/>
      <c r="S93" s="98"/>
      <c r="T93" s="12"/>
      <c r="U93" s="3"/>
      <c r="V93" s="12"/>
      <c r="W93" s="99"/>
      <c r="X93" s="3"/>
      <c r="Y93" s="99"/>
      <c r="Z93" s="99"/>
      <c r="AA93" s="3"/>
      <c r="AB93" s="12"/>
      <c r="AC93" s="2"/>
      <c r="AD93" s="2"/>
      <c r="AE93" s="3"/>
      <c r="AF93" s="2"/>
      <c r="AG93" s="2"/>
      <c r="AH93" s="3"/>
      <c r="AL93" s="3"/>
      <c r="AP93" s="3"/>
      <c r="AT93" s="3"/>
      <c r="AX93" s="3"/>
      <c r="BB93" s="3"/>
      <c r="BE93" s="3"/>
      <c r="BI93" s="3"/>
      <c r="BL93" s="3"/>
      <c r="BP93" s="3"/>
      <c r="BS93" s="3"/>
      <c r="BV93" s="3"/>
      <c r="BZ93" s="3"/>
      <c r="CC93" s="3"/>
    </row>
    <row r="94" spans="1:81" x14ac:dyDescent="0.3">
      <c r="A94" s="151"/>
      <c r="B94" s="2">
        <v>1</v>
      </c>
      <c r="C94" s="6" t="s">
        <v>140</v>
      </c>
      <c r="D94" s="97">
        <v>0.91576999999999997</v>
      </c>
      <c r="E94" s="3" t="s">
        <v>119</v>
      </c>
      <c r="F94" s="95">
        <f>F93*D94</f>
        <v>1.1498637062499999</v>
      </c>
      <c r="G94" s="3" t="s">
        <v>109</v>
      </c>
      <c r="I94" s="3"/>
      <c r="L94" s="51"/>
      <c r="M94" s="3"/>
      <c r="O94" s="98"/>
      <c r="P94" s="98"/>
      <c r="Q94" s="3"/>
      <c r="R94" s="98"/>
      <c r="S94" s="98"/>
      <c r="T94" s="12"/>
      <c r="U94" s="3"/>
      <c r="V94" s="12"/>
      <c r="W94" s="99"/>
      <c r="X94" s="3"/>
      <c r="Y94" s="99"/>
      <c r="Z94" s="99"/>
      <c r="AA94" s="3"/>
      <c r="AB94" s="12"/>
      <c r="AC94" s="2"/>
      <c r="AD94" s="2"/>
      <c r="AE94" s="3"/>
      <c r="AF94" s="2"/>
      <c r="AG94" s="2"/>
      <c r="AH94" s="3"/>
      <c r="AL94" s="3"/>
      <c r="AP94" s="3"/>
      <c r="AT94" s="3"/>
      <c r="AX94" s="3"/>
      <c r="BB94" s="3"/>
      <c r="BE94" s="3"/>
      <c r="BI94" s="3"/>
      <c r="BL94" s="3"/>
      <c r="BP94" s="3"/>
      <c r="BS94" s="3"/>
      <c r="BV94" s="3"/>
      <c r="BZ94" s="3"/>
      <c r="CC94" s="3"/>
    </row>
    <row r="95" spans="1:81" x14ac:dyDescent="0.3">
      <c r="A95" s="151" t="s">
        <v>141</v>
      </c>
      <c r="B95" s="2">
        <v>1</v>
      </c>
      <c r="C95" s="6" t="s">
        <v>124</v>
      </c>
      <c r="D95" s="97">
        <v>2.37609</v>
      </c>
      <c r="E95" s="6" t="s">
        <v>120</v>
      </c>
      <c r="F95" s="95">
        <f>D95*D96</f>
        <v>4.1366063637000003</v>
      </c>
      <c r="G95" s="3" t="s">
        <v>109</v>
      </c>
      <c r="I95" s="3"/>
      <c r="L95" s="51"/>
      <c r="M95" s="3"/>
      <c r="O95" s="98"/>
      <c r="P95" s="98"/>
      <c r="Q95" s="3"/>
      <c r="R95" s="98"/>
      <c r="S95" s="98"/>
      <c r="T95" s="12"/>
      <c r="U95" s="3"/>
      <c r="V95" s="12"/>
      <c r="W95" s="99"/>
      <c r="X95" s="3"/>
      <c r="Y95" s="99"/>
      <c r="Z95" s="99"/>
      <c r="AA95" s="3"/>
      <c r="AB95" s="12"/>
      <c r="AC95" s="2"/>
      <c r="AD95" s="2"/>
      <c r="AE95" s="3"/>
      <c r="AF95" s="2"/>
      <c r="AG95" s="2"/>
      <c r="AH95" s="3"/>
      <c r="AL95" s="3"/>
      <c r="AP95" s="3"/>
      <c r="AT95" s="3"/>
      <c r="AX95" s="3"/>
      <c r="BB95" s="3"/>
      <c r="BE95" s="3"/>
      <c r="BI95" s="3"/>
      <c r="BL95" s="3"/>
      <c r="BP95" s="3"/>
      <c r="BS95" s="3"/>
      <c r="BV95" s="3"/>
      <c r="BZ95" s="3"/>
      <c r="CC95" s="3"/>
    </row>
    <row r="96" spans="1:81" x14ac:dyDescent="0.3">
      <c r="A96" s="151"/>
      <c r="B96" s="2">
        <v>1</v>
      </c>
      <c r="C96" s="6" t="s">
        <v>120</v>
      </c>
      <c r="D96" s="97">
        <v>1.7409300000000001</v>
      </c>
      <c r="E96" s="3" t="s">
        <v>109</v>
      </c>
      <c r="F96" s="95"/>
      <c r="G96" s="3"/>
      <c r="I96" s="3"/>
      <c r="L96" s="51"/>
      <c r="M96" s="3"/>
      <c r="O96" s="98"/>
      <c r="P96" s="98"/>
      <c r="Q96" s="3"/>
      <c r="R96" s="98"/>
      <c r="S96" s="98"/>
      <c r="T96" s="12"/>
      <c r="U96" s="3"/>
      <c r="V96" s="12"/>
      <c r="W96" s="99"/>
      <c r="X96" s="3"/>
      <c r="Y96" s="99"/>
      <c r="Z96" s="99"/>
      <c r="AA96" s="3"/>
      <c r="AB96" s="12"/>
      <c r="AC96" s="2"/>
      <c r="AD96" s="2"/>
      <c r="AE96" s="3"/>
      <c r="AF96" s="2"/>
      <c r="AG96" s="2"/>
      <c r="AH96" s="3"/>
      <c r="AL96" s="3"/>
      <c r="AP96" s="3"/>
      <c r="AT96" s="3"/>
      <c r="AX96" s="3"/>
      <c r="BB96" s="3"/>
      <c r="BE96" s="3"/>
      <c r="BI96" s="3"/>
      <c r="BL96" s="3"/>
      <c r="BP96" s="3"/>
      <c r="BS96" s="3"/>
      <c r="BV96" s="3"/>
      <c r="BZ96" s="3"/>
      <c r="CC96" s="3"/>
    </row>
    <row r="97" spans="1:81" x14ac:dyDescent="0.3">
      <c r="A97" s="2" t="s">
        <v>142</v>
      </c>
      <c r="B97" s="2">
        <v>1</v>
      </c>
      <c r="C97" s="6" t="s">
        <v>124</v>
      </c>
      <c r="D97" s="97">
        <v>242</v>
      </c>
      <c r="E97" s="3" t="s">
        <v>102</v>
      </c>
      <c r="F97" s="95">
        <f>D97/D59</f>
        <v>2.1607142857142856</v>
      </c>
      <c r="G97" s="3" t="s">
        <v>109</v>
      </c>
      <c r="I97" s="3"/>
      <c r="L97" s="51"/>
      <c r="M97" s="3"/>
      <c r="O97" s="98"/>
      <c r="P97" s="98"/>
      <c r="Q97" s="3"/>
      <c r="R97" s="98"/>
      <c r="S97" s="98"/>
      <c r="T97" s="12"/>
      <c r="U97" s="3"/>
      <c r="V97" s="12"/>
      <c r="W97" s="99"/>
      <c r="X97" s="3"/>
      <c r="Y97" s="99"/>
      <c r="Z97" s="99"/>
      <c r="AA97" s="3"/>
      <c r="AB97" s="12"/>
      <c r="AC97" s="2"/>
      <c r="AD97" s="2"/>
      <c r="AE97" s="3"/>
      <c r="AF97" s="2"/>
      <c r="AG97" s="2"/>
      <c r="AH97" s="3"/>
      <c r="AL97" s="3"/>
      <c r="AP97" s="3"/>
      <c r="AT97" s="3"/>
      <c r="AX97" s="3"/>
      <c r="BB97" s="3"/>
      <c r="BE97" s="3"/>
      <c r="BI97" s="3"/>
      <c r="BL97" s="3"/>
      <c r="BP97" s="3"/>
      <c r="BS97" s="3"/>
      <c r="BV97" s="3"/>
      <c r="BZ97" s="3"/>
      <c r="CC97" s="3"/>
    </row>
    <row r="98" spans="1:81" x14ac:dyDescent="0.3">
      <c r="A98" s="2" t="s">
        <v>143</v>
      </c>
      <c r="B98" s="2">
        <v>1</v>
      </c>
      <c r="C98" s="6" t="s">
        <v>144</v>
      </c>
      <c r="D98" s="97">
        <v>294</v>
      </c>
      <c r="E98" s="3" t="s">
        <v>102</v>
      </c>
      <c r="F98" s="95">
        <f>D98/D59</f>
        <v>2.625</v>
      </c>
      <c r="G98" s="3" t="s">
        <v>109</v>
      </c>
      <c r="I98" s="3"/>
      <c r="L98" s="51"/>
      <c r="M98" s="3"/>
      <c r="O98" s="98"/>
      <c r="P98" s="98"/>
      <c r="Q98" s="3"/>
      <c r="R98" s="98"/>
      <c r="S98" s="98"/>
      <c r="T98" s="12"/>
      <c r="U98" s="3"/>
      <c r="V98" s="12"/>
      <c r="W98" s="99"/>
      <c r="X98" s="3"/>
      <c r="Y98" s="99"/>
      <c r="Z98" s="99"/>
      <c r="AA98" s="3"/>
      <c r="AB98" s="12"/>
      <c r="AC98" s="2"/>
      <c r="AD98" s="2"/>
      <c r="AE98" s="3"/>
      <c r="AF98" s="2"/>
      <c r="AG98" s="2"/>
      <c r="AH98" s="3"/>
      <c r="AL98" s="3"/>
      <c r="AP98" s="3"/>
      <c r="AT98" s="3"/>
      <c r="AX98" s="3"/>
      <c r="BB98" s="3"/>
      <c r="BE98" s="3"/>
      <c r="BI98" s="3"/>
      <c r="BL98" s="3"/>
      <c r="BP98" s="3"/>
      <c r="BS98" s="3"/>
      <c r="BV98" s="3"/>
      <c r="BZ98" s="3"/>
      <c r="CC98" s="3"/>
    </row>
    <row r="99" spans="1:81" x14ac:dyDescent="0.3">
      <c r="A99" s="2" t="s">
        <v>11</v>
      </c>
      <c r="B99" s="2">
        <v>1</v>
      </c>
      <c r="C99" s="6" t="s">
        <v>119</v>
      </c>
      <c r="D99" s="95">
        <v>0.88400000000000001</v>
      </c>
      <c r="E99" s="3" t="s">
        <v>109</v>
      </c>
      <c r="I99" s="3"/>
      <c r="L99" s="51"/>
      <c r="M99" s="3"/>
      <c r="O99" s="98"/>
      <c r="P99" s="98"/>
      <c r="Q99" s="3"/>
      <c r="R99" s="98"/>
      <c r="S99" s="98"/>
      <c r="T99" s="12"/>
      <c r="U99" s="3"/>
      <c r="V99" s="12"/>
      <c r="W99" s="99"/>
      <c r="X99" s="3"/>
      <c r="Y99" s="99"/>
      <c r="Z99" s="99"/>
      <c r="AA99" s="3"/>
      <c r="AB99" s="12"/>
      <c r="AC99" s="2"/>
      <c r="AD99" s="2"/>
      <c r="AE99" s="3"/>
      <c r="AF99" s="2"/>
      <c r="AG99" s="2"/>
      <c r="AH99" s="3"/>
      <c r="AL99" s="3"/>
      <c r="AP99" s="3"/>
      <c r="AT99" s="3"/>
      <c r="AX99" s="3"/>
      <c r="BB99" s="3"/>
      <c r="BE99" s="3"/>
      <c r="BI99" s="3"/>
      <c r="BL99" s="3"/>
      <c r="BP99" s="3"/>
      <c r="BS99" s="3"/>
      <c r="BV99" s="3"/>
      <c r="BZ99" s="3"/>
      <c r="CC99" s="3"/>
    </row>
    <row r="100" spans="1:81" x14ac:dyDescent="0.3">
      <c r="A100" s="2" t="s">
        <v>18</v>
      </c>
      <c r="B100" s="2">
        <v>1</v>
      </c>
      <c r="C100" s="6" t="s">
        <v>120</v>
      </c>
      <c r="D100" s="97">
        <v>149</v>
      </c>
      <c r="E100" s="3" t="s">
        <v>102</v>
      </c>
      <c r="F100" s="95">
        <f>D100/D59</f>
        <v>1.3303571428571428</v>
      </c>
      <c r="G100" s="3" t="s">
        <v>109</v>
      </c>
      <c r="I100" s="3"/>
      <c r="L100" s="51"/>
      <c r="M100" s="3"/>
      <c r="O100" s="98"/>
      <c r="P100" s="98"/>
      <c r="Q100" s="3"/>
      <c r="R100" s="98"/>
      <c r="S100" s="98"/>
      <c r="T100" s="12"/>
      <c r="U100" s="3"/>
      <c r="V100" s="12"/>
      <c r="W100" s="99"/>
      <c r="X100" s="3"/>
      <c r="Y100" s="99"/>
      <c r="Z100" s="99"/>
      <c r="AA100" s="3"/>
      <c r="AB100" s="12"/>
      <c r="AC100" s="2"/>
      <c r="AD100" s="2"/>
      <c r="AE100" s="3"/>
      <c r="AF100" s="2"/>
      <c r="AG100" s="2"/>
      <c r="AH100" s="3"/>
      <c r="AL100" s="3"/>
      <c r="AP100" s="3"/>
      <c r="AT100" s="3"/>
      <c r="AX100" s="3"/>
      <c r="BB100" s="3"/>
      <c r="BE100" s="3"/>
      <c r="BI100" s="3"/>
      <c r="BL100" s="3"/>
      <c r="BP100" s="3"/>
      <c r="BS100" s="3"/>
      <c r="BV100" s="3"/>
      <c r="BZ100" s="3"/>
      <c r="CC100" s="3"/>
    </row>
    <row r="101" spans="1:81" x14ac:dyDescent="0.3">
      <c r="A101" s="2" t="s">
        <v>132</v>
      </c>
      <c r="B101" s="2">
        <v>1</v>
      </c>
      <c r="C101" s="6" t="s">
        <v>119</v>
      </c>
      <c r="D101" s="97">
        <v>164</v>
      </c>
      <c r="E101" s="3" t="s">
        <v>102</v>
      </c>
      <c r="F101" s="95">
        <f>D101/D59</f>
        <v>1.4642857142857142</v>
      </c>
      <c r="G101" s="3" t="s">
        <v>109</v>
      </c>
      <c r="I101" s="3"/>
      <c r="L101" s="51"/>
      <c r="M101" s="3"/>
      <c r="O101" s="98"/>
      <c r="P101" s="98"/>
      <c r="Q101" s="3"/>
      <c r="R101" s="98"/>
      <c r="S101" s="98"/>
      <c r="T101" s="12"/>
      <c r="U101" s="3"/>
      <c r="V101" s="12"/>
      <c r="W101" s="99"/>
      <c r="X101" s="3"/>
      <c r="Y101" s="99"/>
      <c r="Z101" s="99"/>
      <c r="AA101" s="3"/>
      <c r="AB101" s="12"/>
      <c r="AC101" s="2"/>
      <c r="AD101" s="2"/>
      <c r="AE101" s="3"/>
      <c r="AF101" s="2"/>
      <c r="AG101" s="2"/>
      <c r="AH101" s="3"/>
      <c r="AL101" s="3"/>
      <c r="AP101" s="3"/>
      <c r="AT101" s="3"/>
      <c r="AX101" s="3"/>
      <c r="BB101" s="3"/>
      <c r="BE101" s="3"/>
      <c r="BI101" s="3"/>
      <c r="BL101" s="3"/>
      <c r="BP101" s="3"/>
      <c r="BS101" s="3"/>
      <c r="BV101" s="3"/>
      <c r="BZ101" s="3"/>
      <c r="CC101" s="3"/>
    </row>
    <row r="102" spans="1:81" x14ac:dyDescent="0.3">
      <c r="A102" s="151" t="s">
        <v>95</v>
      </c>
      <c r="B102" s="2">
        <v>1</v>
      </c>
      <c r="C102" s="6" t="s">
        <v>144</v>
      </c>
      <c r="D102" s="97">
        <v>2.0271699999999999</v>
      </c>
      <c r="E102" s="3" t="s">
        <v>124</v>
      </c>
      <c r="F102" s="95">
        <f>D103*D102/D59</f>
        <v>6.0815099999999997</v>
      </c>
      <c r="G102" s="3" t="s">
        <v>109</v>
      </c>
      <c r="I102" s="3"/>
      <c r="L102" s="51"/>
      <c r="M102" s="3"/>
      <c r="O102" s="98"/>
      <c r="P102" s="98"/>
      <c r="Q102" s="3"/>
      <c r="R102" s="98"/>
      <c r="S102" s="98"/>
      <c r="T102" s="12"/>
      <c r="U102" s="3"/>
      <c r="V102" s="12"/>
      <c r="W102" s="99"/>
      <c r="X102" s="3"/>
      <c r="Y102" s="99"/>
      <c r="Z102" s="99"/>
      <c r="AA102" s="3"/>
      <c r="AB102" s="12"/>
      <c r="AC102" s="2"/>
      <c r="AD102" s="2"/>
      <c r="AE102" s="3"/>
      <c r="AF102" s="2"/>
      <c r="AG102" s="2"/>
      <c r="AH102" s="3"/>
      <c r="AL102" s="3"/>
      <c r="AP102" s="3"/>
      <c r="AT102" s="3"/>
      <c r="AX102" s="3"/>
      <c r="BB102" s="3"/>
      <c r="BE102" s="3"/>
      <c r="BI102" s="3"/>
      <c r="BL102" s="3"/>
      <c r="BP102" s="3"/>
      <c r="BS102" s="3"/>
      <c r="BV102" s="3"/>
      <c r="BZ102" s="3"/>
      <c r="CC102" s="3"/>
    </row>
    <row r="103" spans="1:81" x14ac:dyDescent="0.3">
      <c r="A103" s="151"/>
      <c r="B103" s="2">
        <v>1</v>
      </c>
      <c r="C103" s="6" t="s">
        <v>124</v>
      </c>
      <c r="D103" s="97">
        <v>336</v>
      </c>
      <c r="E103" s="3" t="s">
        <v>102</v>
      </c>
      <c r="F103" s="95">
        <f>D103/D59</f>
        <v>3</v>
      </c>
      <c r="G103" s="3" t="s">
        <v>109</v>
      </c>
      <c r="I103" s="3"/>
      <c r="L103" s="51"/>
      <c r="M103" s="3"/>
      <c r="O103" s="98"/>
      <c r="P103" s="98"/>
      <c r="Q103" s="3"/>
      <c r="R103" s="98"/>
      <c r="S103" s="98"/>
      <c r="T103" s="12"/>
      <c r="U103" s="3"/>
      <c r="V103" s="12"/>
      <c r="W103" s="99"/>
      <c r="X103" s="3"/>
      <c r="Y103" s="99"/>
      <c r="Z103" s="99"/>
      <c r="AA103" s="3"/>
      <c r="AB103" s="12"/>
      <c r="AC103" s="2"/>
      <c r="AD103" s="2"/>
      <c r="AE103" s="3"/>
      <c r="AF103" s="2"/>
      <c r="AG103" s="2"/>
      <c r="AH103" s="3"/>
      <c r="AL103" s="3"/>
      <c r="AP103" s="3"/>
      <c r="AT103" s="3"/>
      <c r="AX103" s="3"/>
      <c r="BB103" s="3"/>
      <c r="BE103" s="3"/>
      <c r="BI103" s="3"/>
      <c r="BL103" s="3"/>
      <c r="BP103" s="3"/>
      <c r="BS103" s="3"/>
      <c r="BV103" s="3"/>
      <c r="BZ103" s="3"/>
      <c r="CC103" s="3"/>
    </row>
    <row r="104" spans="1:81" x14ac:dyDescent="0.3">
      <c r="A104" s="100" t="s">
        <v>145</v>
      </c>
      <c r="B104" s="2">
        <v>1</v>
      </c>
      <c r="C104" s="6" t="s">
        <v>119</v>
      </c>
      <c r="D104" s="97">
        <v>746.66700000000003</v>
      </c>
      <c r="E104" s="3" t="s">
        <v>102</v>
      </c>
      <c r="F104" s="95">
        <f>D104/D59</f>
        <v>6.6666696428571433</v>
      </c>
      <c r="G104" s="3" t="s">
        <v>109</v>
      </c>
      <c r="I104" s="3"/>
      <c r="L104" s="51"/>
      <c r="M104" s="3"/>
      <c r="O104" s="98"/>
      <c r="P104" s="98"/>
      <c r="Q104" s="3"/>
      <c r="R104" s="98"/>
      <c r="S104" s="98"/>
      <c r="T104" s="12"/>
      <c r="U104" s="3"/>
      <c r="V104" s="12"/>
      <c r="W104" s="99"/>
      <c r="X104" s="3"/>
      <c r="Y104" s="99"/>
      <c r="Z104" s="99"/>
      <c r="AA104" s="3"/>
      <c r="AB104" s="12"/>
      <c r="AC104" s="2"/>
      <c r="AD104" s="2"/>
      <c r="AE104" s="3"/>
      <c r="AF104" s="2"/>
      <c r="AG104" s="2"/>
      <c r="AH104" s="3"/>
      <c r="AL104" s="3"/>
      <c r="AP104" s="3"/>
      <c r="AT104" s="3"/>
      <c r="AX104" s="3"/>
      <c r="BB104" s="3"/>
      <c r="BE104" s="3"/>
      <c r="BI104" s="3"/>
      <c r="BL104" s="3"/>
      <c r="BP104" s="3"/>
      <c r="BS104" s="3"/>
      <c r="BV104" s="3"/>
      <c r="BZ104" s="3"/>
      <c r="CC104" s="3"/>
    </row>
    <row r="105" spans="1:81" x14ac:dyDescent="0.3">
      <c r="A105" s="151" t="s">
        <v>146</v>
      </c>
      <c r="B105" s="2">
        <v>1</v>
      </c>
      <c r="C105" s="6" t="s">
        <v>140</v>
      </c>
      <c r="D105" s="97">
        <v>260</v>
      </c>
      <c r="E105" s="3" t="s">
        <v>102</v>
      </c>
      <c r="F105" s="95">
        <f>D105/D59</f>
        <v>2.3214285714285716</v>
      </c>
      <c r="G105" s="3" t="s">
        <v>109</v>
      </c>
      <c r="I105" s="3"/>
      <c r="L105" s="51"/>
      <c r="M105" s="3"/>
      <c r="P105" s="51"/>
      <c r="Q105" s="3"/>
      <c r="S105" s="51"/>
      <c r="T105" s="12"/>
      <c r="U105" s="3"/>
      <c r="V105" s="12"/>
      <c r="W105" s="2"/>
      <c r="X105" s="3"/>
      <c r="Y105" s="2"/>
      <c r="Z105" s="2"/>
      <c r="AA105" s="3"/>
      <c r="AB105" s="12"/>
      <c r="AC105" s="2"/>
      <c r="AD105" s="2"/>
      <c r="AE105" s="3"/>
      <c r="AF105" s="2"/>
      <c r="AG105" s="2"/>
      <c r="AH105" s="3"/>
      <c r="AL105" s="3"/>
      <c r="AP105" s="3"/>
      <c r="AT105" s="3"/>
      <c r="AX105" s="3"/>
      <c r="BB105" s="3"/>
      <c r="BE105" s="3"/>
      <c r="BI105" s="3"/>
      <c r="BL105" s="3"/>
      <c r="BP105" s="3"/>
      <c r="BS105" s="3"/>
      <c r="BV105" s="3"/>
      <c r="BZ105" s="3"/>
      <c r="CC105" s="3"/>
    </row>
    <row r="106" spans="1:81" x14ac:dyDescent="0.3">
      <c r="A106" s="151"/>
      <c r="B106" s="2">
        <v>1</v>
      </c>
      <c r="C106" s="6" t="s">
        <v>119</v>
      </c>
      <c r="D106" s="97">
        <v>1.5662799999999999</v>
      </c>
      <c r="E106" s="3" t="s">
        <v>109</v>
      </c>
      <c r="F106" s="95"/>
      <c r="G106" s="3"/>
      <c r="I106" s="3"/>
      <c r="L106" s="51"/>
      <c r="M106" s="3"/>
      <c r="P106" s="51"/>
      <c r="Q106" s="3"/>
      <c r="S106" s="51"/>
      <c r="T106" s="12"/>
      <c r="U106" s="3"/>
      <c r="V106" s="12"/>
      <c r="W106" s="2"/>
      <c r="X106" s="3"/>
      <c r="Y106" s="2"/>
      <c r="Z106" s="2"/>
      <c r="AA106" s="3"/>
      <c r="AB106" s="12"/>
      <c r="AC106" s="2"/>
      <c r="AD106" s="2"/>
      <c r="AE106" s="3"/>
      <c r="AF106" s="2"/>
      <c r="AG106" s="2"/>
      <c r="AH106" s="3"/>
      <c r="AL106" s="3"/>
      <c r="AP106" s="3"/>
      <c r="AT106" s="3"/>
      <c r="AX106" s="3"/>
      <c r="BB106" s="3"/>
      <c r="BE106" s="3"/>
      <c r="BI106" s="3"/>
      <c r="BL106" s="3"/>
      <c r="BP106" s="3"/>
      <c r="BS106" s="3"/>
      <c r="BV106" s="3"/>
      <c r="BZ106" s="3"/>
      <c r="CC106" s="3"/>
    </row>
    <row r="107" spans="1:81" x14ac:dyDescent="0.3">
      <c r="A107" s="151"/>
      <c r="B107" s="2">
        <v>1</v>
      </c>
      <c r="C107" s="6" t="s">
        <v>101</v>
      </c>
      <c r="D107" s="97">
        <v>560</v>
      </c>
      <c r="E107" s="3" t="s">
        <v>102</v>
      </c>
      <c r="F107" s="95">
        <f>D107/D59</f>
        <v>5</v>
      </c>
      <c r="G107" s="3" t="s">
        <v>109</v>
      </c>
      <c r="H107" s="12"/>
      <c r="I107" s="3"/>
      <c r="K107" s="12"/>
      <c r="L107" s="12"/>
      <c r="M107" s="3"/>
      <c r="P107" s="51"/>
      <c r="Q107" s="3"/>
      <c r="S107" s="51"/>
      <c r="U107" s="3"/>
      <c r="V107" s="51"/>
      <c r="W107" s="51"/>
      <c r="X107" s="3"/>
      <c r="Y107" s="2"/>
      <c r="AA107" s="3"/>
      <c r="AC107" s="12"/>
      <c r="AD107" s="12"/>
      <c r="AE107" s="3"/>
      <c r="AH107" s="3"/>
      <c r="AL107" s="3"/>
      <c r="AP107" s="3"/>
      <c r="AT107" s="3"/>
      <c r="AV107" s="12"/>
      <c r="AX107" s="3"/>
      <c r="BB107" s="3"/>
      <c r="BE107" s="3"/>
      <c r="BI107" s="3"/>
      <c r="BL107" s="3"/>
      <c r="BP107" s="3"/>
      <c r="BS107" s="3"/>
      <c r="BV107" s="3"/>
      <c r="BZ107" s="3"/>
      <c r="CC107" s="3"/>
    </row>
    <row r="108" spans="1:81" s="2" customFormat="1" x14ac:dyDescent="0.3">
      <c r="A108" s="151" t="s">
        <v>147</v>
      </c>
      <c r="B108" s="2">
        <v>1</v>
      </c>
      <c r="C108" s="3" t="s">
        <v>124</v>
      </c>
      <c r="D108" s="83">
        <v>80</v>
      </c>
      <c r="E108" s="3" t="s">
        <v>102</v>
      </c>
      <c r="F108" s="101">
        <f>D108/D109</f>
        <v>0.7142857142857143</v>
      </c>
      <c r="G108" s="3" t="s">
        <v>109</v>
      </c>
      <c r="H108" s="83"/>
      <c r="I108" s="3"/>
      <c r="J108" s="83"/>
      <c r="K108" s="83"/>
      <c r="L108" s="83"/>
      <c r="M108" s="3"/>
      <c r="N108" s="83"/>
      <c r="O108" s="83"/>
      <c r="Q108" s="3"/>
      <c r="U108" s="3"/>
      <c r="X108" s="3"/>
      <c r="AA108" s="3"/>
      <c r="AE108" s="3"/>
      <c r="AH108" s="3"/>
      <c r="AL108" s="3"/>
      <c r="AP108" s="3"/>
      <c r="AT108" s="3"/>
      <c r="AX108" s="3"/>
      <c r="BB108" s="3"/>
      <c r="BE108" s="3"/>
      <c r="BI108" s="3"/>
      <c r="BL108" s="3"/>
      <c r="BP108" s="3"/>
      <c r="BS108" s="3"/>
      <c r="BV108" s="3"/>
      <c r="BZ108" s="3"/>
      <c r="CC108" s="3"/>
    </row>
    <row r="109" spans="1:81" s="2" customFormat="1" x14ac:dyDescent="0.3">
      <c r="A109" s="151"/>
      <c r="B109" s="2">
        <v>1</v>
      </c>
      <c r="C109" s="3" t="s">
        <v>109</v>
      </c>
      <c r="D109" s="83">
        <v>112</v>
      </c>
      <c r="E109" s="3" t="s">
        <v>102</v>
      </c>
      <c r="F109" s="83"/>
      <c r="G109" s="83"/>
      <c r="H109" s="83"/>
      <c r="I109" s="3"/>
      <c r="J109" s="83"/>
      <c r="K109" s="83"/>
      <c r="L109" s="83"/>
      <c r="M109" s="3"/>
      <c r="N109" s="83"/>
      <c r="O109" s="83"/>
      <c r="Q109" s="3"/>
      <c r="U109" s="3"/>
      <c r="X109" s="3"/>
      <c r="AA109" s="3"/>
      <c r="AE109" s="3"/>
      <c r="AH109" s="3"/>
      <c r="AL109" s="3"/>
      <c r="AP109" s="3"/>
      <c r="AT109" s="3"/>
      <c r="AX109" s="3"/>
      <c r="BB109" s="3"/>
      <c r="BE109" s="3"/>
      <c r="BI109" s="3"/>
      <c r="BL109" s="3"/>
      <c r="BP109" s="3"/>
      <c r="BS109" s="3"/>
      <c r="BV109" s="3"/>
      <c r="BZ109" s="3"/>
      <c r="CC109" s="3"/>
    </row>
    <row r="110" spans="1:81" s="2" customFormat="1" x14ac:dyDescent="0.3">
      <c r="A110" s="100" t="s">
        <v>148</v>
      </c>
      <c r="B110" s="2">
        <v>1</v>
      </c>
      <c r="C110" s="6" t="s">
        <v>124</v>
      </c>
      <c r="D110" s="97">
        <v>336</v>
      </c>
      <c r="E110" s="3" t="s">
        <v>102</v>
      </c>
      <c r="F110" s="95">
        <f>D110/D109</f>
        <v>3</v>
      </c>
      <c r="G110" s="3" t="s">
        <v>109</v>
      </c>
      <c r="H110" s="83"/>
      <c r="I110" s="3"/>
      <c r="J110" s="83"/>
      <c r="K110" s="83"/>
      <c r="L110" s="83"/>
      <c r="M110" s="3"/>
      <c r="N110" s="83"/>
      <c r="O110" s="83"/>
      <c r="Q110" s="3"/>
      <c r="U110" s="3"/>
      <c r="X110" s="3"/>
      <c r="AA110" s="3"/>
      <c r="AE110" s="3"/>
      <c r="AH110" s="3"/>
      <c r="AL110" s="3"/>
      <c r="AP110" s="3"/>
      <c r="AT110" s="3"/>
      <c r="AX110" s="3"/>
      <c r="BB110" s="3"/>
      <c r="BE110" s="3"/>
      <c r="BI110" s="3"/>
      <c r="BL110" s="3"/>
      <c r="BP110" s="3"/>
      <c r="BS110" s="3"/>
      <c r="BV110" s="3"/>
      <c r="BZ110" s="3"/>
      <c r="CC110" s="3"/>
    </row>
    <row r="111" spans="1:81" s="2" customFormat="1" x14ac:dyDescent="0.3">
      <c r="A111" s="2" t="s">
        <v>149</v>
      </c>
      <c r="B111" s="2">
        <v>1</v>
      </c>
      <c r="C111" s="6" t="s">
        <v>150</v>
      </c>
      <c r="D111" s="97">
        <v>9</v>
      </c>
      <c r="E111" s="3" t="s">
        <v>126</v>
      </c>
      <c r="F111" s="83"/>
      <c r="G111" s="83"/>
      <c r="H111" s="83"/>
      <c r="I111" s="3"/>
      <c r="J111" s="83"/>
      <c r="K111" s="83"/>
      <c r="L111" s="83"/>
      <c r="M111" s="3"/>
      <c r="N111" s="83"/>
      <c r="O111" s="83"/>
      <c r="Q111" s="3"/>
      <c r="U111" s="3"/>
      <c r="X111" s="3"/>
      <c r="AA111" s="3"/>
      <c r="AE111" s="3"/>
      <c r="AH111" s="3"/>
      <c r="AL111" s="3"/>
      <c r="AP111" s="3"/>
      <c r="AT111" s="3"/>
      <c r="AX111" s="3"/>
      <c r="BB111" s="3"/>
      <c r="BE111" s="3"/>
      <c r="BI111" s="3"/>
      <c r="BL111" s="3"/>
      <c r="BP111" s="3"/>
      <c r="BS111" s="3"/>
      <c r="BV111" s="3"/>
      <c r="BZ111" s="3"/>
      <c r="CC111" s="3"/>
    </row>
    <row r="112" spans="1:81" s="2" customFormat="1" x14ac:dyDescent="0.3">
      <c r="A112" s="2" t="s">
        <v>64</v>
      </c>
      <c r="B112" s="2">
        <v>1</v>
      </c>
      <c r="C112" s="6" t="s">
        <v>119</v>
      </c>
      <c r="D112" s="97">
        <f>756/3720</f>
        <v>0.20322580645161289</v>
      </c>
      <c r="E112" s="3" t="s">
        <v>109</v>
      </c>
      <c r="F112" s="83"/>
      <c r="G112" s="83"/>
      <c r="H112" s="83"/>
      <c r="I112" s="3"/>
      <c r="J112" s="83"/>
      <c r="K112" s="83"/>
      <c r="L112" s="83"/>
      <c r="M112" s="3"/>
      <c r="N112" s="83"/>
      <c r="O112" s="83"/>
      <c r="Q112" s="3"/>
      <c r="U112" s="3"/>
      <c r="X112" s="3"/>
      <c r="AA112" s="3"/>
      <c r="AE112" s="3"/>
      <c r="AH112" s="3"/>
      <c r="AL112" s="3"/>
      <c r="AP112" s="3"/>
      <c r="AT112" s="3"/>
      <c r="AX112" s="3"/>
      <c r="BB112" s="3"/>
      <c r="BE112" s="3"/>
      <c r="BI112" s="3"/>
      <c r="BL112" s="3"/>
      <c r="BP112" s="3"/>
      <c r="BS112" s="3"/>
      <c r="BV112" s="3"/>
      <c r="BZ112" s="3"/>
      <c r="CC112" s="3"/>
    </row>
    <row r="113" spans="1:81" s="2" customFormat="1" x14ac:dyDescent="0.3">
      <c r="A113" s="2" t="s">
        <v>22</v>
      </c>
      <c r="B113" s="2">
        <v>1</v>
      </c>
      <c r="C113" s="6" t="s">
        <v>120</v>
      </c>
      <c r="D113" s="97">
        <f>600/400</f>
        <v>1.5</v>
      </c>
      <c r="E113" s="3" t="s">
        <v>109</v>
      </c>
      <c r="F113" s="83"/>
      <c r="G113" s="83"/>
      <c r="H113" s="83"/>
      <c r="I113" s="3"/>
      <c r="J113" s="83"/>
      <c r="K113" s="83"/>
      <c r="L113" s="83"/>
      <c r="M113" s="3"/>
      <c r="N113" s="83"/>
      <c r="O113" s="83"/>
      <c r="Q113" s="3"/>
      <c r="U113" s="3"/>
      <c r="X113" s="3"/>
      <c r="AA113" s="3"/>
      <c r="AE113" s="3"/>
      <c r="AH113" s="3"/>
      <c r="AL113" s="3"/>
      <c r="AP113" s="3"/>
      <c r="AT113" s="3"/>
      <c r="AX113" s="3"/>
      <c r="BB113" s="3"/>
      <c r="BE113" s="3"/>
      <c r="BI113" s="3"/>
      <c r="BL113" s="3"/>
      <c r="BP113" s="3"/>
      <c r="BS113" s="3"/>
      <c r="BV113" s="3"/>
      <c r="BZ113" s="3"/>
      <c r="CC113" s="3"/>
    </row>
    <row r="114" spans="1:81" s="2" customFormat="1" x14ac:dyDescent="0.3">
      <c r="A114" s="2" t="s">
        <v>151</v>
      </c>
      <c r="B114" s="2">
        <v>1</v>
      </c>
      <c r="C114" s="6" t="s">
        <v>124</v>
      </c>
      <c r="D114" s="97">
        <f>600/400</f>
        <v>1.5</v>
      </c>
      <c r="E114" s="3" t="s">
        <v>109</v>
      </c>
      <c r="F114" s="83"/>
      <c r="G114" s="83"/>
      <c r="H114" s="83"/>
      <c r="I114" s="3"/>
      <c r="J114" s="83"/>
      <c r="K114" s="83"/>
      <c r="L114" s="83"/>
      <c r="M114" s="3"/>
      <c r="N114" s="83"/>
      <c r="O114" s="83"/>
      <c r="Q114" s="3"/>
      <c r="U114" s="3"/>
      <c r="X114" s="3"/>
      <c r="AA114" s="3"/>
      <c r="AE114" s="3"/>
      <c r="AH114" s="3"/>
      <c r="AL114" s="3"/>
      <c r="AP114" s="3"/>
      <c r="AT114" s="3"/>
      <c r="AX114" s="3"/>
      <c r="BB114" s="3"/>
      <c r="BE114" s="3"/>
      <c r="BI114" s="3"/>
      <c r="BL114" s="3"/>
      <c r="BP114" s="3"/>
      <c r="BS114" s="3"/>
      <c r="BV114" s="3"/>
      <c r="BZ114" s="3"/>
      <c r="CC114" s="3"/>
    </row>
    <row r="115" spans="1:81" s="2" customFormat="1" x14ac:dyDescent="0.3">
      <c r="A115" s="2" t="s">
        <v>152</v>
      </c>
      <c r="B115" s="2">
        <v>1</v>
      </c>
      <c r="C115" s="6" t="s">
        <v>119</v>
      </c>
      <c r="D115" s="97">
        <f>3600/2400</f>
        <v>1.5</v>
      </c>
      <c r="E115" s="3" t="s">
        <v>109</v>
      </c>
      <c r="F115" s="83"/>
      <c r="G115" s="83"/>
      <c r="H115" s="83"/>
      <c r="I115" s="3"/>
      <c r="J115" s="83"/>
      <c r="K115" s="83"/>
      <c r="L115" s="83"/>
      <c r="M115" s="3"/>
      <c r="N115" s="83"/>
      <c r="O115" s="83"/>
      <c r="Q115" s="3"/>
      <c r="U115" s="3"/>
      <c r="X115" s="3"/>
      <c r="AA115" s="3"/>
      <c r="AE115" s="3"/>
      <c r="AH115" s="3"/>
      <c r="AL115" s="3"/>
      <c r="AP115" s="3"/>
      <c r="AT115" s="3"/>
      <c r="AX115" s="3"/>
      <c r="BB115" s="3"/>
      <c r="BE115" s="3"/>
      <c r="BI115" s="3"/>
      <c r="BL115" s="3"/>
      <c r="BP115" s="3"/>
      <c r="BS115" s="3"/>
      <c r="BV115" s="3"/>
      <c r="BZ115" s="3"/>
      <c r="CC115" s="3"/>
    </row>
    <row r="116" spans="1:81" x14ac:dyDescent="0.3">
      <c r="A116" s="2" t="s">
        <v>153</v>
      </c>
      <c r="B116" s="2">
        <v>1</v>
      </c>
      <c r="C116" s="6" t="s">
        <v>119</v>
      </c>
      <c r="D116" s="51">
        <v>153.125</v>
      </c>
      <c r="E116" s="3" t="s">
        <v>102</v>
      </c>
      <c r="F116" s="95">
        <f>D116/D59</f>
        <v>1.3671875</v>
      </c>
      <c r="G116" s="3" t="s">
        <v>109</v>
      </c>
      <c r="H116" s="12"/>
      <c r="K116" s="12"/>
      <c r="L116" s="12"/>
      <c r="P116" s="51"/>
      <c r="S116" s="51"/>
      <c r="U116" s="51"/>
      <c r="V116" s="51"/>
      <c r="W116" s="51"/>
      <c r="X116" s="51"/>
      <c r="Y116" s="2"/>
      <c r="AC116" s="12"/>
      <c r="AD116" s="12"/>
      <c r="AV116" s="12"/>
    </row>
    <row r="117" spans="1:81" s="2" customFormat="1" x14ac:dyDescent="0.3">
      <c r="A117" s="151" t="s">
        <v>74</v>
      </c>
      <c r="B117" s="2">
        <v>1</v>
      </c>
      <c r="C117" s="3" t="s">
        <v>139</v>
      </c>
      <c r="D117" s="97">
        <v>1</v>
      </c>
      <c r="E117" s="3" t="s">
        <v>124</v>
      </c>
      <c r="F117" s="95">
        <f>F118</f>
        <v>3.0446428571428572</v>
      </c>
      <c r="G117" s="3" t="s">
        <v>109</v>
      </c>
      <c r="I117" s="51"/>
      <c r="M117" s="51"/>
      <c r="Q117" s="51"/>
      <c r="U117" s="51"/>
      <c r="X117" s="51"/>
      <c r="AA117" s="51"/>
      <c r="AE117" s="51"/>
      <c r="AH117" s="51"/>
      <c r="AL117" s="51"/>
      <c r="AP117" s="51"/>
      <c r="AT117" s="51"/>
      <c r="AX117" s="51"/>
      <c r="BB117" s="51"/>
      <c r="BE117" s="51"/>
      <c r="BI117" s="51"/>
      <c r="BL117" s="51"/>
      <c r="BP117" s="51"/>
      <c r="BS117" s="51"/>
      <c r="BV117" s="51"/>
      <c r="BZ117" s="51"/>
      <c r="CC117" s="51"/>
    </row>
    <row r="118" spans="1:81" s="2" customFormat="1" x14ac:dyDescent="0.3">
      <c r="A118" s="151"/>
      <c r="B118" s="2">
        <v>1</v>
      </c>
      <c r="C118" s="3" t="s">
        <v>124</v>
      </c>
      <c r="D118" s="97">
        <f>(355+327)/2</f>
        <v>341</v>
      </c>
      <c r="E118" s="3" t="s">
        <v>102</v>
      </c>
      <c r="F118" s="95">
        <f>D118/D59</f>
        <v>3.0446428571428572</v>
      </c>
      <c r="G118" s="3" t="s">
        <v>109</v>
      </c>
      <c r="I118" s="51"/>
      <c r="M118" s="51"/>
      <c r="Q118" s="51"/>
      <c r="U118" s="51"/>
      <c r="X118" s="51"/>
      <c r="AA118" s="51"/>
      <c r="AE118" s="51"/>
      <c r="AH118" s="51"/>
      <c r="AL118" s="51"/>
      <c r="AP118" s="51"/>
      <c r="AT118" s="51"/>
      <c r="AX118" s="51"/>
      <c r="BB118" s="51"/>
      <c r="BE118" s="51"/>
      <c r="BI118" s="51"/>
      <c r="BL118" s="51"/>
      <c r="BP118" s="51"/>
      <c r="BS118" s="51"/>
      <c r="BV118" s="51"/>
      <c r="BZ118" s="51"/>
      <c r="CC118" s="51"/>
    </row>
    <row r="119" spans="1:81" s="2" customFormat="1" x14ac:dyDescent="0.3">
      <c r="A119" s="151"/>
      <c r="B119" s="2">
        <v>1</v>
      </c>
      <c r="C119" s="6" t="s">
        <v>154</v>
      </c>
      <c r="D119" s="97">
        <f>(2.2+2.5)/2</f>
        <v>2.35</v>
      </c>
      <c r="E119" s="3" t="s">
        <v>102</v>
      </c>
      <c r="F119" s="95">
        <f>D119/D59</f>
        <v>2.0982142857142859E-2</v>
      </c>
      <c r="G119" s="3" t="s">
        <v>109</v>
      </c>
      <c r="I119" s="51"/>
      <c r="M119" s="51"/>
      <c r="Q119" s="51"/>
      <c r="U119" s="51"/>
      <c r="X119" s="51"/>
      <c r="AA119" s="51"/>
      <c r="AE119" s="51"/>
      <c r="AH119" s="51"/>
      <c r="AL119" s="51"/>
      <c r="AP119" s="51"/>
      <c r="AT119" s="51"/>
      <c r="AX119" s="51"/>
      <c r="BB119" s="51"/>
      <c r="BE119" s="51"/>
      <c r="BI119" s="51"/>
      <c r="BL119" s="51"/>
      <c r="BP119" s="51"/>
      <c r="BS119" s="51"/>
      <c r="BV119" s="51"/>
      <c r="BZ119" s="51"/>
      <c r="CC119" s="51"/>
    </row>
    <row r="120" spans="1:81" s="17" customFormat="1" x14ac:dyDescent="0.3">
      <c r="A120" s="2" t="s">
        <v>155</v>
      </c>
      <c r="B120" s="2">
        <v>1</v>
      </c>
      <c r="C120" s="6" t="s">
        <v>139</v>
      </c>
      <c r="D120" s="97">
        <v>640</v>
      </c>
      <c r="E120" s="3" t="s">
        <v>102</v>
      </c>
      <c r="F120" s="95">
        <f>D120/D59</f>
        <v>5.7142857142857144</v>
      </c>
      <c r="G120" s="3" t="s">
        <v>109</v>
      </c>
      <c r="H120" s="13"/>
      <c r="I120" s="51"/>
      <c r="J120" s="14"/>
      <c r="K120" s="13"/>
      <c r="L120" s="13"/>
      <c r="M120" s="51"/>
      <c r="N120" s="14"/>
      <c r="O120" s="13"/>
      <c r="P120" s="13"/>
      <c r="Q120" s="51"/>
      <c r="R120" s="13"/>
      <c r="S120" s="14"/>
      <c r="T120" s="13"/>
      <c r="U120" s="51"/>
      <c r="V120" s="13"/>
      <c r="W120" s="13"/>
      <c r="X120" s="51"/>
      <c r="Y120" s="14"/>
      <c r="Z120" s="13"/>
      <c r="AA120" s="51"/>
      <c r="AB120" s="15"/>
      <c r="AC120" s="13"/>
      <c r="AD120" s="16"/>
      <c r="AE120" s="51"/>
      <c r="AF120" s="13"/>
      <c r="AG120" s="14"/>
      <c r="AH120" s="51"/>
      <c r="AI120" s="13"/>
      <c r="AJ120" s="13"/>
      <c r="AK120" s="13"/>
      <c r="AL120" s="51"/>
      <c r="AM120" s="14"/>
      <c r="AN120" s="13"/>
      <c r="AO120" s="14"/>
      <c r="AP120" s="51"/>
      <c r="AQ120" s="13"/>
      <c r="AR120" s="14"/>
      <c r="AS120" s="13"/>
      <c r="AT120" s="51"/>
      <c r="AU120" s="14"/>
      <c r="AV120" s="13"/>
      <c r="AW120" s="14"/>
      <c r="AX120" s="51"/>
      <c r="AY120" s="13"/>
      <c r="AZ120" s="16"/>
      <c r="BA120" s="13"/>
      <c r="BB120" s="51"/>
      <c r="BE120" s="51"/>
      <c r="BI120" s="51"/>
      <c r="BL120" s="51"/>
      <c r="BP120" s="51"/>
      <c r="BS120" s="51"/>
      <c r="BV120" s="51"/>
      <c r="BZ120" s="51"/>
      <c r="CC120" s="51"/>
    </row>
    <row r="121" spans="1:81" s="17" customFormat="1" x14ac:dyDescent="0.3">
      <c r="A121" s="151" t="s">
        <v>28</v>
      </c>
      <c r="B121" s="2">
        <v>1</v>
      </c>
      <c r="C121" s="6" t="s">
        <v>156</v>
      </c>
      <c r="D121" s="97">
        <v>196</v>
      </c>
      <c r="E121" s="3" t="s">
        <v>102</v>
      </c>
      <c r="F121" s="95">
        <f>D121/D59</f>
        <v>1.75</v>
      </c>
      <c r="G121" s="3" t="s">
        <v>109</v>
      </c>
      <c r="H121" s="13"/>
      <c r="I121" s="51"/>
      <c r="J121" s="13"/>
      <c r="K121" s="16"/>
      <c r="L121" s="13"/>
      <c r="M121" s="51"/>
      <c r="N121" s="13"/>
      <c r="O121" s="16"/>
      <c r="P121" s="13"/>
      <c r="Q121" s="51"/>
      <c r="R121" s="13"/>
      <c r="S121" s="13"/>
      <c r="T121" s="16"/>
      <c r="U121" s="51"/>
      <c r="V121" s="13"/>
      <c r="W121" s="13"/>
      <c r="X121" s="51"/>
      <c r="Y121" s="13"/>
      <c r="Z121" s="16"/>
      <c r="AA121" s="51"/>
      <c r="AB121" s="13"/>
      <c r="AD121" s="13"/>
      <c r="AE121" s="51"/>
      <c r="AF121" s="16"/>
      <c r="AG121" s="13"/>
      <c r="AH121" s="51"/>
      <c r="AI121" s="16"/>
      <c r="AJ121" s="13"/>
      <c r="AK121" s="13"/>
      <c r="AL121" s="51"/>
      <c r="AM121" s="13"/>
      <c r="AN121" s="16"/>
      <c r="AO121" s="13"/>
      <c r="AP121" s="51"/>
      <c r="AQ121" s="16"/>
      <c r="AR121" s="13"/>
      <c r="AS121" s="16"/>
      <c r="AT121" s="51"/>
      <c r="AU121" s="13"/>
      <c r="AV121" s="14"/>
      <c r="AW121" s="13"/>
      <c r="AX121" s="51"/>
      <c r="AY121" s="16"/>
      <c r="AZ121" s="13"/>
      <c r="BA121" s="16"/>
      <c r="BB121" s="51"/>
      <c r="BC121" s="13"/>
      <c r="BE121" s="51"/>
      <c r="BI121" s="51"/>
      <c r="BL121" s="51"/>
      <c r="BP121" s="51"/>
      <c r="BS121" s="51"/>
      <c r="BV121" s="51"/>
      <c r="BZ121" s="51"/>
      <c r="CC121" s="51"/>
    </row>
    <row r="122" spans="1:81" ht="13.8" customHeight="1" x14ac:dyDescent="0.3">
      <c r="A122" s="151"/>
      <c r="B122" s="2">
        <v>1</v>
      </c>
      <c r="C122" s="6" t="s">
        <v>157</v>
      </c>
      <c r="D122" s="97">
        <v>280</v>
      </c>
      <c r="E122" s="3" t="s">
        <v>102</v>
      </c>
      <c r="F122" s="95">
        <f>D122/D59</f>
        <v>2.5</v>
      </c>
      <c r="G122" s="3" t="s">
        <v>109</v>
      </c>
      <c r="L122" s="51"/>
      <c r="P122" s="51"/>
      <c r="S122" s="51"/>
      <c r="U122" s="51"/>
      <c r="V122" s="51"/>
      <c r="W122" s="51"/>
      <c r="X122" s="51"/>
    </row>
    <row r="123" spans="1:81" x14ac:dyDescent="0.3">
      <c r="A123" s="9" t="s">
        <v>158</v>
      </c>
      <c r="B123" s="2">
        <v>1</v>
      </c>
      <c r="C123" s="6" t="s">
        <v>120</v>
      </c>
      <c r="D123" s="97">
        <v>112</v>
      </c>
      <c r="E123" s="3" t="s">
        <v>102</v>
      </c>
      <c r="F123" s="95">
        <f>D123/D59</f>
        <v>1</v>
      </c>
      <c r="G123" s="3" t="s">
        <v>109</v>
      </c>
      <c r="L123" s="51"/>
      <c r="P123" s="51"/>
      <c r="S123" s="51"/>
      <c r="U123" s="51"/>
      <c r="V123" s="51"/>
      <c r="W123" s="51"/>
      <c r="X123" s="51"/>
    </row>
    <row r="124" spans="1:81" x14ac:dyDescent="0.3">
      <c r="A124" s="9" t="s">
        <v>159</v>
      </c>
      <c r="B124" s="2">
        <v>1</v>
      </c>
      <c r="C124" s="6" t="s">
        <v>124</v>
      </c>
      <c r="D124" s="97">
        <v>0.67513000000000001</v>
      </c>
      <c r="E124" s="3" t="s">
        <v>109</v>
      </c>
      <c r="F124" s="95"/>
      <c r="G124" s="3"/>
      <c r="L124" s="51"/>
      <c r="P124" s="51"/>
      <c r="S124" s="51"/>
      <c r="U124" s="51"/>
      <c r="V124" s="51"/>
      <c r="W124" s="51"/>
      <c r="X124" s="51"/>
    </row>
  </sheetData>
  <mergeCells count="52">
    <mergeCell ref="AL2:AM2"/>
    <mergeCell ref="AJ2:AK2"/>
    <mergeCell ref="C2:D2"/>
    <mergeCell ref="AB2:AC2"/>
    <mergeCell ref="AG2:AH2"/>
    <mergeCell ref="U2:V2"/>
    <mergeCell ref="W2:X2"/>
    <mergeCell ref="Y2:Z2"/>
    <mergeCell ref="AD2:AE2"/>
    <mergeCell ref="F2:H2"/>
    <mergeCell ref="I2:K2"/>
    <mergeCell ref="M2:O2"/>
    <mergeCell ref="Q2:S2"/>
    <mergeCell ref="B46:B47"/>
    <mergeCell ref="C46:C47"/>
    <mergeCell ref="D46:D47"/>
    <mergeCell ref="E46:E47"/>
    <mergeCell ref="B60:B61"/>
    <mergeCell ref="C60:C61"/>
    <mergeCell ref="D60:D61"/>
    <mergeCell ref="E60:E61"/>
    <mergeCell ref="U1:V1"/>
    <mergeCell ref="W1:X1"/>
    <mergeCell ref="Y1:Z1"/>
    <mergeCell ref="AB1:AC1"/>
    <mergeCell ref="C1:D1"/>
    <mergeCell ref="F1:G1"/>
    <mergeCell ref="I1:J1"/>
    <mergeCell ref="M1:N1"/>
    <mergeCell ref="BC1:BD1"/>
    <mergeCell ref="A85:A86"/>
    <mergeCell ref="A87:A88"/>
    <mergeCell ref="A89:A90"/>
    <mergeCell ref="A91:A92"/>
    <mergeCell ref="AQ1:AR1"/>
    <mergeCell ref="AT1:AU1"/>
    <mergeCell ref="AV1:AW1"/>
    <mergeCell ref="AY1:AZ1"/>
    <mergeCell ref="BA1:BB1"/>
    <mergeCell ref="AD1:AE1"/>
    <mergeCell ref="AG1:AH1"/>
    <mergeCell ref="AJ1:AK1"/>
    <mergeCell ref="AL1:AM1"/>
    <mergeCell ref="AO1:AP1"/>
    <mergeCell ref="Q1:R1"/>
    <mergeCell ref="A117:A119"/>
    <mergeCell ref="A121:A122"/>
    <mergeCell ref="A93:A94"/>
    <mergeCell ref="A95:A96"/>
    <mergeCell ref="A102:A103"/>
    <mergeCell ref="A105:A107"/>
    <mergeCell ref="A108:A109"/>
  </mergeCells>
  <pageMargins left="0.75" right="0.75" top="1" bottom="1" header="0.5" footer="0.5"/>
  <pageSetup paperSize="9" orientation="portrait" horizontalDpi="4294967292" verticalDpi="4294967292"/>
  <headerFooter alignWithMargins="0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Q189"/>
  <sheetViews>
    <sheetView zoomScale="75" zoomScaleNormal="75" workbookViewId="0">
      <pane xSplit="1" ySplit="3" topLeftCell="B37" activePane="bottomRight" state="frozen"/>
      <selection pane="topRight" activeCell="C1" sqref="C1"/>
      <selection pane="bottomLeft" activeCell="A3" sqref="A3"/>
      <selection pane="bottomRight" activeCell="F121" sqref="F121"/>
    </sheetView>
  </sheetViews>
  <sheetFormatPr defaultColWidth="11" defaultRowHeight="14.4" x14ac:dyDescent="0.3"/>
  <cols>
    <col min="1" max="1" width="20.59765625" style="51" customWidth="1"/>
    <col min="2" max="2" width="8.8984375" style="51" customWidth="1"/>
    <col min="3" max="3" width="11" style="51"/>
    <col min="4" max="4" width="11" style="51" customWidth="1"/>
    <col min="5" max="6" width="11.59765625" style="51" customWidth="1"/>
    <col min="7" max="11" width="11" style="51" customWidth="1"/>
    <col min="12" max="12" width="11" style="51"/>
    <col min="13" max="14" width="11" style="51" customWidth="1"/>
    <col min="15" max="15" width="10.8984375" style="17" customWidth="1"/>
    <col min="16" max="16" width="11" style="51" customWidth="1"/>
    <col min="17" max="17" width="11" style="51"/>
    <col min="18" max="19" width="11" style="51" customWidth="1"/>
    <col min="20" max="20" width="10.8984375" style="16" customWidth="1"/>
    <col min="21" max="22" width="11" style="51" customWidth="1"/>
    <col min="23" max="23" width="11" style="51"/>
    <col min="24" max="24" width="10.8984375" style="17" customWidth="1"/>
    <col min="25" max="25" width="11" style="51" customWidth="1"/>
    <col min="26" max="28" width="10.8984375" style="17" customWidth="1"/>
    <col min="29" max="29" width="11" style="51"/>
    <col min="30" max="30" width="10.8984375" style="17" customWidth="1"/>
    <col min="31" max="32" width="11" style="51" customWidth="1"/>
    <col min="33" max="33" width="11.59765625" style="51" customWidth="1"/>
    <col min="34" max="35" width="11" style="51" customWidth="1"/>
    <col min="36" max="36" width="11.59765625" style="51" customWidth="1"/>
    <col min="37" max="38" width="11" style="51" customWidth="1"/>
    <col min="39" max="39" width="11.59765625" style="51" customWidth="1"/>
    <col min="40" max="42" width="11" style="51" customWidth="1"/>
    <col min="43" max="43" width="11.59765625" style="51" customWidth="1"/>
    <col min="44" max="45" width="11" style="51" customWidth="1"/>
    <col min="46" max="46" width="11.59765625" style="51" customWidth="1"/>
    <col min="47" max="49" width="11" style="51" customWidth="1"/>
    <col min="50" max="50" width="11.59765625" style="51" customWidth="1"/>
    <col min="51" max="53" width="11" style="51" customWidth="1"/>
    <col min="54" max="54" width="11.59765625" style="51" customWidth="1"/>
    <col min="55" max="56" width="11" style="51" customWidth="1"/>
    <col min="57" max="57" width="11.59765625" style="51" customWidth="1"/>
    <col min="58" max="16384" width="11" style="51"/>
  </cols>
  <sheetData>
    <row r="1" spans="1:74" x14ac:dyDescent="0.3">
      <c r="B1" s="133"/>
      <c r="C1" s="117"/>
      <c r="D1" s="152" t="s">
        <v>218</v>
      </c>
      <c r="E1" s="152"/>
      <c r="F1" s="152"/>
      <c r="G1" s="117"/>
      <c r="H1" s="152" t="s">
        <v>219</v>
      </c>
      <c r="I1" s="152"/>
      <c r="J1" s="152"/>
      <c r="K1" s="152"/>
      <c r="L1" s="152"/>
      <c r="M1" s="152" t="s">
        <v>220</v>
      </c>
      <c r="N1" s="152"/>
      <c r="O1" s="152"/>
      <c r="P1" s="152"/>
      <c r="Q1" s="152"/>
      <c r="R1" s="117"/>
      <c r="S1" s="152" t="s">
        <v>221</v>
      </c>
      <c r="T1" s="152"/>
      <c r="U1" s="152"/>
      <c r="V1" s="152"/>
      <c r="W1" s="152"/>
      <c r="X1" s="55"/>
      <c r="Y1" s="152" t="s">
        <v>222</v>
      </c>
      <c r="Z1" s="152"/>
      <c r="AA1" s="152"/>
      <c r="AB1" s="152"/>
      <c r="AC1" s="152"/>
      <c r="AD1" s="117"/>
      <c r="AE1" s="152" t="s">
        <v>223</v>
      </c>
      <c r="AF1" s="152"/>
      <c r="AG1" s="152"/>
      <c r="AH1" s="152" t="s">
        <v>224</v>
      </c>
      <c r="AI1" s="152"/>
      <c r="AJ1" s="152"/>
      <c r="AK1" s="152" t="s">
        <v>225</v>
      </c>
      <c r="AL1" s="152"/>
      <c r="AM1" s="152"/>
      <c r="AN1" s="117"/>
      <c r="AO1" s="152" t="s">
        <v>226</v>
      </c>
      <c r="AP1" s="152"/>
      <c r="AQ1" s="152"/>
      <c r="AR1" s="152" t="s">
        <v>227</v>
      </c>
      <c r="AS1" s="152"/>
      <c r="AT1" s="152"/>
      <c r="AU1" s="117"/>
      <c r="AV1" s="152" t="s">
        <v>228</v>
      </c>
      <c r="AW1" s="152"/>
      <c r="AX1" s="152"/>
      <c r="AY1" s="118"/>
      <c r="AZ1" s="152" t="s">
        <v>229</v>
      </c>
      <c r="BA1" s="152"/>
      <c r="BB1" s="152"/>
      <c r="BC1" s="152" t="s">
        <v>236</v>
      </c>
      <c r="BD1" s="152"/>
      <c r="BE1" s="152"/>
      <c r="BF1" s="117"/>
      <c r="BG1" s="152"/>
      <c r="BH1" s="152"/>
      <c r="BI1" s="152"/>
      <c r="BJ1" s="152"/>
      <c r="BK1" s="117"/>
      <c r="BL1" s="152"/>
      <c r="BM1" s="152"/>
      <c r="BN1" s="152"/>
      <c r="BO1" s="152"/>
      <c r="BP1" s="117"/>
      <c r="BQ1" s="152"/>
      <c r="BR1" s="152"/>
      <c r="BS1" s="152"/>
      <c r="BT1" s="152"/>
      <c r="BU1" s="152"/>
      <c r="BV1" s="152"/>
    </row>
    <row r="2" spans="1:74" s="2" customFormat="1" hidden="1" x14ac:dyDescent="0.3">
      <c r="B2" s="56"/>
      <c r="C2" s="114"/>
      <c r="D2" s="160">
        <v>1890</v>
      </c>
      <c r="E2" s="160"/>
      <c r="F2" s="52"/>
      <c r="G2" s="114"/>
      <c r="H2" s="160">
        <v>1891</v>
      </c>
      <c r="I2" s="160"/>
      <c r="J2" s="136"/>
      <c r="M2" s="160">
        <v>1892</v>
      </c>
      <c r="N2" s="160"/>
      <c r="O2" s="136"/>
      <c r="P2" s="136"/>
      <c r="R2" s="114"/>
      <c r="S2" s="160">
        <v>1893</v>
      </c>
      <c r="T2" s="160"/>
      <c r="U2" s="136"/>
      <c r="V2" s="136"/>
      <c r="X2" s="114" t="s">
        <v>27</v>
      </c>
      <c r="Y2" s="160">
        <v>1894</v>
      </c>
      <c r="Z2" s="160"/>
      <c r="AA2" s="136"/>
      <c r="AB2" s="136"/>
      <c r="AD2" s="114"/>
      <c r="AE2" s="160">
        <v>1895</v>
      </c>
      <c r="AF2" s="160"/>
      <c r="AG2" s="52"/>
      <c r="AH2" s="160">
        <v>1896</v>
      </c>
      <c r="AI2" s="160"/>
      <c r="AJ2" s="52"/>
      <c r="AK2" s="160">
        <v>1897</v>
      </c>
      <c r="AL2" s="160"/>
      <c r="AM2" s="52"/>
      <c r="AN2" s="114"/>
      <c r="AO2" s="164">
        <v>1898</v>
      </c>
      <c r="AP2" s="164"/>
      <c r="AQ2" s="52"/>
      <c r="AR2" s="164">
        <v>1899</v>
      </c>
      <c r="AS2" s="164"/>
      <c r="AT2" s="52"/>
      <c r="AU2" s="114"/>
      <c r="AV2" s="160">
        <v>1900</v>
      </c>
      <c r="AW2" s="160"/>
      <c r="AX2" s="52"/>
      <c r="AY2" s="119"/>
      <c r="AZ2" s="165">
        <v>1901</v>
      </c>
      <c r="BA2" s="165"/>
      <c r="BB2" s="52"/>
      <c r="BC2" s="165">
        <v>1902</v>
      </c>
      <c r="BD2" s="165"/>
      <c r="BE2" s="52"/>
    </row>
    <row r="3" spans="1:74" s="131" customFormat="1" ht="28.8" customHeight="1" x14ac:dyDescent="0.3">
      <c r="A3" s="135" t="s">
        <v>0</v>
      </c>
      <c r="B3" s="134"/>
      <c r="C3" s="126" t="s">
        <v>27</v>
      </c>
      <c r="D3" s="121" t="s">
        <v>1</v>
      </c>
      <c r="E3" s="122" t="s">
        <v>238</v>
      </c>
      <c r="F3" s="122" t="s">
        <v>300</v>
      </c>
      <c r="G3" s="130" t="s">
        <v>27</v>
      </c>
      <c r="H3" s="124" t="s">
        <v>1</v>
      </c>
      <c r="I3" s="122" t="s">
        <v>295</v>
      </c>
      <c r="J3" s="125" t="s">
        <v>298</v>
      </c>
      <c r="K3" s="122" t="s">
        <v>238</v>
      </c>
      <c r="L3" s="122" t="s">
        <v>300</v>
      </c>
      <c r="M3" s="124" t="s">
        <v>1</v>
      </c>
      <c r="N3" s="122" t="s">
        <v>295</v>
      </c>
      <c r="O3" s="125" t="s">
        <v>298</v>
      </c>
      <c r="P3" s="122" t="s">
        <v>238</v>
      </c>
      <c r="Q3" s="122" t="s">
        <v>300</v>
      </c>
      <c r="R3" s="126" t="s">
        <v>27</v>
      </c>
      <c r="S3" s="121" t="s">
        <v>1</v>
      </c>
      <c r="T3" s="122" t="s">
        <v>295</v>
      </c>
      <c r="U3" s="125" t="s">
        <v>298</v>
      </c>
      <c r="V3" s="122" t="s">
        <v>238</v>
      </c>
      <c r="W3" s="122" t="s">
        <v>300</v>
      </c>
      <c r="X3" s="126" t="s">
        <v>27</v>
      </c>
      <c r="Y3" s="121" t="s">
        <v>1</v>
      </c>
      <c r="Z3" s="122" t="s">
        <v>295</v>
      </c>
      <c r="AA3" s="125" t="s">
        <v>298</v>
      </c>
      <c r="AB3" s="122" t="s">
        <v>238</v>
      </c>
      <c r="AC3" s="122" t="s">
        <v>300</v>
      </c>
      <c r="AD3" s="126" t="s">
        <v>27</v>
      </c>
      <c r="AE3" s="121" t="s">
        <v>1</v>
      </c>
      <c r="AF3" s="122" t="s">
        <v>238</v>
      </c>
      <c r="AG3" s="122" t="s">
        <v>300</v>
      </c>
      <c r="AH3" s="121" t="s">
        <v>1</v>
      </c>
      <c r="AI3" s="122" t="s">
        <v>238</v>
      </c>
      <c r="AJ3" s="122" t="s">
        <v>300</v>
      </c>
      <c r="AK3" s="121" t="s">
        <v>1</v>
      </c>
      <c r="AL3" s="122" t="s">
        <v>238</v>
      </c>
      <c r="AM3" s="122" t="s">
        <v>300</v>
      </c>
      <c r="AN3" s="126" t="s">
        <v>27</v>
      </c>
      <c r="AO3" s="121" t="s">
        <v>1</v>
      </c>
      <c r="AP3" s="122" t="s">
        <v>238</v>
      </c>
      <c r="AQ3" s="122" t="s">
        <v>300</v>
      </c>
      <c r="AR3" s="126" t="s">
        <v>1</v>
      </c>
      <c r="AS3" s="122" t="s">
        <v>238</v>
      </c>
      <c r="AT3" s="122" t="s">
        <v>300</v>
      </c>
      <c r="AU3" s="126" t="s">
        <v>27</v>
      </c>
      <c r="AV3" s="126" t="s">
        <v>1</v>
      </c>
      <c r="AW3" s="122" t="s">
        <v>238</v>
      </c>
      <c r="AX3" s="122" t="s">
        <v>300</v>
      </c>
      <c r="AY3" s="126" t="s">
        <v>27</v>
      </c>
      <c r="AZ3" s="126" t="s">
        <v>1</v>
      </c>
      <c r="BA3" s="122" t="s">
        <v>238</v>
      </c>
      <c r="BB3" s="122" t="s">
        <v>300</v>
      </c>
      <c r="BC3" s="126" t="s">
        <v>1</v>
      </c>
      <c r="BD3" s="122" t="s">
        <v>238</v>
      </c>
      <c r="BE3" s="122" t="s">
        <v>300</v>
      </c>
      <c r="BF3" s="126"/>
      <c r="BG3" s="126"/>
      <c r="BH3" s="122"/>
      <c r="BI3" s="126"/>
      <c r="BJ3" s="122"/>
      <c r="BK3" s="126"/>
      <c r="BL3" s="126"/>
      <c r="BM3" s="122"/>
      <c r="BN3" s="126"/>
      <c r="BO3" s="122"/>
      <c r="BP3" s="126"/>
      <c r="BQ3" s="126"/>
      <c r="BR3" s="122"/>
      <c r="BS3" s="126"/>
      <c r="BT3" s="122"/>
      <c r="BU3" s="126"/>
      <c r="BV3" s="122"/>
    </row>
    <row r="4" spans="1:74" x14ac:dyDescent="0.3">
      <c r="A4" s="103" t="s">
        <v>23</v>
      </c>
      <c r="B4" s="9" t="s">
        <v>306</v>
      </c>
      <c r="C4" s="17" t="s">
        <v>4</v>
      </c>
      <c r="D4" s="9"/>
      <c r="E4" s="9"/>
      <c r="F4" s="138" t="str">
        <f>IFERROR(E4/D4,"")</f>
        <v/>
      </c>
      <c r="G4" s="17"/>
      <c r="H4" s="9"/>
      <c r="I4" s="9"/>
      <c r="J4" s="9"/>
      <c r="L4" s="138" t="str">
        <f>IFERROR(K4/H4,"")</f>
        <v/>
      </c>
      <c r="M4" s="9"/>
      <c r="N4" s="9"/>
      <c r="O4" s="9"/>
      <c r="Q4" s="138" t="str">
        <f>IFERROR(P4/M4,"")</f>
        <v/>
      </c>
      <c r="R4" s="17"/>
      <c r="S4" s="17"/>
      <c r="T4" s="17"/>
      <c r="U4" s="17"/>
      <c r="W4" s="138" t="str">
        <f>IFERROR(V4/S4,"")</f>
        <v/>
      </c>
      <c r="X4" s="16"/>
      <c r="Y4" s="17"/>
      <c r="AB4" s="51"/>
      <c r="AC4" s="138" t="str">
        <f>IFERROR(AB4/Y4,"")</f>
        <v/>
      </c>
      <c r="AE4" s="17"/>
      <c r="AF4" s="17"/>
      <c r="AG4" s="138" t="str">
        <f>IFERROR(AF4/AE4,"")</f>
        <v/>
      </c>
      <c r="AH4" s="17"/>
      <c r="AI4" s="17"/>
      <c r="AJ4" s="138" t="str">
        <f>IFERROR(AI4/AH4,"")</f>
        <v/>
      </c>
      <c r="AK4" s="17"/>
      <c r="AL4" s="17"/>
      <c r="AM4" s="138" t="str">
        <f>IFERROR(AL4/AK4,"")</f>
        <v/>
      </c>
      <c r="AN4" s="17"/>
      <c r="AP4" s="17"/>
      <c r="AQ4" s="138" t="str">
        <f>IFERROR(AP4/AO4,"")</f>
        <v/>
      </c>
      <c r="AT4" s="138" t="str">
        <f>IFERROR(AS4/AR4,"")</f>
        <v/>
      </c>
      <c r="AU4" s="17"/>
      <c r="AV4" s="9"/>
      <c r="AW4" s="9"/>
      <c r="AX4" s="138" t="str">
        <f>IFERROR(AW4/AV4,"")</f>
        <v/>
      </c>
      <c r="AY4" s="103" t="s">
        <v>4</v>
      </c>
      <c r="AZ4" s="102">
        <v>234</v>
      </c>
      <c r="BA4" s="102">
        <v>568</v>
      </c>
      <c r="BB4" s="138">
        <f>IFERROR(BA4/AZ4,"")</f>
        <v>2.4273504273504272</v>
      </c>
      <c r="BC4" s="102">
        <v>677</v>
      </c>
      <c r="BD4" s="102">
        <v>1763</v>
      </c>
      <c r="BE4" s="138">
        <f>IFERROR(BD4/BC4,"")</f>
        <v>2.6041358936484489</v>
      </c>
    </row>
    <row r="5" spans="1:74" x14ac:dyDescent="0.3">
      <c r="A5" s="103" t="s">
        <v>288</v>
      </c>
      <c r="B5" s="9" t="s">
        <v>307</v>
      </c>
      <c r="C5" s="17" t="s">
        <v>13</v>
      </c>
      <c r="D5" s="2"/>
      <c r="E5" s="2"/>
      <c r="F5" s="138" t="str">
        <f t="shared" ref="F5:F36" si="0">IFERROR(E5/D5,"")</f>
        <v/>
      </c>
      <c r="H5" s="2"/>
      <c r="I5" s="2"/>
      <c r="J5" s="2"/>
      <c r="L5" s="138" t="str">
        <f t="shared" ref="L5:L36" si="1">IFERROR(K5/H5,"")</f>
        <v/>
      </c>
      <c r="M5" s="2"/>
      <c r="N5" s="2"/>
      <c r="O5" s="2"/>
      <c r="Q5" s="138" t="str">
        <f t="shared" ref="Q5:Q36" si="2">IFERROR(P5/M5,"")</f>
        <v/>
      </c>
      <c r="R5" s="17"/>
      <c r="T5" s="51"/>
      <c r="W5" s="138" t="str">
        <f t="shared" ref="W5:W36" si="3">IFERROR(V5/S5,"")</f>
        <v/>
      </c>
      <c r="X5" s="16"/>
      <c r="Y5" s="2"/>
      <c r="Z5" s="2"/>
      <c r="AA5" s="9"/>
      <c r="AB5" s="51"/>
      <c r="AC5" s="138" t="str">
        <f t="shared" ref="AC5:AC36" si="4">IFERROR(AB5/Y5,"")</f>
        <v/>
      </c>
      <c r="AD5" s="63"/>
      <c r="AE5" s="17"/>
      <c r="AF5" s="17"/>
      <c r="AG5" s="138" t="str">
        <f t="shared" ref="AG5:AG36" si="5">IFERROR(AF5/AE5,"")</f>
        <v/>
      </c>
      <c r="AH5" s="17"/>
      <c r="AI5" s="17"/>
      <c r="AJ5" s="138" t="str">
        <f t="shared" ref="AJ5:AJ36" si="6">IFERROR(AI5/AH5,"")</f>
        <v/>
      </c>
      <c r="AM5" s="138" t="str">
        <f t="shared" ref="AM5:AM36" si="7">IFERROR(AL5/AK5,"")</f>
        <v/>
      </c>
      <c r="AQ5" s="138" t="str">
        <f t="shared" ref="AQ5:AQ36" si="8">IFERROR(AP5/AO5,"")</f>
        <v/>
      </c>
      <c r="AT5" s="138" t="str">
        <f t="shared" ref="AT5:AT36" si="9">IFERROR(AS5/AR5,"")</f>
        <v/>
      </c>
      <c r="AV5" s="2"/>
      <c r="AW5" s="2"/>
      <c r="AX5" s="138" t="str">
        <f t="shared" ref="AX5:AX36" si="10">IFERROR(AW5/AV5,"")</f>
        <v/>
      </c>
      <c r="AY5" s="103" t="s">
        <v>13</v>
      </c>
      <c r="AZ5" s="102">
        <v>2614</v>
      </c>
      <c r="BA5" s="102">
        <v>50480</v>
      </c>
      <c r="BB5" s="138">
        <f t="shared" ref="BB5:BB36" si="11">IFERROR(BA5/AZ5,"")</f>
        <v>19.311400153022188</v>
      </c>
      <c r="BC5" s="102">
        <v>1899</v>
      </c>
      <c r="BD5" s="102">
        <v>37830</v>
      </c>
      <c r="BE5" s="138">
        <f t="shared" ref="BE5:BE36" si="12">IFERROR(BD5/BC5,"")</f>
        <v>19.921011058451818</v>
      </c>
    </row>
    <row r="6" spans="1:74" x14ac:dyDescent="0.3">
      <c r="A6" s="104" t="s">
        <v>35</v>
      </c>
      <c r="B6" s="140" t="s">
        <v>306</v>
      </c>
      <c r="C6" s="143" t="s">
        <v>4</v>
      </c>
      <c r="D6" s="9"/>
      <c r="E6" s="9"/>
      <c r="F6" s="138" t="str">
        <f t="shared" si="0"/>
        <v/>
      </c>
      <c r="G6" s="143" t="s">
        <v>4</v>
      </c>
      <c r="H6" s="57">
        <f>$D$81*1034</f>
        <v>1551</v>
      </c>
      <c r="I6" s="9">
        <v>260</v>
      </c>
      <c r="J6" s="60">
        <v>0</v>
      </c>
      <c r="K6" s="51">
        <f>(I6+(J6/$D$126))</f>
        <v>260</v>
      </c>
      <c r="L6" s="138">
        <f t="shared" si="1"/>
        <v>0.16763378465506126</v>
      </c>
      <c r="M6" s="57">
        <f>$D$81*275</f>
        <v>412.5</v>
      </c>
      <c r="N6" s="57">
        <v>69</v>
      </c>
      <c r="O6" s="60">
        <v>0</v>
      </c>
      <c r="P6" s="51">
        <f>(N6+(O6/$D$126))</f>
        <v>69</v>
      </c>
      <c r="Q6" s="138">
        <f t="shared" si="2"/>
        <v>0.16727272727272727</v>
      </c>
      <c r="R6" s="17"/>
      <c r="S6" s="2"/>
      <c r="T6" s="2"/>
      <c r="U6" s="9"/>
      <c r="W6" s="138" t="str">
        <f t="shared" si="3"/>
        <v/>
      </c>
      <c r="X6" s="16"/>
      <c r="Y6" s="2"/>
      <c r="Z6" s="2"/>
      <c r="AA6" s="9"/>
      <c r="AB6" s="51"/>
      <c r="AC6" s="138" t="str">
        <f t="shared" si="4"/>
        <v/>
      </c>
      <c r="AD6" s="51"/>
      <c r="AE6" s="17"/>
      <c r="AF6" s="17"/>
      <c r="AG6" s="138" t="str">
        <f t="shared" si="5"/>
        <v/>
      </c>
      <c r="AH6" s="17"/>
      <c r="AI6" s="17"/>
      <c r="AJ6" s="138" t="str">
        <f t="shared" si="6"/>
        <v/>
      </c>
      <c r="AM6" s="138" t="str">
        <f t="shared" si="7"/>
        <v/>
      </c>
      <c r="AQ6" s="138" t="str">
        <f t="shared" si="8"/>
        <v/>
      </c>
      <c r="AT6" s="138" t="str">
        <f t="shared" si="9"/>
        <v/>
      </c>
      <c r="AV6" s="2"/>
      <c r="AW6" s="2"/>
      <c r="AX6" s="138" t="str">
        <f t="shared" si="10"/>
        <v/>
      </c>
      <c r="AZ6" s="102"/>
      <c r="BA6" s="102"/>
      <c r="BB6" s="138" t="str">
        <f t="shared" si="11"/>
        <v/>
      </c>
      <c r="BC6" s="102"/>
      <c r="BD6" s="102"/>
      <c r="BE6" s="138" t="str">
        <f t="shared" si="12"/>
        <v/>
      </c>
    </row>
    <row r="7" spans="1:74" x14ac:dyDescent="0.3">
      <c r="A7" s="104" t="s">
        <v>37</v>
      </c>
      <c r="B7" s="140" t="s">
        <v>306</v>
      </c>
      <c r="C7" s="143" t="s">
        <v>4</v>
      </c>
      <c r="D7" s="9"/>
      <c r="E7" s="9"/>
      <c r="F7" s="138" t="str">
        <f t="shared" si="0"/>
        <v/>
      </c>
      <c r="G7" s="143" t="s">
        <v>4</v>
      </c>
      <c r="H7" s="57">
        <f>$F$69*345</f>
        <v>560.625</v>
      </c>
      <c r="I7" s="9">
        <v>119</v>
      </c>
      <c r="J7" s="60">
        <v>0</v>
      </c>
      <c r="K7" s="51">
        <f>(I7+(J7/$D$126))</f>
        <v>119</v>
      </c>
      <c r="L7" s="138">
        <f t="shared" si="1"/>
        <v>0.21226309921962097</v>
      </c>
      <c r="M7" s="57">
        <f>$F$69*136</f>
        <v>221</v>
      </c>
      <c r="N7" s="57">
        <v>42</v>
      </c>
      <c r="O7" s="60">
        <v>0</v>
      </c>
      <c r="P7" s="51">
        <f>(N7+(O7/$D$126))</f>
        <v>42</v>
      </c>
      <c r="Q7" s="138">
        <f t="shared" si="2"/>
        <v>0.19004524886877827</v>
      </c>
      <c r="R7" s="64"/>
      <c r="S7" s="2"/>
      <c r="T7" s="2"/>
      <c r="U7" s="9"/>
      <c r="W7" s="138" t="str">
        <f t="shared" si="3"/>
        <v/>
      </c>
      <c r="X7" s="16"/>
      <c r="Y7" s="57"/>
      <c r="Z7" s="57"/>
      <c r="AA7" s="57"/>
      <c r="AB7" s="51"/>
      <c r="AC7" s="138" t="str">
        <f t="shared" si="4"/>
        <v/>
      </c>
      <c r="AD7" s="51"/>
      <c r="AE7" s="17"/>
      <c r="AF7" s="17"/>
      <c r="AG7" s="138" t="str">
        <f t="shared" si="5"/>
        <v/>
      </c>
      <c r="AH7" s="17"/>
      <c r="AI7" s="17"/>
      <c r="AJ7" s="138" t="str">
        <f t="shared" si="6"/>
        <v/>
      </c>
      <c r="AM7" s="138" t="str">
        <f t="shared" si="7"/>
        <v/>
      </c>
      <c r="AQ7" s="138" t="str">
        <f t="shared" si="8"/>
        <v/>
      </c>
      <c r="AT7" s="138" t="str">
        <f t="shared" si="9"/>
        <v/>
      </c>
      <c r="AV7" s="2"/>
      <c r="AW7" s="2"/>
      <c r="AX7" s="138" t="str">
        <f t="shared" si="10"/>
        <v/>
      </c>
      <c r="AZ7" s="102"/>
      <c r="BA7" s="102"/>
      <c r="BB7" s="138" t="str">
        <f t="shared" si="11"/>
        <v/>
      </c>
      <c r="BC7" s="102"/>
      <c r="BD7" s="102"/>
      <c r="BE7" s="138" t="str">
        <f t="shared" si="12"/>
        <v/>
      </c>
    </row>
    <row r="8" spans="1:74" x14ac:dyDescent="0.3">
      <c r="A8" s="16" t="s">
        <v>19</v>
      </c>
      <c r="B8" s="9" t="s">
        <v>308</v>
      </c>
      <c r="C8" s="17" t="s">
        <v>21</v>
      </c>
      <c r="D8" s="57"/>
      <c r="E8" s="57"/>
      <c r="F8" s="138" t="str">
        <f t="shared" si="0"/>
        <v/>
      </c>
      <c r="G8" s="17" t="s">
        <v>21</v>
      </c>
      <c r="H8" s="57">
        <v>275</v>
      </c>
      <c r="I8" s="9">
        <v>110</v>
      </c>
      <c r="J8" s="60">
        <v>0</v>
      </c>
      <c r="K8" s="51">
        <f>(I8+(J8/$D$126))</f>
        <v>110</v>
      </c>
      <c r="L8" s="138">
        <f t="shared" si="1"/>
        <v>0.4</v>
      </c>
      <c r="M8" s="57">
        <v>1083</v>
      </c>
      <c r="N8" s="57">
        <v>676</v>
      </c>
      <c r="O8" s="60">
        <v>0</v>
      </c>
      <c r="P8" s="51">
        <f>(N8+(O8/$D$126))</f>
        <v>676</v>
      </c>
      <c r="Q8" s="138">
        <f t="shared" si="2"/>
        <v>0.62419205909510622</v>
      </c>
      <c r="R8" s="105" t="s">
        <v>21</v>
      </c>
      <c r="S8" s="57">
        <v>562</v>
      </c>
      <c r="T8" s="9">
        <v>233</v>
      </c>
      <c r="U8" s="66">
        <v>0</v>
      </c>
      <c r="V8" s="51">
        <f>(T8+(U8/$D$126))</f>
        <v>233</v>
      </c>
      <c r="W8" s="138">
        <f t="shared" si="3"/>
        <v>0.41459074733096085</v>
      </c>
      <c r="X8" s="105" t="s">
        <v>21</v>
      </c>
      <c r="Y8" s="57">
        <v>283</v>
      </c>
      <c r="Z8" s="57">
        <v>98</v>
      </c>
      <c r="AA8" s="57">
        <v>0</v>
      </c>
      <c r="AB8" s="51">
        <f>(Z8+(AA8/$D$126))</f>
        <v>98</v>
      </c>
      <c r="AC8" s="138">
        <f t="shared" si="4"/>
        <v>0.3462897526501767</v>
      </c>
      <c r="AE8" s="17"/>
      <c r="AF8" s="17"/>
      <c r="AG8" s="138" t="str">
        <f t="shared" si="5"/>
        <v/>
      </c>
      <c r="AH8" s="17"/>
      <c r="AI8" s="17"/>
      <c r="AJ8" s="138" t="str">
        <f t="shared" si="6"/>
        <v/>
      </c>
      <c r="AK8" s="17"/>
      <c r="AL8" s="17"/>
      <c r="AM8" s="138" t="str">
        <f t="shared" si="7"/>
        <v/>
      </c>
      <c r="AN8" s="17"/>
      <c r="AP8" s="17"/>
      <c r="AQ8" s="138" t="str">
        <f t="shared" si="8"/>
        <v/>
      </c>
      <c r="AT8" s="138" t="str">
        <f t="shared" si="9"/>
        <v/>
      </c>
      <c r="AU8" s="17"/>
      <c r="AV8" s="9"/>
      <c r="AW8" s="9"/>
      <c r="AX8" s="138" t="str">
        <f t="shared" si="10"/>
        <v/>
      </c>
      <c r="AZ8" s="102"/>
      <c r="BA8" s="102"/>
      <c r="BB8" s="138" t="str">
        <f t="shared" si="11"/>
        <v/>
      </c>
      <c r="BC8" s="102"/>
      <c r="BD8" s="102"/>
      <c r="BE8" s="138" t="str">
        <f t="shared" si="12"/>
        <v/>
      </c>
    </row>
    <row r="9" spans="1:74" x14ac:dyDescent="0.3">
      <c r="A9" s="104" t="s">
        <v>34</v>
      </c>
      <c r="B9" s="140" t="s">
        <v>308</v>
      </c>
      <c r="C9" s="17" t="s">
        <v>21</v>
      </c>
      <c r="D9" s="9"/>
      <c r="E9" s="9"/>
      <c r="F9" s="138" t="str">
        <f t="shared" si="0"/>
        <v/>
      </c>
      <c r="G9" s="17" t="s">
        <v>21</v>
      </c>
      <c r="H9" s="57">
        <v>140</v>
      </c>
      <c r="I9" s="9">
        <v>505</v>
      </c>
      <c r="J9" s="59">
        <v>10</v>
      </c>
      <c r="K9" s="51">
        <f>(I9+(J9/$D$126))</f>
        <v>505.5</v>
      </c>
      <c r="L9" s="138">
        <f t="shared" si="1"/>
        <v>3.6107142857142858</v>
      </c>
      <c r="M9" s="57">
        <v>190</v>
      </c>
      <c r="N9" s="57">
        <v>1015</v>
      </c>
      <c r="O9" s="59">
        <v>0</v>
      </c>
      <c r="P9" s="51">
        <f>(N9+(O9/$D$126))</f>
        <v>1015</v>
      </c>
      <c r="Q9" s="138">
        <f t="shared" si="2"/>
        <v>5.3421052631578947</v>
      </c>
      <c r="R9" s="17"/>
      <c r="S9" s="2"/>
      <c r="T9" s="9"/>
      <c r="U9" s="9"/>
      <c r="W9" s="138" t="str">
        <f t="shared" si="3"/>
        <v/>
      </c>
      <c r="X9" s="16"/>
      <c r="Y9" s="2"/>
      <c r="Z9" s="2"/>
      <c r="AA9" s="9"/>
      <c r="AB9" s="51"/>
      <c r="AC9" s="138" t="str">
        <f t="shared" si="4"/>
        <v/>
      </c>
      <c r="AD9" s="51"/>
      <c r="AE9" s="17"/>
      <c r="AF9" s="17"/>
      <c r="AG9" s="138" t="str">
        <f t="shared" si="5"/>
        <v/>
      </c>
      <c r="AH9" s="17"/>
      <c r="AI9" s="17"/>
      <c r="AJ9" s="138" t="str">
        <f t="shared" si="6"/>
        <v/>
      </c>
      <c r="AM9" s="138" t="str">
        <f t="shared" si="7"/>
        <v/>
      </c>
      <c r="AQ9" s="138" t="str">
        <f t="shared" si="8"/>
        <v/>
      </c>
      <c r="AT9" s="138" t="str">
        <f t="shared" si="9"/>
        <v/>
      </c>
      <c r="AV9" s="2"/>
      <c r="AW9" s="2"/>
      <c r="AX9" s="138" t="str">
        <f t="shared" si="10"/>
        <v/>
      </c>
      <c r="AZ9" s="102"/>
      <c r="BA9" s="102"/>
      <c r="BB9" s="138" t="str">
        <f t="shared" si="11"/>
        <v/>
      </c>
      <c r="BC9" s="102"/>
      <c r="BD9" s="102"/>
      <c r="BE9" s="138" t="str">
        <f t="shared" si="12"/>
        <v/>
      </c>
    </row>
    <row r="10" spans="1:74" x14ac:dyDescent="0.3">
      <c r="A10" s="103" t="s">
        <v>349</v>
      </c>
      <c r="B10" s="140" t="s">
        <v>309</v>
      </c>
      <c r="C10" s="17" t="s">
        <v>40</v>
      </c>
      <c r="D10" s="57">
        <v>90</v>
      </c>
      <c r="E10" s="57">
        <v>138</v>
      </c>
      <c r="F10" s="138">
        <f t="shared" si="0"/>
        <v>1.5333333333333334</v>
      </c>
      <c r="G10" s="17"/>
      <c r="H10" s="9"/>
      <c r="I10" s="9"/>
      <c r="J10" s="9"/>
      <c r="L10" s="138" t="str">
        <f t="shared" si="1"/>
        <v/>
      </c>
      <c r="M10" s="9"/>
      <c r="N10" s="9"/>
      <c r="O10" s="9"/>
      <c r="Q10" s="138" t="str">
        <f t="shared" si="2"/>
        <v/>
      </c>
      <c r="R10" s="16" t="s">
        <v>21</v>
      </c>
      <c r="S10" s="57">
        <v>108</v>
      </c>
      <c r="T10" s="57">
        <v>432</v>
      </c>
      <c r="U10" s="57">
        <v>0</v>
      </c>
      <c r="V10" s="51">
        <f>(T10+(U10/$D$126))</f>
        <v>432</v>
      </c>
      <c r="W10" s="138">
        <f t="shared" si="3"/>
        <v>4</v>
      </c>
      <c r="X10" s="16" t="s">
        <v>21</v>
      </c>
      <c r="Y10" s="57">
        <v>3</v>
      </c>
      <c r="Z10" s="57">
        <v>12</v>
      </c>
      <c r="AA10" s="57">
        <v>6</v>
      </c>
      <c r="AB10" s="51">
        <f>(Z10+(AA10/$D$126))</f>
        <v>12.3</v>
      </c>
      <c r="AC10" s="138">
        <f t="shared" si="4"/>
        <v>4.1000000000000005</v>
      </c>
      <c r="AE10" s="17"/>
      <c r="AF10" s="17"/>
      <c r="AG10" s="138" t="str">
        <f t="shared" si="5"/>
        <v/>
      </c>
      <c r="AH10" s="17"/>
      <c r="AI10" s="17"/>
      <c r="AJ10" s="138" t="str">
        <f t="shared" si="6"/>
        <v/>
      </c>
      <c r="AK10" s="17"/>
      <c r="AL10" s="17"/>
      <c r="AM10" s="138" t="str">
        <f t="shared" si="7"/>
        <v/>
      </c>
      <c r="AN10" s="17"/>
      <c r="AP10" s="17"/>
      <c r="AQ10" s="138" t="str">
        <f t="shared" si="8"/>
        <v/>
      </c>
      <c r="AT10" s="138" t="str">
        <f t="shared" si="9"/>
        <v/>
      </c>
      <c r="AU10" s="17" t="s">
        <v>4</v>
      </c>
      <c r="AV10" s="9">
        <v>547</v>
      </c>
      <c r="AW10" s="9">
        <v>708</v>
      </c>
      <c r="AX10" s="138">
        <f t="shared" si="10"/>
        <v>1.2943327239488116</v>
      </c>
      <c r="AY10" s="103" t="s">
        <v>4</v>
      </c>
      <c r="AZ10" s="102">
        <v>502</v>
      </c>
      <c r="BA10" s="102">
        <v>572</v>
      </c>
      <c r="BB10" s="138">
        <f t="shared" si="11"/>
        <v>1.1394422310756973</v>
      </c>
      <c r="BC10" s="102">
        <v>1177</v>
      </c>
      <c r="BD10" s="102">
        <v>1351</v>
      </c>
      <c r="BE10" s="138">
        <f t="shared" si="12"/>
        <v>1.1478334749362786</v>
      </c>
    </row>
    <row r="11" spans="1:74" x14ac:dyDescent="0.3">
      <c r="A11" s="103" t="s">
        <v>14</v>
      </c>
      <c r="B11" s="140" t="s">
        <v>309</v>
      </c>
      <c r="C11" s="17" t="s">
        <v>40</v>
      </c>
      <c r="D11" s="2"/>
      <c r="E11" s="2"/>
      <c r="F11" s="138" t="str">
        <f t="shared" si="0"/>
        <v/>
      </c>
      <c r="H11" s="2"/>
      <c r="I11" s="2"/>
      <c r="J11" s="2"/>
      <c r="L11" s="138" t="str">
        <f t="shared" si="1"/>
        <v/>
      </c>
      <c r="M11" s="2"/>
      <c r="N11" s="2"/>
      <c r="O11" s="2"/>
      <c r="Q11" s="138" t="str">
        <f t="shared" si="2"/>
        <v/>
      </c>
      <c r="R11" s="51" t="s">
        <v>4</v>
      </c>
      <c r="S11" s="57">
        <f>$D$50*2642</f>
        <v>52840</v>
      </c>
      <c r="T11" s="9">
        <v>8120</v>
      </c>
      <c r="U11" s="57">
        <v>0</v>
      </c>
      <c r="V11" s="51">
        <f>(T11+(U11/$D$126))</f>
        <v>8120</v>
      </c>
      <c r="W11" s="138">
        <f t="shared" si="3"/>
        <v>0.15367146101438303</v>
      </c>
      <c r="X11" s="51" t="s">
        <v>4</v>
      </c>
      <c r="Y11" s="66">
        <f>$D$50*2195</f>
        <v>43900</v>
      </c>
      <c r="Z11" s="57">
        <v>3085</v>
      </c>
      <c r="AA11" s="57">
        <v>10</v>
      </c>
      <c r="AB11" s="51">
        <f>(Z11+(AA11/$D$126))</f>
        <v>3085.5</v>
      </c>
      <c r="AC11" s="138">
        <f t="shared" si="4"/>
        <v>7.0284738041002284E-2</v>
      </c>
      <c r="AD11" s="51" t="s">
        <v>4</v>
      </c>
      <c r="AE11" s="61">
        <v>29240</v>
      </c>
      <c r="AF11" s="61">
        <v>4265</v>
      </c>
      <c r="AG11" s="138">
        <f t="shared" si="5"/>
        <v>0.14586183310533515</v>
      </c>
      <c r="AH11" s="61">
        <v>5060</v>
      </c>
      <c r="AI11" s="9">
        <v>1968</v>
      </c>
      <c r="AJ11" s="138">
        <f t="shared" si="6"/>
        <v>0.38893280632411065</v>
      </c>
      <c r="AK11" s="61">
        <v>29060</v>
      </c>
      <c r="AL11" s="61">
        <v>6562</v>
      </c>
      <c r="AM11" s="138">
        <f t="shared" si="7"/>
        <v>0.22580867171369581</v>
      </c>
      <c r="AN11" s="51" t="s">
        <v>4</v>
      </c>
      <c r="AO11" s="61">
        <v>20583</v>
      </c>
      <c r="AP11" s="61">
        <v>7767</v>
      </c>
      <c r="AQ11" s="138">
        <f t="shared" si="8"/>
        <v>0.37735024048972454</v>
      </c>
      <c r="AR11" s="61">
        <v>39581</v>
      </c>
      <c r="AS11" s="61">
        <v>3338</v>
      </c>
      <c r="AT11" s="138">
        <f t="shared" si="9"/>
        <v>8.4333392284176745E-2</v>
      </c>
      <c r="AU11" s="51" t="s">
        <v>4</v>
      </c>
      <c r="AV11" s="61">
        <v>51675</v>
      </c>
      <c r="AW11" s="61">
        <v>13157</v>
      </c>
      <c r="AX11" s="138">
        <f t="shared" si="10"/>
        <v>0.2546105466860184</v>
      </c>
      <c r="AY11" s="51" t="s">
        <v>4</v>
      </c>
      <c r="AZ11" s="102">
        <v>73766</v>
      </c>
      <c r="BA11" s="102">
        <v>18229</v>
      </c>
      <c r="BB11" s="138">
        <f t="shared" si="11"/>
        <v>0.24711926903993711</v>
      </c>
      <c r="BC11" s="102">
        <v>93489</v>
      </c>
      <c r="BD11" s="102">
        <v>16441</v>
      </c>
      <c r="BE11" s="138">
        <f t="shared" si="12"/>
        <v>0.17586026163505866</v>
      </c>
    </row>
    <row r="12" spans="1:74" x14ac:dyDescent="0.3">
      <c r="A12" s="103" t="s">
        <v>289</v>
      </c>
      <c r="B12" s="140" t="s">
        <v>306</v>
      </c>
      <c r="C12" s="51" t="s">
        <v>4</v>
      </c>
      <c r="D12" s="61">
        <f>$D$50*5347</f>
        <v>106940</v>
      </c>
      <c r="E12" s="61">
        <v>27757</v>
      </c>
      <c r="F12" s="138">
        <f t="shared" si="0"/>
        <v>0.25955676080044887</v>
      </c>
      <c r="G12" s="51" t="s">
        <v>4</v>
      </c>
      <c r="H12" s="57">
        <f>$D$50*1130</f>
        <v>22600</v>
      </c>
      <c r="I12" s="9">
        <v>4479</v>
      </c>
      <c r="J12" s="60">
        <v>0</v>
      </c>
      <c r="K12" s="51">
        <f>(I12+(J12/$D$126))</f>
        <v>4479</v>
      </c>
      <c r="L12" s="138">
        <f t="shared" si="1"/>
        <v>0.19818584070796461</v>
      </c>
      <c r="M12" s="57">
        <f>$D$50*1217</f>
        <v>24340</v>
      </c>
      <c r="N12" s="57">
        <v>4939</v>
      </c>
      <c r="O12" s="60">
        <v>0</v>
      </c>
      <c r="P12" s="51">
        <f>(N12+(O12/$D$126))</f>
        <v>4939</v>
      </c>
      <c r="Q12" s="138">
        <f t="shared" si="2"/>
        <v>0.20291700903861956</v>
      </c>
      <c r="R12" s="17"/>
      <c r="S12" s="2"/>
      <c r="T12" s="2"/>
      <c r="U12" s="2"/>
      <c r="W12" s="138" t="str">
        <f t="shared" si="3"/>
        <v/>
      </c>
      <c r="X12" s="16"/>
      <c r="Y12" s="2"/>
      <c r="Z12" s="2"/>
      <c r="AA12" s="9"/>
      <c r="AB12" s="51"/>
      <c r="AC12" s="138" t="str">
        <f t="shared" si="4"/>
        <v/>
      </c>
      <c r="AD12" s="63"/>
      <c r="AE12" s="9"/>
      <c r="AF12" s="9"/>
      <c r="AG12" s="138" t="str">
        <f t="shared" si="5"/>
        <v/>
      </c>
      <c r="AH12" s="9"/>
      <c r="AI12" s="9"/>
      <c r="AJ12" s="138" t="str">
        <f t="shared" si="6"/>
        <v/>
      </c>
      <c r="AK12" s="2"/>
      <c r="AL12" s="2"/>
      <c r="AM12" s="138" t="str">
        <f t="shared" si="7"/>
        <v/>
      </c>
      <c r="AN12" s="17"/>
      <c r="AO12" s="2"/>
      <c r="AP12" s="2"/>
      <c r="AQ12" s="138" t="str">
        <f t="shared" si="8"/>
        <v/>
      </c>
      <c r="AR12" s="2"/>
      <c r="AS12" s="2"/>
      <c r="AT12" s="138" t="str">
        <f t="shared" si="9"/>
        <v/>
      </c>
      <c r="AU12" s="17"/>
      <c r="AV12" s="2"/>
      <c r="AW12" s="2"/>
      <c r="AX12" s="138" t="str">
        <f t="shared" si="10"/>
        <v/>
      </c>
      <c r="AZ12" s="2"/>
      <c r="BA12" s="2"/>
      <c r="BB12" s="138" t="str">
        <f t="shared" si="11"/>
        <v/>
      </c>
      <c r="BC12" s="102"/>
      <c r="BD12" s="102"/>
      <c r="BE12" s="138" t="str">
        <f t="shared" si="12"/>
        <v/>
      </c>
    </row>
    <row r="13" spans="1:74" x14ac:dyDescent="0.3">
      <c r="A13" s="103" t="s">
        <v>289</v>
      </c>
      <c r="B13" s="140" t="s">
        <v>306</v>
      </c>
      <c r="C13" s="139" t="s">
        <v>4</v>
      </c>
      <c r="D13" s="2"/>
      <c r="E13" s="2"/>
      <c r="F13" s="138" t="str">
        <f t="shared" si="0"/>
        <v/>
      </c>
      <c r="G13" s="139" t="s">
        <v>4</v>
      </c>
      <c r="H13" s="2"/>
      <c r="I13" s="2"/>
      <c r="J13" s="2"/>
      <c r="L13" s="138" t="str">
        <f t="shared" si="1"/>
        <v/>
      </c>
      <c r="M13" s="2">
        <f>$D$70*89</f>
        <v>133.5</v>
      </c>
      <c r="N13" s="2">
        <v>33</v>
      </c>
      <c r="O13" s="2">
        <v>6</v>
      </c>
      <c r="P13" s="51">
        <f>(N13+(O13/$D$126))</f>
        <v>33.299999999999997</v>
      </c>
      <c r="Q13" s="138">
        <f t="shared" si="2"/>
        <v>0.24943820224719099</v>
      </c>
      <c r="R13" s="17"/>
      <c r="S13" s="2"/>
      <c r="T13" s="2"/>
      <c r="U13" s="2"/>
      <c r="W13" s="138" t="str">
        <f t="shared" si="3"/>
        <v/>
      </c>
      <c r="X13" s="16"/>
      <c r="Y13" s="2"/>
      <c r="Z13" s="2"/>
      <c r="AA13" s="9"/>
      <c r="AB13" s="51"/>
      <c r="AC13" s="138" t="str">
        <f t="shared" si="4"/>
        <v/>
      </c>
      <c r="AD13" s="51"/>
      <c r="AE13" s="9"/>
      <c r="AF13" s="9"/>
      <c r="AG13" s="138" t="str">
        <f t="shared" si="5"/>
        <v/>
      </c>
      <c r="AH13" s="9"/>
      <c r="AI13" s="9"/>
      <c r="AJ13" s="138" t="str">
        <f t="shared" si="6"/>
        <v/>
      </c>
      <c r="AK13" s="2"/>
      <c r="AL13" s="2"/>
      <c r="AM13" s="138" t="str">
        <f t="shared" si="7"/>
        <v/>
      </c>
      <c r="AO13" s="2"/>
      <c r="AP13" s="2"/>
      <c r="AQ13" s="138" t="str">
        <f t="shared" si="8"/>
        <v/>
      </c>
      <c r="AR13" s="2"/>
      <c r="AS13" s="2"/>
      <c r="AT13" s="138" t="str">
        <f t="shared" si="9"/>
        <v/>
      </c>
      <c r="AV13" s="2"/>
      <c r="AW13" s="2"/>
      <c r="AX13" s="138" t="str">
        <f t="shared" si="10"/>
        <v/>
      </c>
      <c r="AZ13" s="102"/>
      <c r="BA13" s="102"/>
      <c r="BB13" s="138" t="str">
        <f t="shared" si="11"/>
        <v/>
      </c>
      <c r="BC13" s="102"/>
      <c r="BD13" s="102"/>
      <c r="BE13" s="138" t="str">
        <f t="shared" si="12"/>
        <v/>
      </c>
    </row>
    <row r="14" spans="1:74" x14ac:dyDescent="0.3">
      <c r="A14" s="17" t="s">
        <v>28</v>
      </c>
      <c r="B14" s="9" t="s">
        <v>309</v>
      </c>
      <c r="C14" s="17" t="s">
        <v>40</v>
      </c>
      <c r="D14" s="57"/>
      <c r="E14" s="9"/>
      <c r="F14" s="138" t="str">
        <f t="shared" si="0"/>
        <v/>
      </c>
      <c r="G14" s="17"/>
      <c r="H14" s="57"/>
      <c r="I14" s="9"/>
      <c r="J14" s="66"/>
      <c r="L14" s="138" t="str">
        <f t="shared" si="1"/>
        <v/>
      </c>
      <c r="M14" s="9"/>
      <c r="N14" s="66"/>
      <c r="O14" s="66"/>
      <c r="Q14" s="138" t="str">
        <f t="shared" si="2"/>
        <v/>
      </c>
      <c r="R14" s="17"/>
      <c r="S14" s="2"/>
      <c r="T14" s="9"/>
      <c r="U14" s="9"/>
      <c r="W14" s="138" t="str">
        <f t="shared" si="3"/>
        <v/>
      </c>
      <c r="X14" s="16"/>
      <c r="Y14" s="17"/>
      <c r="Z14" s="51"/>
      <c r="AB14" s="51"/>
      <c r="AC14" s="138" t="str">
        <f t="shared" si="4"/>
        <v/>
      </c>
      <c r="AD14" s="63" t="s">
        <v>4</v>
      </c>
      <c r="AE14" s="9"/>
      <c r="AF14" s="9"/>
      <c r="AG14" s="138" t="str">
        <f t="shared" si="5"/>
        <v/>
      </c>
      <c r="AH14" s="9">
        <v>852</v>
      </c>
      <c r="AI14" s="9">
        <v>286</v>
      </c>
      <c r="AJ14" s="138">
        <f t="shared" si="6"/>
        <v>0.33568075117370894</v>
      </c>
      <c r="AK14" s="61">
        <v>3162</v>
      </c>
      <c r="AL14" s="61">
        <v>1581</v>
      </c>
      <c r="AM14" s="138">
        <f t="shared" si="7"/>
        <v>0.5</v>
      </c>
      <c r="AN14" s="17" t="s">
        <v>4</v>
      </c>
      <c r="AO14" s="9">
        <v>426</v>
      </c>
      <c r="AP14" s="9">
        <v>92</v>
      </c>
      <c r="AQ14" s="138">
        <f t="shared" si="8"/>
        <v>0.215962441314554</v>
      </c>
      <c r="AR14" s="106">
        <v>346.5</v>
      </c>
      <c r="AS14" s="9">
        <v>104</v>
      </c>
      <c r="AT14" s="138">
        <f t="shared" si="9"/>
        <v>0.30014430014430016</v>
      </c>
      <c r="AU14" s="17"/>
      <c r="AV14" s="61"/>
      <c r="AW14" s="61"/>
      <c r="AX14" s="138" t="str">
        <f t="shared" si="10"/>
        <v/>
      </c>
      <c r="AZ14" s="102"/>
      <c r="BA14" s="102"/>
      <c r="BB14" s="138" t="str">
        <f t="shared" si="11"/>
        <v/>
      </c>
      <c r="BC14" s="102"/>
      <c r="BD14" s="102"/>
      <c r="BE14" s="138" t="str">
        <f t="shared" si="12"/>
        <v/>
      </c>
    </row>
    <row r="15" spans="1:74" x14ac:dyDescent="0.3">
      <c r="A15" s="17" t="s">
        <v>31</v>
      </c>
      <c r="B15" s="9" t="s">
        <v>309</v>
      </c>
      <c r="C15" s="17" t="s">
        <v>40</v>
      </c>
      <c r="D15" s="9"/>
      <c r="E15" s="9"/>
      <c r="F15" s="138" t="str">
        <f t="shared" si="0"/>
        <v/>
      </c>
      <c r="G15" s="17" t="s">
        <v>4</v>
      </c>
      <c r="H15" s="57"/>
      <c r="I15" s="9"/>
      <c r="J15" s="66"/>
      <c r="L15" s="138" t="str">
        <f t="shared" si="1"/>
        <v/>
      </c>
      <c r="M15" s="9">
        <v>230</v>
      </c>
      <c r="N15" s="9">
        <v>390</v>
      </c>
      <c r="O15" s="66">
        <v>0</v>
      </c>
      <c r="P15" s="51">
        <f>(N15+(O15/$D$126))</f>
        <v>390</v>
      </c>
      <c r="Q15" s="138">
        <f t="shared" si="2"/>
        <v>1.6956521739130435</v>
      </c>
      <c r="R15" s="17"/>
      <c r="S15" s="2"/>
      <c r="T15" s="9"/>
      <c r="U15" s="9"/>
      <c r="W15" s="138" t="str">
        <f t="shared" si="3"/>
        <v/>
      </c>
      <c r="X15" s="16"/>
      <c r="Y15" s="17"/>
      <c r="Z15" s="51"/>
      <c r="AB15" s="51"/>
      <c r="AC15" s="138" t="str">
        <f t="shared" si="4"/>
        <v/>
      </c>
      <c r="AD15" s="63" t="s">
        <v>4</v>
      </c>
      <c r="AE15" s="9">
        <v>336</v>
      </c>
      <c r="AF15" s="9">
        <v>634</v>
      </c>
      <c r="AG15" s="138">
        <f t="shared" si="5"/>
        <v>1.8869047619047619</v>
      </c>
      <c r="AH15" s="61">
        <v>2434</v>
      </c>
      <c r="AI15" s="61">
        <v>3811</v>
      </c>
      <c r="AJ15" s="138">
        <f t="shared" si="6"/>
        <v>1.5657354149548068</v>
      </c>
      <c r="AK15" s="61">
        <v>1731</v>
      </c>
      <c r="AL15" s="61">
        <v>3462</v>
      </c>
      <c r="AM15" s="138">
        <f t="shared" si="7"/>
        <v>2</v>
      </c>
      <c r="AN15" s="17" t="s">
        <v>4</v>
      </c>
      <c r="AO15" s="9">
        <v>255</v>
      </c>
      <c r="AP15" s="9">
        <v>510</v>
      </c>
      <c r="AQ15" s="138">
        <f t="shared" si="8"/>
        <v>2</v>
      </c>
      <c r="AR15" s="9">
        <v>151</v>
      </c>
      <c r="AS15" s="9">
        <v>302</v>
      </c>
      <c r="AT15" s="138">
        <f t="shared" si="9"/>
        <v>2</v>
      </c>
      <c r="AU15" s="17" t="s">
        <v>4</v>
      </c>
      <c r="AV15" s="61">
        <v>15</v>
      </c>
      <c r="AW15" s="61">
        <v>30</v>
      </c>
      <c r="AX15" s="138">
        <f t="shared" si="10"/>
        <v>2</v>
      </c>
      <c r="AY15" s="51" t="s">
        <v>4</v>
      </c>
      <c r="AZ15" s="102">
        <v>108</v>
      </c>
      <c r="BA15" s="102">
        <v>216</v>
      </c>
      <c r="BB15" s="138">
        <f t="shared" si="11"/>
        <v>2</v>
      </c>
      <c r="BC15" s="102"/>
      <c r="BD15" s="102"/>
      <c r="BE15" s="138" t="str">
        <f t="shared" si="12"/>
        <v/>
      </c>
    </row>
    <row r="16" spans="1:74" x14ac:dyDescent="0.3">
      <c r="A16" s="103" t="s">
        <v>29</v>
      </c>
      <c r="B16" s="9" t="s">
        <v>309</v>
      </c>
      <c r="C16" s="17" t="s">
        <v>40</v>
      </c>
      <c r="D16" s="61"/>
      <c r="E16" s="61"/>
      <c r="F16" s="138" t="str">
        <f t="shared" si="0"/>
        <v/>
      </c>
      <c r="G16" s="17"/>
      <c r="H16" s="57"/>
      <c r="I16" s="9"/>
      <c r="J16" s="59"/>
      <c r="L16" s="138" t="str">
        <f t="shared" si="1"/>
        <v/>
      </c>
      <c r="M16" s="57"/>
      <c r="N16" s="57"/>
      <c r="O16" s="59"/>
      <c r="Q16" s="138" t="str">
        <f t="shared" si="2"/>
        <v/>
      </c>
      <c r="R16" s="64"/>
      <c r="S16" s="57"/>
      <c r="T16" s="9"/>
      <c r="U16" s="57"/>
      <c r="W16" s="138" t="str">
        <f t="shared" si="3"/>
        <v/>
      </c>
      <c r="X16" s="16"/>
      <c r="Y16" s="64"/>
      <c r="Z16" s="64"/>
      <c r="AA16" s="64"/>
      <c r="AB16" s="51"/>
      <c r="AC16" s="138" t="str">
        <f t="shared" si="4"/>
        <v/>
      </c>
      <c r="AD16" s="17" t="s">
        <v>4</v>
      </c>
      <c r="AE16" s="61">
        <v>2856</v>
      </c>
      <c r="AF16" s="9">
        <v>747</v>
      </c>
      <c r="AG16" s="138">
        <f t="shared" si="5"/>
        <v>0.26155462184873951</v>
      </c>
      <c r="AH16" s="61">
        <v>1860</v>
      </c>
      <c r="AI16" s="61">
        <v>1093</v>
      </c>
      <c r="AJ16" s="138">
        <f t="shared" si="6"/>
        <v>0.58763440860215055</v>
      </c>
      <c r="AK16" s="61">
        <v>1327</v>
      </c>
      <c r="AL16" s="9">
        <v>534</v>
      </c>
      <c r="AM16" s="138">
        <f t="shared" si="7"/>
        <v>0.40241145440844012</v>
      </c>
      <c r="AN16" s="17" t="s">
        <v>4</v>
      </c>
      <c r="AO16" s="66">
        <v>1532</v>
      </c>
      <c r="AP16" s="9">
        <v>610</v>
      </c>
      <c r="AQ16" s="138">
        <f t="shared" si="8"/>
        <v>0.39817232375979111</v>
      </c>
      <c r="AR16" s="106">
        <v>5587.5</v>
      </c>
      <c r="AS16" s="61">
        <v>3162</v>
      </c>
      <c r="AT16" s="138">
        <f t="shared" si="9"/>
        <v>0.56590604026845637</v>
      </c>
      <c r="AU16" s="17"/>
      <c r="AV16" s="61"/>
      <c r="AW16" s="61"/>
      <c r="AX16" s="138" t="str">
        <f t="shared" si="10"/>
        <v/>
      </c>
      <c r="AZ16" s="102"/>
      <c r="BA16" s="102"/>
      <c r="BB16" s="138" t="str">
        <f t="shared" si="11"/>
        <v/>
      </c>
      <c r="BC16" s="102"/>
      <c r="BD16" s="102"/>
      <c r="BE16" s="138" t="str">
        <f t="shared" si="12"/>
        <v/>
      </c>
    </row>
    <row r="17" spans="1:57" x14ac:dyDescent="0.3">
      <c r="A17" s="16" t="s">
        <v>290</v>
      </c>
      <c r="B17" s="9" t="s">
        <v>309</v>
      </c>
      <c r="C17" s="17" t="s">
        <v>40</v>
      </c>
      <c r="D17" s="9"/>
      <c r="E17" s="9"/>
      <c r="F17" s="138" t="str">
        <f t="shared" si="0"/>
        <v/>
      </c>
      <c r="G17" s="17"/>
      <c r="H17" s="9"/>
      <c r="I17" s="9"/>
      <c r="J17" s="9"/>
      <c r="L17" s="138" t="str">
        <f t="shared" si="1"/>
        <v/>
      </c>
      <c r="M17" s="9"/>
      <c r="N17" s="9"/>
      <c r="O17" s="9"/>
      <c r="Q17" s="138" t="str">
        <f t="shared" si="2"/>
        <v/>
      </c>
      <c r="R17" s="17"/>
      <c r="S17" s="2"/>
      <c r="T17" s="9"/>
      <c r="U17" s="9"/>
      <c r="W17" s="138" t="str">
        <f t="shared" si="3"/>
        <v/>
      </c>
      <c r="X17" s="16"/>
      <c r="Y17" s="17"/>
      <c r="Z17" s="51"/>
      <c r="AB17" s="51"/>
      <c r="AC17" s="138" t="str">
        <f t="shared" si="4"/>
        <v/>
      </c>
      <c r="AD17" s="51"/>
      <c r="AE17" s="9"/>
      <c r="AF17" s="9"/>
      <c r="AG17" s="138" t="str">
        <f t="shared" si="5"/>
        <v/>
      </c>
      <c r="AH17" s="9"/>
      <c r="AI17" s="9"/>
      <c r="AJ17" s="138" t="str">
        <f t="shared" si="6"/>
        <v/>
      </c>
      <c r="AK17" s="2"/>
      <c r="AL17" s="2"/>
      <c r="AM17" s="138" t="str">
        <f t="shared" si="7"/>
        <v/>
      </c>
      <c r="AN17" s="17"/>
      <c r="AO17" s="2"/>
      <c r="AP17" s="2"/>
      <c r="AQ17" s="138" t="str">
        <f t="shared" si="8"/>
        <v/>
      </c>
      <c r="AR17" s="61"/>
      <c r="AS17" s="61"/>
      <c r="AT17" s="138" t="str">
        <f t="shared" si="9"/>
        <v/>
      </c>
      <c r="AU17" s="17" t="s">
        <v>4</v>
      </c>
      <c r="AV17" s="61">
        <v>332</v>
      </c>
      <c r="AW17" s="61">
        <v>1992</v>
      </c>
      <c r="AX17" s="138">
        <f t="shared" si="10"/>
        <v>6</v>
      </c>
      <c r="AY17" s="51" t="s">
        <v>4</v>
      </c>
      <c r="AZ17" s="102">
        <v>21</v>
      </c>
      <c r="BA17" s="102">
        <v>210</v>
      </c>
      <c r="BB17" s="138">
        <f t="shared" si="11"/>
        <v>10</v>
      </c>
      <c r="BC17" s="102">
        <v>196</v>
      </c>
      <c r="BD17" s="102">
        <v>1194</v>
      </c>
      <c r="BE17" s="138">
        <f t="shared" si="12"/>
        <v>6.091836734693878</v>
      </c>
    </row>
    <row r="18" spans="1:57" x14ac:dyDescent="0.3">
      <c r="A18" s="16" t="s">
        <v>291</v>
      </c>
      <c r="B18" s="9" t="s">
        <v>309</v>
      </c>
      <c r="C18" s="17" t="s">
        <v>40</v>
      </c>
      <c r="D18" s="9"/>
      <c r="E18" s="9"/>
      <c r="F18" s="138" t="str">
        <f t="shared" si="0"/>
        <v/>
      </c>
      <c r="G18" s="17"/>
      <c r="H18" s="9"/>
      <c r="I18" s="9"/>
      <c r="J18" s="9"/>
      <c r="L18" s="138" t="str">
        <f t="shared" si="1"/>
        <v/>
      </c>
      <c r="M18" s="9"/>
      <c r="N18" s="9"/>
      <c r="O18" s="9"/>
      <c r="Q18" s="138" t="str">
        <f t="shared" si="2"/>
        <v/>
      </c>
      <c r="R18" s="17"/>
      <c r="S18" s="9"/>
      <c r="T18" s="9"/>
      <c r="U18" s="9"/>
      <c r="W18" s="138" t="str">
        <f t="shared" si="3"/>
        <v/>
      </c>
      <c r="X18" s="16"/>
      <c r="Y18" s="17"/>
      <c r="AB18" s="51"/>
      <c r="AC18" s="138" t="str">
        <f t="shared" si="4"/>
        <v/>
      </c>
      <c r="AD18" s="51"/>
      <c r="AE18" s="9"/>
      <c r="AF18" s="9"/>
      <c r="AG18" s="138" t="str">
        <f t="shared" si="5"/>
        <v/>
      </c>
      <c r="AH18" s="9"/>
      <c r="AI18" s="9"/>
      <c r="AJ18" s="138" t="str">
        <f t="shared" si="6"/>
        <v/>
      </c>
      <c r="AK18" s="2"/>
      <c r="AL18" s="2"/>
      <c r="AM18" s="138" t="str">
        <f t="shared" si="7"/>
        <v/>
      </c>
      <c r="AO18" s="2"/>
      <c r="AP18" s="2"/>
      <c r="AQ18" s="138" t="str">
        <f t="shared" si="8"/>
        <v/>
      </c>
      <c r="AR18" s="2"/>
      <c r="AS18" s="2"/>
      <c r="AT18" s="138" t="str">
        <f t="shared" si="9"/>
        <v/>
      </c>
      <c r="AU18" s="51" t="s">
        <v>4</v>
      </c>
      <c r="AV18" s="61">
        <v>3780</v>
      </c>
      <c r="AW18" s="61">
        <v>2377</v>
      </c>
      <c r="AX18" s="138">
        <f t="shared" si="10"/>
        <v>0.62883597883597886</v>
      </c>
      <c r="AY18" s="51" t="s">
        <v>4</v>
      </c>
      <c r="AZ18" s="102">
        <v>5586</v>
      </c>
      <c r="BA18" s="102">
        <v>4654</v>
      </c>
      <c r="BB18" s="138">
        <f t="shared" si="11"/>
        <v>0.8331543143573219</v>
      </c>
      <c r="BC18" s="102">
        <v>4507</v>
      </c>
      <c r="BD18" s="102">
        <v>2684</v>
      </c>
      <c r="BE18" s="138">
        <f t="shared" si="12"/>
        <v>0.59551808298202791</v>
      </c>
    </row>
    <row r="19" spans="1:57" x14ac:dyDescent="0.3">
      <c r="A19" s="16" t="s">
        <v>189</v>
      </c>
      <c r="B19" s="9" t="s">
        <v>310</v>
      </c>
      <c r="C19" s="17" t="s">
        <v>30</v>
      </c>
      <c r="D19" s="57">
        <v>465</v>
      </c>
      <c r="E19" s="66">
        <v>3720</v>
      </c>
      <c r="F19" s="138">
        <f t="shared" si="0"/>
        <v>8</v>
      </c>
      <c r="G19" s="17" t="s">
        <v>30</v>
      </c>
      <c r="H19" s="57">
        <v>200</v>
      </c>
      <c r="I19" s="9">
        <v>1600</v>
      </c>
      <c r="J19" s="60">
        <v>0</v>
      </c>
      <c r="K19" s="51">
        <f>(I19+(J19/$D$126))</f>
        <v>1600</v>
      </c>
      <c r="L19" s="138">
        <f t="shared" si="1"/>
        <v>8</v>
      </c>
      <c r="M19" s="57">
        <v>210</v>
      </c>
      <c r="N19" s="57">
        <v>3880</v>
      </c>
      <c r="O19" s="60">
        <v>0</v>
      </c>
      <c r="P19" s="51">
        <f>(N19+(O19/$D$126))</f>
        <v>3880</v>
      </c>
      <c r="Q19" s="138">
        <f t="shared" si="2"/>
        <v>18.476190476190474</v>
      </c>
      <c r="R19" s="16" t="s">
        <v>30</v>
      </c>
      <c r="S19" s="57">
        <v>160</v>
      </c>
      <c r="T19" s="57">
        <v>2000</v>
      </c>
      <c r="U19" s="57">
        <v>0</v>
      </c>
      <c r="V19" s="51">
        <f>(T19+(U19/$D$126))</f>
        <v>2000</v>
      </c>
      <c r="W19" s="138">
        <f t="shared" si="3"/>
        <v>12.5</v>
      </c>
      <c r="X19" s="16" t="s">
        <v>30</v>
      </c>
      <c r="Y19" s="57">
        <v>143</v>
      </c>
      <c r="Z19" s="57">
        <v>2288</v>
      </c>
      <c r="AA19" s="57">
        <v>0</v>
      </c>
      <c r="AB19" s="51">
        <f>(Z19+(AA19/$D$126))</f>
        <v>2288</v>
      </c>
      <c r="AC19" s="138">
        <f t="shared" si="4"/>
        <v>16</v>
      </c>
      <c r="AD19" s="51" t="s">
        <v>30</v>
      </c>
      <c r="AE19" s="9">
        <v>118</v>
      </c>
      <c r="AF19" s="61">
        <v>3300</v>
      </c>
      <c r="AG19" s="138">
        <f t="shared" si="5"/>
        <v>27.966101694915253</v>
      </c>
      <c r="AH19" s="9">
        <v>73</v>
      </c>
      <c r="AI19" s="9">
        <v>1300</v>
      </c>
      <c r="AJ19" s="138">
        <f t="shared" si="6"/>
        <v>17.80821917808219</v>
      </c>
      <c r="AK19" s="9">
        <v>65</v>
      </c>
      <c r="AL19" s="61">
        <v>1300</v>
      </c>
      <c r="AM19" s="138">
        <f t="shared" si="7"/>
        <v>20</v>
      </c>
      <c r="AN19" s="17" t="s">
        <v>30</v>
      </c>
      <c r="AO19" s="9">
        <v>54</v>
      </c>
      <c r="AP19" s="61">
        <v>1080</v>
      </c>
      <c r="AQ19" s="138">
        <f t="shared" si="8"/>
        <v>20</v>
      </c>
      <c r="AR19" s="61">
        <v>1324</v>
      </c>
      <c r="AS19" s="61">
        <v>16480</v>
      </c>
      <c r="AT19" s="138">
        <f t="shared" si="9"/>
        <v>12.447129909365559</v>
      </c>
      <c r="AU19" s="17" t="s">
        <v>30</v>
      </c>
      <c r="AV19" s="61">
        <v>2284</v>
      </c>
      <c r="AW19" s="61">
        <v>45680</v>
      </c>
      <c r="AX19" s="138">
        <f t="shared" si="10"/>
        <v>20</v>
      </c>
      <c r="AZ19" s="102"/>
      <c r="BA19" s="102"/>
      <c r="BB19" s="138" t="str">
        <f t="shared" si="11"/>
        <v/>
      </c>
      <c r="BC19" s="102"/>
      <c r="BD19" s="102"/>
      <c r="BE19" s="138" t="str">
        <f t="shared" si="12"/>
        <v/>
      </c>
    </row>
    <row r="20" spans="1:57" x14ac:dyDescent="0.3">
      <c r="A20" s="17" t="s">
        <v>33</v>
      </c>
      <c r="B20" s="9" t="s">
        <v>309</v>
      </c>
      <c r="C20" s="17" t="s">
        <v>40</v>
      </c>
      <c r="D20" s="66">
        <v>1106</v>
      </c>
      <c r="E20" s="57">
        <v>464</v>
      </c>
      <c r="F20" s="138">
        <f t="shared" si="0"/>
        <v>0.41952983725135623</v>
      </c>
      <c r="G20" s="17" t="s">
        <v>4</v>
      </c>
      <c r="H20" s="57"/>
      <c r="I20" s="9"/>
      <c r="J20" s="59"/>
      <c r="L20" s="138" t="str">
        <f t="shared" si="1"/>
        <v/>
      </c>
      <c r="M20" s="9">
        <v>160</v>
      </c>
      <c r="N20" s="9">
        <v>80</v>
      </c>
      <c r="O20" s="9">
        <v>0</v>
      </c>
      <c r="P20" s="51">
        <f>(N20+(O20/$D$126))</f>
        <v>80</v>
      </c>
      <c r="Q20" s="138">
        <f t="shared" si="2"/>
        <v>0.5</v>
      </c>
      <c r="R20" s="105" t="s">
        <v>4</v>
      </c>
      <c r="S20" s="57">
        <v>1552</v>
      </c>
      <c r="T20" s="57">
        <v>379</v>
      </c>
      <c r="U20" s="57">
        <v>15</v>
      </c>
      <c r="V20" s="51">
        <f>(T20+(U20/$D$126))</f>
        <v>379.75</v>
      </c>
      <c r="W20" s="138">
        <f t="shared" si="3"/>
        <v>0.24468427835051546</v>
      </c>
      <c r="X20" s="105" t="s">
        <v>4</v>
      </c>
      <c r="Y20" s="57">
        <v>4278</v>
      </c>
      <c r="Z20" s="57">
        <v>1201</v>
      </c>
      <c r="AA20" s="57">
        <v>0</v>
      </c>
      <c r="AB20" s="51">
        <f>(Z20+(AA20/$D$126))</f>
        <v>1201</v>
      </c>
      <c r="AC20" s="138">
        <f t="shared" si="4"/>
        <v>0.28073866292660121</v>
      </c>
      <c r="AD20" s="51"/>
      <c r="AE20" s="9"/>
      <c r="AF20" s="9"/>
      <c r="AG20" s="138" t="str">
        <f t="shared" si="5"/>
        <v/>
      </c>
      <c r="AH20" s="9"/>
      <c r="AI20" s="9"/>
      <c r="AJ20" s="138" t="str">
        <f t="shared" si="6"/>
        <v/>
      </c>
      <c r="AK20" s="2"/>
      <c r="AL20" s="2"/>
      <c r="AM20" s="138" t="str">
        <f t="shared" si="7"/>
        <v/>
      </c>
      <c r="AN20" s="17"/>
      <c r="AO20" s="2"/>
      <c r="AP20" s="9"/>
      <c r="AQ20" s="138" t="str">
        <f t="shared" si="8"/>
        <v/>
      </c>
      <c r="AR20" s="2"/>
      <c r="AS20" s="2"/>
      <c r="AT20" s="138" t="str">
        <f t="shared" si="9"/>
        <v/>
      </c>
      <c r="AU20" s="17"/>
      <c r="AV20" s="9"/>
      <c r="AW20" s="9"/>
      <c r="AX20" s="138" t="str">
        <f t="shared" si="10"/>
        <v/>
      </c>
      <c r="AZ20" s="102"/>
      <c r="BA20" s="102"/>
      <c r="BB20" s="138" t="str">
        <f t="shared" si="11"/>
        <v/>
      </c>
      <c r="BC20" s="102"/>
      <c r="BD20" s="102"/>
      <c r="BE20" s="138" t="str">
        <f t="shared" si="12"/>
        <v/>
      </c>
    </row>
    <row r="21" spans="1:57" x14ac:dyDescent="0.3">
      <c r="A21" s="9" t="s">
        <v>33</v>
      </c>
      <c r="B21" s="9" t="s">
        <v>311</v>
      </c>
      <c r="C21" s="17" t="s">
        <v>36</v>
      </c>
      <c r="D21" s="66"/>
      <c r="E21" s="57"/>
      <c r="F21" s="138" t="str">
        <f t="shared" si="0"/>
        <v/>
      </c>
      <c r="G21" s="17" t="s">
        <v>36</v>
      </c>
      <c r="H21" s="57">
        <v>762</v>
      </c>
      <c r="I21" s="9">
        <v>381</v>
      </c>
      <c r="J21" s="60">
        <v>0</v>
      </c>
      <c r="K21" s="51">
        <f>(I21+(J21/$D$126))</f>
        <v>381</v>
      </c>
      <c r="L21" s="138">
        <f t="shared" si="1"/>
        <v>0.5</v>
      </c>
      <c r="M21" s="9">
        <v>246</v>
      </c>
      <c r="N21" s="9">
        <v>123</v>
      </c>
      <c r="O21" s="9">
        <v>0</v>
      </c>
      <c r="P21" s="51">
        <f>(N21+(O21/$D$126))</f>
        <v>123</v>
      </c>
      <c r="Q21" s="138">
        <f t="shared" si="2"/>
        <v>0.5</v>
      </c>
      <c r="R21" s="64"/>
      <c r="S21" s="57"/>
      <c r="T21" s="57"/>
      <c r="U21" s="57"/>
      <c r="W21" s="138" t="str">
        <f t="shared" si="3"/>
        <v/>
      </c>
      <c r="X21" s="105"/>
      <c r="Y21" s="57"/>
      <c r="Z21" s="57"/>
      <c r="AA21" s="57"/>
      <c r="AB21" s="51"/>
      <c r="AC21" s="138" t="str">
        <f t="shared" si="4"/>
        <v/>
      </c>
      <c r="AD21" s="51"/>
      <c r="AE21" s="9"/>
      <c r="AF21" s="9"/>
      <c r="AG21" s="138" t="str">
        <f t="shared" si="5"/>
        <v/>
      </c>
      <c r="AH21" s="9"/>
      <c r="AI21" s="9"/>
      <c r="AJ21" s="138" t="str">
        <f t="shared" si="6"/>
        <v/>
      </c>
      <c r="AK21" s="2"/>
      <c r="AL21" s="2"/>
      <c r="AM21" s="138" t="str">
        <f t="shared" si="7"/>
        <v/>
      </c>
      <c r="AN21" s="17"/>
      <c r="AO21" s="2"/>
      <c r="AP21" s="9"/>
      <c r="AQ21" s="138" t="str">
        <f t="shared" si="8"/>
        <v/>
      </c>
      <c r="AR21" s="2"/>
      <c r="AS21" s="2"/>
      <c r="AT21" s="138" t="str">
        <f t="shared" si="9"/>
        <v/>
      </c>
      <c r="AU21" s="17"/>
      <c r="AV21" s="9"/>
      <c r="AW21" s="9"/>
      <c r="AX21" s="138" t="str">
        <f t="shared" si="10"/>
        <v/>
      </c>
      <c r="AZ21" s="102"/>
      <c r="BA21" s="102"/>
      <c r="BB21" s="138" t="str">
        <f t="shared" si="11"/>
        <v/>
      </c>
      <c r="BC21" s="102"/>
      <c r="BD21" s="102"/>
      <c r="BE21" s="138" t="str">
        <f t="shared" si="12"/>
        <v/>
      </c>
    </row>
    <row r="22" spans="1:57" x14ac:dyDescent="0.3">
      <c r="A22" s="58" t="s">
        <v>97</v>
      </c>
      <c r="B22" s="9" t="s">
        <v>312</v>
      </c>
      <c r="C22" s="17" t="s">
        <v>25</v>
      </c>
      <c r="D22" s="2"/>
      <c r="E22" s="2"/>
      <c r="F22" s="138" t="str">
        <f t="shared" si="0"/>
        <v/>
      </c>
      <c r="G22" s="17"/>
      <c r="H22" s="9"/>
      <c r="I22" s="17"/>
      <c r="J22" s="17"/>
      <c r="L22" s="138" t="str">
        <f t="shared" si="1"/>
        <v/>
      </c>
      <c r="M22" s="9"/>
      <c r="N22" s="9"/>
      <c r="O22" s="9"/>
      <c r="Q22" s="138" t="str">
        <f t="shared" si="2"/>
        <v/>
      </c>
      <c r="R22" s="64"/>
      <c r="S22" s="57"/>
      <c r="T22" s="57"/>
      <c r="U22" s="9"/>
      <c r="W22" s="138" t="str">
        <f t="shared" si="3"/>
        <v/>
      </c>
      <c r="X22" s="103"/>
      <c r="Y22" s="57"/>
      <c r="Z22" s="57"/>
      <c r="AA22" s="57"/>
      <c r="AB22" s="51"/>
      <c r="AC22" s="138" t="str">
        <f t="shared" si="4"/>
        <v/>
      </c>
      <c r="AD22" s="17" t="s">
        <v>98</v>
      </c>
      <c r="AE22" s="9"/>
      <c r="AF22" s="9"/>
      <c r="AG22" s="138" t="str">
        <f t="shared" si="5"/>
        <v/>
      </c>
      <c r="AH22" s="9"/>
      <c r="AI22" s="9"/>
      <c r="AJ22" s="138" t="str">
        <f t="shared" si="6"/>
        <v/>
      </c>
      <c r="AK22" s="61">
        <v>7000</v>
      </c>
      <c r="AL22" s="61">
        <v>4250</v>
      </c>
      <c r="AM22" s="138">
        <f t="shared" si="7"/>
        <v>0.6071428571428571</v>
      </c>
      <c r="AO22" s="2"/>
      <c r="AP22" s="9"/>
      <c r="AQ22" s="138" t="str">
        <f t="shared" si="8"/>
        <v/>
      </c>
      <c r="AR22" s="2"/>
      <c r="AS22" s="2"/>
      <c r="AT22" s="138" t="str">
        <f t="shared" si="9"/>
        <v/>
      </c>
      <c r="AU22" s="51" t="s">
        <v>25</v>
      </c>
      <c r="AV22" s="61">
        <v>16662</v>
      </c>
      <c r="AW22" s="61">
        <v>16704</v>
      </c>
      <c r="AX22" s="138">
        <f t="shared" si="10"/>
        <v>1.0025207057976233</v>
      </c>
      <c r="AZ22" s="91"/>
      <c r="BA22" s="91"/>
      <c r="BB22" s="138" t="str">
        <f t="shared" si="11"/>
        <v/>
      </c>
      <c r="BC22" s="91"/>
      <c r="BD22" s="91"/>
      <c r="BE22" s="138" t="str">
        <f t="shared" si="12"/>
        <v/>
      </c>
    </row>
    <row r="23" spans="1:57" x14ac:dyDescent="0.3">
      <c r="A23" s="17" t="s">
        <v>292</v>
      </c>
      <c r="B23" s="9" t="s">
        <v>313</v>
      </c>
      <c r="C23" s="17" t="s">
        <v>26</v>
      </c>
      <c r="D23" s="9"/>
      <c r="E23" s="9"/>
      <c r="F23" s="138" t="str">
        <f t="shared" si="0"/>
        <v/>
      </c>
      <c r="G23" s="17"/>
      <c r="H23" s="57"/>
      <c r="I23" s="17"/>
      <c r="J23" s="74"/>
      <c r="L23" s="138" t="str">
        <f t="shared" si="1"/>
        <v/>
      </c>
      <c r="M23" s="9"/>
      <c r="N23" s="66"/>
      <c r="O23" s="66"/>
      <c r="Q23" s="138" t="str">
        <f t="shared" si="2"/>
        <v/>
      </c>
      <c r="R23" s="17"/>
      <c r="S23" s="2"/>
      <c r="T23" s="9"/>
      <c r="U23" s="9"/>
      <c r="W23" s="138" t="str">
        <f t="shared" si="3"/>
        <v/>
      </c>
      <c r="X23" s="16"/>
      <c r="Y23" s="17"/>
      <c r="Z23" s="51"/>
      <c r="AB23" s="51"/>
      <c r="AC23" s="138" t="str">
        <f t="shared" si="4"/>
        <v/>
      </c>
      <c r="AD23" s="51"/>
      <c r="AE23" s="9"/>
      <c r="AF23" s="9"/>
      <c r="AG23" s="138" t="str">
        <f t="shared" si="5"/>
        <v/>
      </c>
      <c r="AH23" s="9"/>
      <c r="AI23" s="9"/>
      <c r="AJ23" s="138" t="str">
        <f t="shared" si="6"/>
        <v/>
      </c>
      <c r="AK23" s="2"/>
      <c r="AL23" s="2"/>
      <c r="AM23" s="138" t="str">
        <f t="shared" si="7"/>
        <v/>
      </c>
      <c r="AN23" s="17" t="s">
        <v>26</v>
      </c>
      <c r="AO23" s="9"/>
      <c r="AP23" s="9"/>
      <c r="AQ23" s="138" t="str">
        <f t="shared" si="8"/>
        <v/>
      </c>
      <c r="AR23" s="61">
        <v>5936</v>
      </c>
      <c r="AS23" s="61">
        <v>4275</v>
      </c>
      <c r="AT23" s="138">
        <f t="shared" si="9"/>
        <v>0.72018194070080865</v>
      </c>
      <c r="AU23" s="17" t="s">
        <v>26</v>
      </c>
      <c r="AV23" s="107">
        <v>4000</v>
      </c>
      <c r="AW23" s="107">
        <v>3000</v>
      </c>
      <c r="AX23" s="138">
        <f t="shared" si="10"/>
        <v>0.75</v>
      </c>
      <c r="AZ23" s="91"/>
      <c r="BA23" s="91"/>
      <c r="BB23" s="138" t="str">
        <f t="shared" si="11"/>
        <v/>
      </c>
      <c r="BC23" s="91"/>
      <c r="BD23" s="91"/>
      <c r="BE23" s="138" t="str">
        <f t="shared" si="12"/>
        <v/>
      </c>
    </row>
    <row r="24" spans="1:57" x14ac:dyDescent="0.3">
      <c r="A24" s="104" t="s">
        <v>38</v>
      </c>
      <c r="B24" s="9" t="s">
        <v>311</v>
      </c>
      <c r="C24" s="17" t="s">
        <v>36</v>
      </c>
      <c r="D24" s="9"/>
      <c r="E24" s="9"/>
      <c r="F24" s="138" t="str">
        <f t="shared" si="0"/>
        <v/>
      </c>
      <c r="G24" s="17" t="s">
        <v>36</v>
      </c>
      <c r="H24" s="57"/>
      <c r="I24" s="17"/>
      <c r="J24" s="77"/>
      <c r="L24" s="138" t="str">
        <f t="shared" si="1"/>
        <v/>
      </c>
      <c r="M24" s="57">
        <v>67</v>
      </c>
      <c r="N24" s="57">
        <v>132</v>
      </c>
      <c r="O24" s="60">
        <v>0</v>
      </c>
      <c r="P24" s="51">
        <f>(N24+(O24/$D$126))</f>
        <v>132</v>
      </c>
      <c r="Q24" s="138">
        <f t="shared" si="2"/>
        <v>1.9701492537313432</v>
      </c>
      <c r="R24" s="17"/>
      <c r="S24" s="2"/>
      <c r="T24" s="2"/>
      <c r="U24" s="9"/>
      <c r="W24" s="138" t="str">
        <f t="shared" si="3"/>
        <v/>
      </c>
      <c r="X24" s="16"/>
      <c r="Z24" s="51"/>
      <c r="AB24" s="51"/>
      <c r="AC24" s="138" t="str">
        <f t="shared" si="4"/>
        <v/>
      </c>
      <c r="AD24" s="51"/>
      <c r="AE24" s="9"/>
      <c r="AF24" s="9"/>
      <c r="AG24" s="138" t="str">
        <f t="shared" si="5"/>
        <v/>
      </c>
      <c r="AH24" s="9"/>
      <c r="AI24" s="9"/>
      <c r="AJ24" s="138" t="str">
        <f t="shared" si="6"/>
        <v/>
      </c>
      <c r="AK24" s="2"/>
      <c r="AL24" s="2"/>
      <c r="AM24" s="138" t="str">
        <f t="shared" si="7"/>
        <v/>
      </c>
      <c r="AO24" s="2"/>
      <c r="AP24" s="2"/>
      <c r="AQ24" s="138" t="str">
        <f t="shared" si="8"/>
        <v/>
      </c>
      <c r="AR24" s="2"/>
      <c r="AS24" s="2"/>
      <c r="AT24" s="138" t="str">
        <f t="shared" si="9"/>
        <v/>
      </c>
      <c r="AX24" s="138" t="str">
        <f t="shared" si="10"/>
        <v/>
      </c>
      <c r="AY24" s="108"/>
      <c r="AZ24" s="91"/>
      <c r="BA24" s="91"/>
      <c r="BB24" s="138" t="str">
        <f t="shared" si="11"/>
        <v/>
      </c>
      <c r="BC24" s="91"/>
      <c r="BD24" s="91"/>
      <c r="BE24" s="138" t="str">
        <f t="shared" si="12"/>
        <v/>
      </c>
    </row>
    <row r="25" spans="1:57" x14ac:dyDescent="0.3">
      <c r="A25" s="17" t="s">
        <v>293</v>
      </c>
      <c r="B25" s="9" t="s">
        <v>310</v>
      </c>
      <c r="C25" s="51" t="s">
        <v>30</v>
      </c>
      <c r="D25" s="57">
        <v>196</v>
      </c>
      <c r="E25" s="66">
        <v>1960</v>
      </c>
      <c r="F25" s="138">
        <f t="shared" si="0"/>
        <v>10</v>
      </c>
      <c r="G25" s="17"/>
      <c r="H25" s="57"/>
      <c r="I25" s="17"/>
      <c r="J25" s="74"/>
      <c r="L25" s="138" t="str">
        <f t="shared" si="1"/>
        <v/>
      </c>
      <c r="M25" s="9"/>
      <c r="N25" s="66"/>
      <c r="O25" s="66"/>
      <c r="Q25" s="138" t="str">
        <f t="shared" si="2"/>
        <v/>
      </c>
      <c r="R25" s="17"/>
      <c r="S25" s="2"/>
      <c r="T25" s="9"/>
      <c r="U25" s="9"/>
      <c r="W25" s="138" t="str">
        <f t="shared" si="3"/>
        <v/>
      </c>
      <c r="X25" s="16"/>
      <c r="Y25" s="17"/>
      <c r="Z25" s="51"/>
      <c r="AB25" s="51"/>
      <c r="AC25" s="138" t="str">
        <f t="shared" si="4"/>
        <v/>
      </c>
      <c r="AE25" s="9"/>
      <c r="AF25" s="9"/>
      <c r="AG25" s="138" t="str">
        <f t="shared" si="5"/>
        <v/>
      </c>
      <c r="AH25" s="9"/>
      <c r="AI25" s="9"/>
      <c r="AJ25" s="138" t="str">
        <f t="shared" si="6"/>
        <v/>
      </c>
      <c r="AK25" s="9"/>
      <c r="AL25" s="9"/>
      <c r="AM25" s="138" t="str">
        <f t="shared" si="7"/>
        <v/>
      </c>
      <c r="AN25" s="17"/>
      <c r="AP25" s="17"/>
      <c r="AQ25" s="138" t="str">
        <f t="shared" si="8"/>
        <v/>
      </c>
      <c r="AT25" s="138" t="str">
        <f t="shared" si="9"/>
        <v/>
      </c>
      <c r="AU25" s="17" t="s">
        <v>30</v>
      </c>
      <c r="AV25" s="9">
        <v>235</v>
      </c>
      <c r="AW25" s="61">
        <v>1827</v>
      </c>
      <c r="AX25" s="138">
        <f t="shared" si="10"/>
        <v>7.774468085106383</v>
      </c>
      <c r="AY25" s="51" t="s">
        <v>30</v>
      </c>
      <c r="AZ25" s="109">
        <v>144</v>
      </c>
      <c r="BA25" s="109">
        <v>1080</v>
      </c>
      <c r="BB25" s="138">
        <f t="shared" si="11"/>
        <v>7.5</v>
      </c>
      <c r="BC25" s="91"/>
      <c r="BD25" s="91"/>
      <c r="BE25" s="138" t="str">
        <f t="shared" si="12"/>
        <v/>
      </c>
    </row>
    <row r="26" spans="1:57" x14ac:dyDescent="0.3">
      <c r="A26" s="16" t="s">
        <v>15</v>
      </c>
      <c r="B26" s="9" t="s">
        <v>306</v>
      </c>
      <c r="C26" s="17" t="s">
        <v>4</v>
      </c>
      <c r="D26" s="9"/>
      <c r="E26" s="9"/>
      <c r="F26" s="138" t="str">
        <f t="shared" si="0"/>
        <v/>
      </c>
      <c r="G26" s="17"/>
      <c r="H26" s="9"/>
      <c r="I26" s="17"/>
      <c r="J26" s="17"/>
      <c r="L26" s="138" t="str">
        <f t="shared" si="1"/>
        <v/>
      </c>
      <c r="M26" s="9"/>
      <c r="N26" s="9"/>
      <c r="O26" s="9"/>
      <c r="Q26" s="138" t="str">
        <f t="shared" si="2"/>
        <v/>
      </c>
      <c r="R26" s="17"/>
      <c r="S26" s="2"/>
      <c r="T26" s="9"/>
      <c r="U26" s="9"/>
      <c r="W26" s="138" t="str">
        <f t="shared" si="3"/>
        <v/>
      </c>
      <c r="X26" s="16"/>
      <c r="Y26" s="17"/>
      <c r="Z26" s="51"/>
      <c r="AB26" s="51"/>
      <c r="AC26" s="138" t="str">
        <f t="shared" si="4"/>
        <v/>
      </c>
      <c r="AD26" s="63" t="s">
        <v>4</v>
      </c>
      <c r="AE26" s="61">
        <v>6270</v>
      </c>
      <c r="AF26" s="61">
        <v>1347</v>
      </c>
      <c r="AG26" s="138">
        <f t="shared" si="5"/>
        <v>0.21483253588516746</v>
      </c>
      <c r="AH26" s="61">
        <v>10363</v>
      </c>
      <c r="AI26" s="61">
        <v>3793</v>
      </c>
      <c r="AJ26" s="138">
        <f t="shared" si="6"/>
        <v>0.36601370259577343</v>
      </c>
      <c r="AK26" s="61">
        <v>8618</v>
      </c>
      <c r="AL26" s="61">
        <v>4253</v>
      </c>
      <c r="AM26" s="138">
        <f t="shared" si="7"/>
        <v>0.49350197261545603</v>
      </c>
      <c r="AN26" s="17" t="s">
        <v>4</v>
      </c>
      <c r="AO26" s="61">
        <v>5903</v>
      </c>
      <c r="AP26" s="61">
        <v>2668</v>
      </c>
      <c r="AQ26" s="138">
        <f t="shared" si="8"/>
        <v>0.45197357275961375</v>
      </c>
      <c r="AR26" s="61">
        <v>11168</v>
      </c>
      <c r="AS26" s="61">
        <v>5558</v>
      </c>
      <c r="AT26" s="138">
        <f t="shared" si="9"/>
        <v>0.49767191977077363</v>
      </c>
      <c r="AU26" s="17" t="s">
        <v>4</v>
      </c>
      <c r="AV26" s="61">
        <v>1375</v>
      </c>
      <c r="AW26" s="9">
        <v>568</v>
      </c>
      <c r="AX26" s="138">
        <f t="shared" si="10"/>
        <v>0.41309090909090906</v>
      </c>
      <c r="AY26" s="51" t="s">
        <v>4</v>
      </c>
      <c r="AZ26" s="102">
        <v>8060</v>
      </c>
      <c r="BA26" s="102">
        <v>5039</v>
      </c>
      <c r="BB26" s="138">
        <f t="shared" si="11"/>
        <v>0.62518610421836229</v>
      </c>
      <c r="BC26" s="102">
        <v>7299</v>
      </c>
      <c r="BD26" s="102">
        <v>3035</v>
      </c>
      <c r="BE26" s="138">
        <f t="shared" si="12"/>
        <v>0.41581038498424444</v>
      </c>
    </row>
    <row r="27" spans="1:57" x14ac:dyDescent="0.3">
      <c r="A27" s="16" t="s">
        <v>16</v>
      </c>
      <c r="B27" s="140" t="s">
        <v>306</v>
      </c>
      <c r="C27" s="143" t="s">
        <v>4</v>
      </c>
      <c r="D27" s="9"/>
      <c r="E27" s="9"/>
      <c r="F27" s="138" t="str">
        <f t="shared" si="0"/>
        <v/>
      </c>
      <c r="G27" s="143" t="s">
        <v>4</v>
      </c>
      <c r="H27" s="9"/>
      <c r="I27" s="17"/>
      <c r="J27" s="17"/>
      <c r="L27" s="138" t="str">
        <f t="shared" si="1"/>
        <v/>
      </c>
      <c r="M27" s="57">
        <f>$F$94*53</f>
        <v>60.942776431249996</v>
      </c>
      <c r="N27" s="57">
        <v>3710</v>
      </c>
      <c r="O27" s="60">
        <v>0</v>
      </c>
      <c r="P27" s="51">
        <f>(N27+(O27/$D$126))</f>
        <v>3710</v>
      </c>
      <c r="Q27" s="138">
        <f t="shared" si="2"/>
        <v>60.876780108390349</v>
      </c>
      <c r="R27" s="143" t="s">
        <v>4</v>
      </c>
      <c r="S27" s="57">
        <f>$F$94*270</f>
        <v>310.46320068749998</v>
      </c>
      <c r="T27" s="57">
        <v>16200</v>
      </c>
      <c r="U27" s="66">
        <v>0</v>
      </c>
      <c r="W27" s="138">
        <f t="shared" si="3"/>
        <v>0</v>
      </c>
      <c r="X27" s="143" t="s">
        <v>4</v>
      </c>
      <c r="Y27" s="66">
        <f>$F$93*4</f>
        <v>5.0225</v>
      </c>
      <c r="Z27" s="66">
        <v>240</v>
      </c>
      <c r="AA27" s="66">
        <v>0</v>
      </c>
      <c r="AB27" s="51">
        <f>(Z27+(AA27/$D$126))</f>
        <v>240</v>
      </c>
      <c r="AC27" s="138">
        <f t="shared" si="4"/>
        <v>47.784967645594826</v>
      </c>
      <c r="AD27" s="143" t="s">
        <v>4</v>
      </c>
      <c r="AE27" s="9">
        <f>$F$93*4</f>
        <v>5.0225</v>
      </c>
      <c r="AF27" s="9">
        <v>83</v>
      </c>
      <c r="AG27" s="138">
        <f t="shared" si="5"/>
        <v>16.525634644101544</v>
      </c>
      <c r="AH27" s="9">
        <f>$F$93*13</f>
        <v>16.323125000000001</v>
      </c>
      <c r="AI27" s="9">
        <v>900</v>
      </c>
      <c r="AJ27" s="138">
        <f t="shared" si="6"/>
        <v>55.136501129532483</v>
      </c>
      <c r="AK27" s="61">
        <f>$F$93*3</f>
        <v>3.7668749999999998</v>
      </c>
      <c r="AL27" s="9">
        <v>174</v>
      </c>
      <c r="AM27" s="138">
        <f t="shared" si="7"/>
        <v>46.192135390741669</v>
      </c>
      <c r="AN27" s="143" t="s">
        <v>4</v>
      </c>
      <c r="AO27" s="9">
        <f>$F$93*1</f>
        <v>1.255625</v>
      </c>
      <c r="AP27" s="9">
        <v>58</v>
      </c>
      <c r="AQ27" s="138">
        <f t="shared" si="8"/>
        <v>46.192135390741662</v>
      </c>
      <c r="AR27" s="9"/>
      <c r="AS27" s="9"/>
      <c r="AT27" s="138" t="str">
        <f t="shared" si="9"/>
        <v/>
      </c>
      <c r="AU27" s="143" t="s">
        <v>4</v>
      </c>
      <c r="AV27" s="9">
        <f>$F$93*183</f>
        <v>229.77937499999999</v>
      </c>
      <c r="AW27" s="61">
        <v>10980</v>
      </c>
      <c r="AX27" s="138">
        <f t="shared" si="10"/>
        <v>47.784967645594826</v>
      </c>
      <c r="AY27" s="51" t="s">
        <v>4</v>
      </c>
      <c r="AZ27" s="102">
        <f>$F$94*323</f>
        <v>371.40597711874995</v>
      </c>
      <c r="BA27" s="102">
        <v>25840</v>
      </c>
      <c r="BB27" s="138">
        <f t="shared" si="11"/>
        <v>69.573462981017542</v>
      </c>
      <c r="BC27" s="102">
        <f>$F$94*920</f>
        <v>1057.87460975</v>
      </c>
      <c r="BD27" s="102">
        <v>67447</v>
      </c>
      <c r="BE27" s="138">
        <f t="shared" si="12"/>
        <v>63.757083664139806</v>
      </c>
    </row>
    <row r="28" spans="1:57" x14ac:dyDescent="0.3">
      <c r="A28" s="16" t="s">
        <v>20</v>
      </c>
      <c r="B28" s="9" t="s">
        <v>308</v>
      </c>
      <c r="C28" s="17" t="s">
        <v>21</v>
      </c>
      <c r="D28" s="57">
        <v>320</v>
      </c>
      <c r="E28" s="57">
        <v>50</v>
      </c>
      <c r="F28" s="138">
        <f t="shared" si="0"/>
        <v>0.15625</v>
      </c>
      <c r="G28" s="17" t="s">
        <v>21</v>
      </c>
      <c r="H28" s="57">
        <v>180</v>
      </c>
      <c r="I28" s="9">
        <v>900</v>
      </c>
      <c r="J28" s="60">
        <v>0</v>
      </c>
      <c r="K28" s="51">
        <f>(I28+(J28/$D$126))</f>
        <v>900</v>
      </c>
      <c r="L28" s="138">
        <f t="shared" si="1"/>
        <v>5</v>
      </c>
      <c r="M28" s="57">
        <v>479</v>
      </c>
      <c r="N28" s="57">
        <v>1197</v>
      </c>
      <c r="O28" s="60">
        <v>10</v>
      </c>
      <c r="P28" s="51">
        <f>(N28+(O28/$D$126))</f>
        <v>1197.5</v>
      </c>
      <c r="Q28" s="138">
        <f t="shared" si="2"/>
        <v>2.5</v>
      </c>
      <c r="R28" s="16" t="s">
        <v>21</v>
      </c>
      <c r="S28" s="57">
        <v>399</v>
      </c>
      <c r="T28" s="57">
        <v>1197</v>
      </c>
      <c r="U28" s="57">
        <v>0</v>
      </c>
      <c r="V28" s="51">
        <f>(T28+(U28/$D$126))</f>
        <v>1197</v>
      </c>
      <c r="W28" s="138">
        <f t="shared" si="3"/>
        <v>3</v>
      </c>
      <c r="X28" s="16" t="s">
        <v>21</v>
      </c>
      <c r="Y28" s="57">
        <v>223</v>
      </c>
      <c r="Z28" s="57">
        <v>548</v>
      </c>
      <c r="AA28" s="57">
        <v>10</v>
      </c>
      <c r="AB28" s="51">
        <f>(Z28+(AA28/$D$126))</f>
        <v>548.5</v>
      </c>
      <c r="AC28" s="138">
        <f t="shared" si="4"/>
        <v>2.4596412556053813</v>
      </c>
      <c r="AE28" s="9"/>
      <c r="AF28" s="9"/>
      <c r="AG28" s="138" t="str">
        <f t="shared" si="5"/>
        <v/>
      </c>
      <c r="AH28" s="9"/>
      <c r="AI28" s="9"/>
      <c r="AJ28" s="138" t="str">
        <f t="shared" si="6"/>
        <v/>
      </c>
      <c r="AK28" s="9"/>
      <c r="AL28" s="9"/>
      <c r="AM28" s="138" t="str">
        <f t="shared" si="7"/>
        <v/>
      </c>
      <c r="AN28" s="17"/>
      <c r="AO28" s="2"/>
      <c r="AP28" s="9"/>
      <c r="AQ28" s="138" t="str">
        <f t="shared" si="8"/>
        <v/>
      </c>
      <c r="AR28" s="2"/>
      <c r="AS28" s="2"/>
      <c r="AT28" s="138" t="str">
        <f t="shared" si="9"/>
        <v/>
      </c>
      <c r="AU28" s="17"/>
      <c r="AV28" s="9"/>
      <c r="AW28" s="9"/>
      <c r="AX28" s="138" t="str">
        <f t="shared" si="10"/>
        <v/>
      </c>
      <c r="AZ28" s="102"/>
      <c r="BA28" s="102"/>
      <c r="BB28" s="138" t="str">
        <f t="shared" si="11"/>
        <v/>
      </c>
      <c r="BC28" s="102"/>
      <c r="BD28" s="102"/>
      <c r="BE28" s="138" t="str">
        <f t="shared" si="12"/>
        <v/>
      </c>
    </row>
    <row r="29" spans="1:57" x14ac:dyDescent="0.3">
      <c r="A29" s="104" t="s">
        <v>10</v>
      </c>
      <c r="B29" s="140" t="s">
        <v>306</v>
      </c>
      <c r="C29" s="140" t="s">
        <v>4</v>
      </c>
      <c r="D29" s="9"/>
      <c r="E29" s="9"/>
      <c r="F29" s="138" t="str">
        <f t="shared" si="0"/>
        <v/>
      </c>
      <c r="G29" s="140" t="s">
        <v>4</v>
      </c>
      <c r="H29" s="2">
        <f>$D$50*75.5</f>
        <v>1510</v>
      </c>
      <c r="I29" s="2">
        <v>500</v>
      </c>
      <c r="J29" s="2">
        <v>0</v>
      </c>
      <c r="K29" s="51">
        <f>(I29+(J29/$D$126))</f>
        <v>500</v>
      </c>
      <c r="L29" s="138">
        <f t="shared" si="1"/>
        <v>0.33112582781456956</v>
      </c>
      <c r="M29" s="2"/>
      <c r="N29" s="2"/>
      <c r="O29" s="2"/>
      <c r="Q29" s="138" t="str">
        <f t="shared" si="2"/>
        <v/>
      </c>
      <c r="R29" s="74"/>
      <c r="S29" s="66"/>
      <c r="T29" s="2"/>
      <c r="U29" s="57"/>
      <c r="W29" s="138" t="str">
        <f t="shared" si="3"/>
        <v/>
      </c>
      <c r="X29" s="16"/>
      <c r="Y29" s="66"/>
      <c r="Z29" s="66"/>
      <c r="AA29" s="66"/>
      <c r="AB29" s="51"/>
      <c r="AC29" s="138" t="str">
        <f t="shared" si="4"/>
        <v/>
      </c>
      <c r="AD29" s="51"/>
      <c r="AE29" s="9"/>
      <c r="AF29" s="9"/>
      <c r="AG29" s="138" t="str">
        <f t="shared" si="5"/>
        <v/>
      </c>
      <c r="AH29" s="9"/>
      <c r="AI29" s="9"/>
      <c r="AJ29" s="138" t="str">
        <f t="shared" si="6"/>
        <v/>
      </c>
      <c r="AK29" s="2"/>
      <c r="AL29" s="2"/>
      <c r="AM29" s="138" t="str">
        <f t="shared" si="7"/>
        <v/>
      </c>
      <c r="AO29" s="2"/>
      <c r="AP29" s="2"/>
      <c r="AQ29" s="138" t="str">
        <f t="shared" si="8"/>
        <v/>
      </c>
      <c r="AR29" s="2"/>
      <c r="AS29" s="2"/>
      <c r="AT29" s="138" t="str">
        <f t="shared" si="9"/>
        <v/>
      </c>
      <c r="AV29" s="2"/>
      <c r="AW29" s="2"/>
      <c r="AX29" s="138" t="str">
        <f t="shared" si="10"/>
        <v/>
      </c>
      <c r="AZ29" s="102"/>
      <c r="BA29" s="102"/>
      <c r="BB29" s="138" t="str">
        <f t="shared" si="11"/>
        <v/>
      </c>
      <c r="BC29" s="102"/>
      <c r="BD29" s="102"/>
      <c r="BE29" s="138" t="str">
        <f t="shared" si="12"/>
        <v/>
      </c>
    </row>
    <row r="30" spans="1:57" x14ac:dyDescent="0.3">
      <c r="A30" s="58" t="s">
        <v>10</v>
      </c>
      <c r="B30" s="140" t="s">
        <v>306</v>
      </c>
      <c r="C30" s="143" t="s">
        <v>4</v>
      </c>
      <c r="D30" s="9"/>
      <c r="E30" s="9"/>
      <c r="F30" s="138" t="str">
        <f t="shared" si="0"/>
        <v/>
      </c>
      <c r="G30" s="17" t="s">
        <v>36</v>
      </c>
      <c r="H30" s="57"/>
      <c r="I30" s="9"/>
      <c r="J30" s="60"/>
      <c r="L30" s="138" t="str">
        <f t="shared" si="1"/>
        <v/>
      </c>
      <c r="M30" s="9">
        <f>$D$67*174</f>
        <v>261</v>
      </c>
      <c r="N30" s="9">
        <v>87</v>
      </c>
      <c r="O30" s="9">
        <v>0</v>
      </c>
      <c r="P30" s="51">
        <f>(N30+(O30/$D$126))</f>
        <v>87</v>
      </c>
      <c r="Q30" s="138">
        <f t="shared" si="2"/>
        <v>0.33333333333333331</v>
      </c>
      <c r="R30" s="74"/>
      <c r="S30" s="66"/>
      <c r="T30" s="2"/>
      <c r="U30" s="57"/>
      <c r="W30" s="138" t="str">
        <f t="shared" si="3"/>
        <v/>
      </c>
      <c r="X30" s="16"/>
      <c r="Y30" s="66"/>
      <c r="Z30" s="66"/>
      <c r="AA30" s="66"/>
      <c r="AB30" s="51"/>
      <c r="AC30" s="138" t="str">
        <f t="shared" si="4"/>
        <v/>
      </c>
      <c r="AD30" s="51"/>
      <c r="AE30" s="9"/>
      <c r="AF30" s="9"/>
      <c r="AG30" s="138" t="str">
        <f t="shared" si="5"/>
        <v/>
      </c>
      <c r="AH30" s="9"/>
      <c r="AI30" s="9"/>
      <c r="AJ30" s="138" t="str">
        <f t="shared" si="6"/>
        <v/>
      </c>
      <c r="AK30" s="2"/>
      <c r="AL30" s="2"/>
      <c r="AM30" s="138" t="str">
        <f t="shared" si="7"/>
        <v/>
      </c>
      <c r="AO30" s="2"/>
      <c r="AP30" s="2"/>
      <c r="AQ30" s="138" t="str">
        <f t="shared" si="8"/>
        <v/>
      </c>
      <c r="AR30" s="2"/>
      <c r="AS30" s="2"/>
      <c r="AT30" s="138" t="str">
        <f t="shared" si="9"/>
        <v/>
      </c>
      <c r="AV30" s="2"/>
      <c r="AW30" s="2"/>
      <c r="AX30" s="138" t="str">
        <f t="shared" si="10"/>
        <v/>
      </c>
      <c r="AZ30" s="102"/>
      <c r="BA30" s="102"/>
      <c r="BB30" s="138" t="str">
        <f t="shared" si="11"/>
        <v/>
      </c>
      <c r="BC30" s="102"/>
      <c r="BD30" s="102"/>
      <c r="BE30" s="138" t="str">
        <f t="shared" si="12"/>
        <v/>
      </c>
    </row>
    <row r="31" spans="1:57" x14ac:dyDescent="0.3">
      <c r="A31" s="17" t="s">
        <v>350</v>
      </c>
      <c r="B31" s="9" t="s">
        <v>306</v>
      </c>
      <c r="C31" s="17" t="s">
        <v>4</v>
      </c>
      <c r="D31" s="9"/>
      <c r="E31" s="9"/>
      <c r="F31" s="138" t="str">
        <f t="shared" si="0"/>
        <v/>
      </c>
      <c r="G31" s="17" t="s">
        <v>4</v>
      </c>
      <c r="H31" s="57">
        <v>480</v>
      </c>
      <c r="I31" s="9">
        <v>195</v>
      </c>
      <c r="J31" s="60">
        <v>10</v>
      </c>
      <c r="K31" s="51">
        <f>(I31+(J31/$D$126))</f>
        <v>195.5</v>
      </c>
      <c r="L31" s="138">
        <f t="shared" si="1"/>
        <v>0.40729166666666666</v>
      </c>
      <c r="M31" s="57">
        <v>2403</v>
      </c>
      <c r="N31" s="57">
        <v>1000</v>
      </c>
      <c r="O31" s="60">
        <v>0</v>
      </c>
      <c r="P31" s="51">
        <f>(N31+(O31/$D$126))</f>
        <v>1000</v>
      </c>
      <c r="Q31" s="138">
        <f t="shared" si="2"/>
        <v>0.4161464835622139</v>
      </c>
      <c r="R31" s="105" t="s">
        <v>4</v>
      </c>
      <c r="S31" s="111">
        <v>1450.5</v>
      </c>
      <c r="T31" s="9">
        <v>483</v>
      </c>
      <c r="U31" s="57">
        <v>10</v>
      </c>
      <c r="V31" s="51">
        <f>(T31+(U31/$D$126))</f>
        <v>483.5</v>
      </c>
      <c r="W31" s="138">
        <f t="shared" si="3"/>
        <v>0.33333333333333331</v>
      </c>
      <c r="X31" s="105" t="s">
        <v>4</v>
      </c>
      <c r="Y31" s="111">
        <v>2710.5</v>
      </c>
      <c r="Z31" s="66">
        <v>723</v>
      </c>
      <c r="AA31" s="66">
        <v>0</v>
      </c>
      <c r="AB31" s="51">
        <f>(Z31+(AA31/$D$126))</f>
        <v>723</v>
      </c>
      <c r="AC31" s="138">
        <f t="shared" si="4"/>
        <v>0.26674045379081351</v>
      </c>
      <c r="AD31" s="51"/>
      <c r="AE31" s="9"/>
      <c r="AF31" s="9"/>
      <c r="AG31" s="138" t="str">
        <f t="shared" si="5"/>
        <v/>
      </c>
      <c r="AH31" s="9"/>
      <c r="AI31" s="9"/>
      <c r="AJ31" s="138" t="str">
        <f t="shared" si="6"/>
        <v/>
      </c>
      <c r="AK31" s="2"/>
      <c r="AL31" s="2"/>
      <c r="AM31" s="138" t="str">
        <f t="shared" si="7"/>
        <v/>
      </c>
      <c r="AN31" s="17"/>
      <c r="AO31" s="2"/>
      <c r="AP31" s="9"/>
      <c r="AQ31" s="138" t="str">
        <f t="shared" si="8"/>
        <v/>
      </c>
      <c r="AR31" s="2"/>
      <c r="AS31" s="2"/>
      <c r="AT31" s="138" t="str">
        <f t="shared" si="9"/>
        <v/>
      </c>
      <c r="AU31" s="17"/>
      <c r="AV31" s="9"/>
      <c r="AW31" s="9"/>
      <c r="AX31" s="138" t="str">
        <f t="shared" si="10"/>
        <v/>
      </c>
      <c r="AZ31" s="102"/>
      <c r="BA31" s="102"/>
      <c r="BB31" s="138" t="str">
        <f t="shared" si="11"/>
        <v/>
      </c>
      <c r="BC31" s="102"/>
      <c r="BD31" s="102"/>
      <c r="BE31" s="138" t="str">
        <f t="shared" si="12"/>
        <v/>
      </c>
    </row>
    <row r="32" spans="1:57" x14ac:dyDescent="0.3">
      <c r="A32" s="104" t="s">
        <v>39</v>
      </c>
      <c r="B32" s="9" t="s">
        <v>306</v>
      </c>
      <c r="C32" s="17" t="s">
        <v>4</v>
      </c>
      <c r="D32" s="83">
        <v>4410</v>
      </c>
      <c r="E32" s="83">
        <v>1836</v>
      </c>
      <c r="F32" s="138">
        <f t="shared" si="0"/>
        <v>0.41632653061224489</v>
      </c>
      <c r="G32" s="17"/>
      <c r="H32" s="17"/>
      <c r="I32" s="17"/>
      <c r="J32" s="17"/>
      <c r="L32" s="138" t="str">
        <f t="shared" si="1"/>
        <v/>
      </c>
      <c r="M32" s="17"/>
      <c r="N32" s="17"/>
      <c r="Q32" s="138" t="str">
        <f t="shared" si="2"/>
        <v/>
      </c>
      <c r="R32" s="74"/>
      <c r="S32" s="66"/>
      <c r="T32" s="2"/>
      <c r="U32" s="57"/>
      <c r="W32" s="138" t="str">
        <f t="shared" si="3"/>
        <v/>
      </c>
      <c r="X32" s="16"/>
      <c r="Y32" s="66"/>
      <c r="Z32" s="66"/>
      <c r="AA32" s="66"/>
      <c r="AB32" s="51"/>
      <c r="AC32" s="138" t="str">
        <f t="shared" si="4"/>
        <v/>
      </c>
      <c r="AD32" s="51"/>
      <c r="AE32" s="9"/>
      <c r="AF32" s="9"/>
      <c r="AG32" s="138" t="str">
        <f t="shared" si="5"/>
        <v/>
      </c>
      <c r="AH32" s="9"/>
      <c r="AI32" s="9"/>
      <c r="AJ32" s="138" t="str">
        <f t="shared" si="6"/>
        <v/>
      </c>
      <c r="AK32" s="2"/>
      <c r="AL32" s="2"/>
      <c r="AM32" s="138" t="str">
        <f t="shared" si="7"/>
        <v/>
      </c>
      <c r="AO32" s="2"/>
      <c r="AP32" s="2"/>
      <c r="AQ32" s="138" t="str">
        <f t="shared" si="8"/>
        <v/>
      </c>
      <c r="AR32" s="2"/>
      <c r="AS32" s="2"/>
      <c r="AT32" s="138" t="str">
        <f t="shared" si="9"/>
        <v/>
      </c>
      <c r="AV32" s="2"/>
      <c r="AW32" s="2"/>
      <c r="AX32" s="138" t="str">
        <f t="shared" si="10"/>
        <v/>
      </c>
      <c r="AZ32" s="102"/>
      <c r="BA32" s="102"/>
      <c r="BB32" s="138" t="str">
        <f t="shared" si="11"/>
        <v/>
      </c>
      <c r="BC32" s="102"/>
      <c r="BD32" s="102"/>
      <c r="BE32" s="138" t="str">
        <f t="shared" si="12"/>
        <v/>
      </c>
    </row>
    <row r="33" spans="1:95" x14ac:dyDescent="0.3">
      <c r="A33" s="16" t="s">
        <v>18</v>
      </c>
      <c r="B33" s="9" t="s">
        <v>306</v>
      </c>
      <c r="C33" s="17" t="s">
        <v>4</v>
      </c>
      <c r="D33" s="9"/>
      <c r="E33" s="9"/>
      <c r="F33" s="138" t="str">
        <f t="shared" si="0"/>
        <v/>
      </c>
      <c r="G33" s="17"/>
      <c r="H33" s="17"/>
      <c r="I33" s="17"/>
      <c r="J33" s="17"/>
      <c r="L33" s="138" t="str">
        <f t="shared" si="1"/>
        <v/>
      </c>
      <c r="M33" s="17"/>
      <c r="N33" s="17"/>
      <c r="Q33" s="138" t="str">
        <f t="shared" si="2"/>
        <v/>
      </c>
      <c r="R33" s="74"/>
      <c r="S33" s="66"/>
      <c r="T33" s="9"/>
      <c r="U33" s="57"/>
      <c r="W33" s="138" t="str">
        <f t="shared" si="3"/>
        <v/>
      </c>
      <c r="X33" s="16"/>
      <c r="Y33" s="74"/>
      <c r="Z33" s="74"/>
      <c r="AA33" s="74"/>
      <c r="AB33" s="51"/>
      <c r="AC33" s="138" t="str">
        <f t="shared" si="4"/>
        <v/>
      </c>
      <c r="AE33" s="9"/>
      <c r="AF33" s="9"/>
      <c r="AG33" s="138" t="str">
        <f t="shared" si="5"/>
        <v/>
      </c>
      <c r="AH33" s="9"/>
      <c r="AI33" s="9"/>
      <c r="AJ33" s="138" t="str">
        <f t="shared" si="6"/>
        <v/>
      </c>
      <c r="AK33" s="9"/>
      <c r="AL33" s="9"/>
      <c r="AM33" s="138" t="str">
        <f t="shared" si="7"/>
        <v/>
      </c>
      <c r="AN33" s="17" t="s">
        <v>4</v>
      </c>
      <c r="AO33" s="2"/>
      <c r="AP33" s="9"/>
      <c r="AQ33" s="138" t="str">
        <f t="shared" si="8"/>
        <v/>
      </c>
      <c r="AR33" s="106">
        <v>56.5</v>
      </c>
      <c r="AS33" s="9">
        <v>55</v>
      </c>
      <c r="AT33" s="138">
        <f t="shared" si="9"/>
        <v>0.97345132743362828</v>
      </c>
      <c r="AU33" s="17" t="s">
        <v>4</v>
      </c>
      <c r="AV33" s="61">
        <v>1007</v>
      </c>
      <c r="AW33" s="61">
        <v>1007</v>
      </c>
      <c r="AX33" s="138">
        <f t="shared" si="10"/>
        <v>1</v>
      </c>
      <c r="AY33" s="51" t="s">
        <v>4</v>
      </c>
      <c r="AZ33" s="102">
        <v>378</v>
      </c>
      <c r="BA33" s="102">
        <v>378</v>
      </c>
      <c r="BB33" s="138">
        <f t="shared" si="11"/>
        <v>1</v>
      </c>
      <c r="BC33" s="102">
        <v>1477</v>
      </c>
      <c r="BD33" s="102">
        <v>1929</v>
      </c>
      <c r="BE33" s="138">
        <f t="shared" si="12"/>
        <v>1.3060257278266756</v>
      </c>
    </row>
    <row r="34" spans="1:95" x14ac:dyDescent="0.3">
      <c r="A34" s="17" t="s">
        <v>12</v>
      </c>
      <c r="B34" s="140" t="s">
        <v>306</v>
      </c>
      <c r="C34" s="16" t="s">
        <v>4</v>
      </c>
      <c r="D34" s="57">
        <f>$D$50*311</f>
        <v>6220</v>
      </c>
      <c r="E34" s="66">
        <v>1274</v>
      </c>
      <c r="F34" s="138">
        <f t="shared" si="0"/>
        <v>0.20482315112540192</v>
      </c>
      <c r="G34" s="16" t="s">
        <v>4</v>
      </c>
      <c r="H34" s="9">
        <f>$D$50*1230</f>
        <v>24600</v>
      </c>
      <c r="I34" s="9">
        <v>5997</v>
      </c>
      <c r="J34" s="9">
        <v>0</v>
      </c>
      <c r="K34" s="51">
        <f>(I34+(J34/$D$126))</f>
        <v>5997</v>
      </c>
      <c r="L34" s="138">
        <f t="shared" si="1"/>
        <v>0.24378048780487804</v>
      </c>
      <c r="M34" s="9">
        <f>$D$50*190.5</f>
        <v>3810</v>
      </c>
      <c r="N34" s="9">
        <v>1006</v>
      </c>
      <c r="O34" s="9">
        <v>10</v>
      </c>
      <c r="P34" s="51">
        <f>(N34+(O34/$D$126))</f>
        <v>1006.5</v>
      </c>
      <c r="Q34" s="138">
        <f t="shared" si="2"/>
        <v>0.26417322834645668</v>
      </c>
      <c r="R34" s="16" t="s">
        <v>4</v>
      </c>
      <c r="S34" s="66">
        <v>9195</v>
      </c>
      <c r="T34" s="9">
        <v>2064</v>
      </c>
      <c r="U34" s="57">
        <v>0</v>
      </c>
      <c r="V34" s="51">
        <f>(T34+(U34/$D$126))</f>
        <v>2064</v>
      </c>
      <c r="W34" s="138">
        <f t="shared" si="3"/>
        <v>0.22446982055464926</v>
      </c>
      <c r="X34" s="16" t="s">
        <v>4</v>
      </c>
      <c r="Y34" s="112">
        <v>77907.25</v>
      </c>
      <c r="Z34" s="66">
        <v>7723</v>
      </c>
      <c r="AA34" s="66">
        <v>25</v>
      </c>
      <c r="AB34" s="51">
        <f>(Z34+(AA34/$D$126))</f>
        <v>7724.25</v>
      </c>
      <c r="AC34" s="138">
        <f t="shared" si="4"/>
        <v>9.9146741798741458E-2</v>
      </c>
      <c r="AD34" s="63" t="s">
        <v>4</v>
      </c>
      <c r="AE34" s="61">
        <v>129143</v>
      </c>
      <c r="AF34" s="61">
        <v>15662</v>
      </c>
      <c r="AG34" s="138">
        <f t="shared" si="5"/>
        <v>0.12127641451724058</v>
      </c>
      <c r="AH34" s="61">
        <v>109909</v>
      </c>
      <c r="AI34" s="61">
        <v>34952</v>
      </c>
      <c r="AJ34" s="138">
        <f t="shared" si="6"/>
        <v>0.31800853433294818</v>
      </c>
      <c r="AK34" s="61">
        <v>16532</v>
      </c>
      <c r="AL34" s="61">
        <v>5564</v>
      </c>
      <c r="AM34" s="138">
        <f t="shared" si="7"/>
        <v>0.336559399951609</v>
      </c>
      <c r="AN34" s="17" t="s">
        <v>4</v>
      </c>
      <c r="AO34" s="61">
        <v>1165</v>
      </c>
      <c r="AP34" s="9">
        <v>299</v>
      </c>
      <c r="AQ34" s="138">
        <f t="shared" si="8"/>
        <v>0.25665236051502144</v>
      </c>
      <c r="AR34" s="61">
        <v>2130</v>
      </c>
      <c r="AS34" s="9">
        <v>536</v>
      </c>
      <c r="AT34" s="138">
        <f t="shared" si="9"/>
        <v>0.25164319248826289</v>
      </c>
      <c r="AU34" s="17" t="s">
        <v>4</v>
      </c>
      <c r="AV34" s="2">
        <v>3723</v>
      </c>
      <c r="AW34" s="2">
        <v>1707</v>
      </c>
      <c r="AX34" s="138">
        <f t="shared" si="10"/>
        <v>0.45850120870265915</v>
      </c>
      <c r="AZ34" s="102"/>
      <c r="BA34" s="102"/>
      <c r="BB34" s="138" t="str">
        <f t="shared" si="11"/>
        <v/>
      </c>
      <c r="BC34" s="102"/>
      <c r="BD34" s="102"/>
      <c r="BE34" s="138" t="str">
        <f t="shared" si="12"/>
        <v/>
      </c>
    </row>
    <row r="35" spans="1:95" x14ac:dyDescent="0.3">
      <c r="A35" s="9" t="s">
        <v>12</v>
      </c>
      <c r="B35" s="140" t="s">
        <v>306</v>
      </c>
      <c r="C35" s="143" t="s">
        <v>4</v>
      </c>
      <c r="D35" s="57"/>
      <c r="E35" s="66"/>
      <c r="F35" s="138" t="str">
        <f t="shared" si="0"/>
        <v/>
      </c>
      <c r="G35" s="16" t="s">
        <v>4</v>
      </c>
      <c r="H35" s="9">
        <f>$D$68*23124</f>
        <v>40467</v>
      </c>
      <c r="I35" s="9">
        <v>8360</v>
      </c>
      <c r="J35" s="9">
        <v>0</v>
      </c>
      <c r="K35" s="51">
        <f>(I35+(J35/$D$126))</f>
        <v>8360</v>
      </c>
      <c r="L35" s="138">
        <f t="shared" si="1"/>
        <v>0.20658808411792326</v>
      </c>
      <c r="M35" s="9">
        <f>$D$68*1296</f>
        <v>2268</v>
      </c>
      <c r="N35" s="9">
        <v>550</v>
      </c>
      <c r="O35" s="9">
        <v>15</v>
      </c>
      <c r="P35" s="51">
        <f>(N35+(O35/$D$126))</f>
        <v>550.75</v>
      </c>
      <c r="Q35" s="138">
        <f t="shared" si="2"/>
        <v>0.24283509700176367</v>
      </c>
      <c r="R35" s="74"/>
      <c r="S35" s="66"/>
      <c r="T35" s="9"/>
      <c r="U35" s="57"/>
      <c r="W35" s="138" t="str">
        <f t="shared" si="3"/>
        <v/>
      </c>
      <c r="X35" s="16"/>
      <c r="Y35" s="66"/>
      <c r="Z35" s="66"/>
      <c r="AA35" s="66"/>
      <c r="AB35" s="51"/>
      <c r="AC35" s="138" t="str">
        <f t="shared" si="4"/>
        <v/>
      </c>
      <c r="AD35" s="63"/>
      <c r="AE35" s="61"/>
      <c r="AF35" s="61"/>
      <c r="AG35" s="138" t="str">
        <f t="shared" si="5"/>
        <v/>
      </c>
      <c r="AH35" s="61"/>
      <c r="AI35" s="9"/>
      <c r="AJ35" s="138" t="str">
        <f t="shared" si="6"/>
        <v/>
      </c>
      <c r="AK35" s="61"/>
      <c r="AL35" s="61"/>
      <c r="AM35" s="138" t="str">
        <f t="shared" si="7"/>
        <v/>
      </c>
      <c r="AN35" s="17"/>
      <c r="AO35" s="61"/>
      <c r="AP35" s="9"/>
      <c r="AQ35" s="138" t="str">
        <f t="shared" si="8"/>
        <v/>
      </c>
      <c r="AR35" s="61"/>
      <c r="AS35" s="9"/>
      <c r="AT35" s="138" t="str">
        <f t="shared" si="9"/>
        <v/>
      </c>
      <c r="AU35" s="17"/>
      <c r="AV35" s="61"/>
      <c r="AW35" s="61"/>
      <c r="AX35" s="138" t="str">
        <f t="shared" si="10"/>
        <v/>
      </c>
      <c r="AZ35" s="102"/>
      <c r="BA35" s="102"/>
      <c r="BB35" s="138" t="str">
        <f t="shared" si="11"/>
        <v/>
      </c>
      <c r="BC35" s="102"/>
      <c r="BD35" s="102"/>
      <c r="BE35" s="138" t="str">
        <f t="shared" si="12"/>
        <v/>
      </c>
    </row>
    <row r="36" spans="1:95" x14ac:dyDescent="0.3">
      <c r="A36" s="16" t="s">
        <v>348</v>
      </c>
      <c r="B36" s="9" t="s">
        <v>308</v>
      </c>
      <c r="C36" s="143" t="s">
        <v>21</v>
      </c>
      <c r="D36" s="66">
        <f>$F$103*2080</f>
        <v>6240</v>
      </c>
      <c r="E36" s="66">
        <v>15757</v>
      </c>
      <c r="F36" s="138">
        <f t="shared" si="0"/>
        <v>2.5251602564102562</v>
      </c>
      <c r="G36" s="17" t="s">
        <v>21</v>
      </c>
      <c r="H36" s="9">
        <v>1079</v>
      </c>
      <c r="I36" s="9">
        <v>5579</v>
      </c>
      <c r="J36" s="9">
        <v>0</v>
      </c>
      <c r="K36" s="51">
        <f>(I36+(J36/$D$126))</f>
        <v>5579</v>
      </c>
      <c r="L36" s="138">
        <f t="shared" si="1"/>
        <v>5.1705282669138093</v>
      </c>
      <c r="M36" s="9">
        <v>2506</v>
      </c>
      <c r="N36" s="9">
        <v>14536</v>
      </c>
      <c r="O36" s="9">
        <v>0</v>
      </c>
      <c r="P36" s="51">
        <f>(N36+(O36/$D$126))</f>
        <v>14536</v>
      </c>
      <c r="Q36" s="138">
        <f t="shared" si="2"/>
        <v>5.8004788507581804</v>
      </c>
      <c r="R36" s="105" t="s">
        <v>21</v>
      </c>
      <c r="S36" s="57">
        <v>2018</v>
      </c>
      <c r="T36" s="9">
        <v>9858</v>
      </c>
      <c r="U36" s="66">
        <v>0</v>
      </c>
      <c r="V36" s="51">
        <f>(T36+(U36/$D$126))</f>
        <v>9858</v>
      </c>
      <c r="W36" s="138">
        <f t="shared" si="3"/>
        <v>4.8850346878097124</v>
      </c>
      <c r="X36" s="105" t="s">
        <v>21</v>
      </c>
      <c r="Y36" s="66">
        <v>2129</v>
      </c>
      <c r="Z36" s="66">
        <v>8516</v>
      </c>
      <c r="AA36" s="66">
        <v>0</v>
      </c>
      <c r="AB36" s="51">
        <f>(Z36+(AA36/$D$126))</f>
        <v>8516</v>
      </c>
      <c r="AC36" s="138">
        <f t="shared" si="4"/>
        <v>4</v>
      </c>
      <c r="AD36" s="63" t="s">
        <v>4</v>
      </c>
      <c r="AE36" s="61">
        <v>7267</v>
      </c>
      <c r="AF36" s="61">
        <v>7748</v>
      </c>
      <c r="AG36" s="138">
        <f t="shared" si="5"/>
        <v>1.0661896243291593</v>
      </c>
      <c r="AH36" s="61">
        <v>8082</v>
      </c>
      <c r="AI36" s="61">
        <v>15847</v>
      </c>
      <c r="AJ36" s="138">
        <f t="shared" si="6"/>
        <v>1.9607770353872804</v>
      </c>
      <c r="AK36" s="61">
        <v>4856</v>
      </c>
      <c r="AL36" s="61">
        <v>9714</v>
      </c>
      <c r="AM36" s="138">
        <f t="shared" si="7"/>
        <v>2.0004118616144977</v>
      </c>
      <c r="AN36" s="17" t="s">
        <v>4</v>
      </c>
      <c r="AO36" s="61">
        <v>5001</v>
      </c>
      <c r="AP36" s="61">
        <v>10002</v>
      </c>
      <c r="AQ36" s="138">
        <f t="shared" si="8"/>
        <v>2</v>
      </c>
      <c r="AR36" s="61">
        <v>4712</v>
      </c>
      <c r="AS36" s="61">
        <v>9560</v>
      </c>
      <c r="AT36" s="138">
        <f t="shared" si="9"/>
        <v>2.0288624787775893</v>
      </c>
      <c r="AU36" s="17" t="s">
        <v>4</v>
      </c>
      <c r="AV36" s="61">
        <v>5895</v>
      </c>
      <c r="AW36" s="61">
        <v>11890</v>
      </c>
      <c r="AX36" s="138">
        <f t="shared" si="10"/>
        <v>2.01696352841391</v>
      </c>
      <c r="AY36" s="51" t="s">
        <v>4</v>
      </c>
      <c r="AZ36" s="102">
        <v>8391</v>
      </c>
      <c r="BA36" s="102">
        <v>16782</v>
      </c>
      <c r="BB36" s="138">
        <f t="shared" si="11"/>
        <v>2</v>
      </c>
      <c r="BC36" s="102">
        <v>4029</v>
      </c>
      <c r="BD36" s="102">
        <v>5346</v>
      </c>
      <c r="BE36" s="138">
        <f t="shared" si="12"/>
        <v>1.326880119136262</v>
      </c>
    </row>
    <row r="37" spans="1:95" x14ac:dyDescent="0.3">
      <c r="B37" s="17"/>
      <c r="C37" s="74"/>
      <c r="D37" s="74"/>
      <c r="N37" s="17"/>
      <c r="O37" s="51"/>
      <c r="S37" s="16"/>
      <c r="T37" s="51"/>
      <c r="V37" s="17"/>
      <c r="X37" s="51"/>
      <c r="Y37" s="17"/>
      <c r="AD37" s="51"/>
      <c r="AO37" s="2"/>
      <c r="AP37" s="2"/>
      <c r="AS37" s="102"/>
      <c r="AU37" s="102"/>
      <c r="AV37" s="102"/>
      <c r="AW37" s="102"/>
    </row>
    <row r="38" spans="1:95" x14ac:dyDescent="0.3">
      <c r="B38" s="17"/>
      <c r="C38" s="64"/>
      <c r="D38" s="74"/>
      <c r="N38" s="17"/>
      <c r="O38" s="51"/>
      <c r="S38" s="16"/>
      <c r="T38" s="51"/>
      <c r="V38" s="17"/>
      <c r="X38" s="51"/>
      <c r="Y38" s="17"/>
      <c r="AD38" s="51"/>
      <c r="AO38" s="2"/>
      <c r="AP38" s="2"/>
      <c r="AS38" s="102"/>
      <c r="AU38" s="102"/>
      <c r="AV38" s="102"/>
      <c r="AW38" s="102"/>
    </row>
    <row r="39" spans="1:95" x14ac:dyDescent="0.3">
      <c r="A39" s="1" t="s">
        <v>99</v>
      </c>
      <c r="B39" s="2"/>
      <c r="G39" s="3"/>
      <c r="H39" s="2"/>
      <c r="K39" s="3"/>
      <c r="L39" s="3"/>
      <c r="O39" s="2"/>
      <c r="P39" s="3"/>
      <c r="Q39" s="3"/>
      <c r="T39" s="51"/>
      <c r="U39" s="3"/>
      <c r="W39" s="3"/>
      <c r="X39" s="51"/>
      <c r="Z39" s="3"/>
      <c r="AA39" s="51"/>
      <c r="AB39" s="51"/>
      <c r="AC39" s="3"/>
      <c r="AD39" s="3"/>
      <c r="AE39" s="2"/>
      <c r="AH39" s="3"/>
      <c r="AN39" s="3"/>
      <c r="AR39" s="3"/>
      <c r="AW39" s="3"/>
      <c r="AZ39" s="4"/>
      <c r="BC39" s="3"/>
      <c r="BF39" s="2"/>
      <c r="BH39" s="3"/>
      <c r="BL39" s="3"/>
      <c r="BP39" s="3"/>
      <c r="BS39" s="3"/>
      <c r="BW39" s="3"/>
      <c r="BZ39" s="3"/>
      <c r="CD39" s="3"/>
      <c r="CG39" s="3"/>
      <c r="CJ39" s="3"/>
      <c r="CN39" s="3"/>
      <c r="CQ39" s="3"/>
    </row>
    <row r="40" spans="1:95" s="2" customFormat="1" x14ac:dyDescent="0.3">
      <c r="A40" s="2" t="s">
        <v>100</v>
      </c>
      <c r="B40" s="2">
        <v>1</v>
      </c>
      <c r="C40" s="3" t="s">
        <v>101</v>
      </c>
      <c r="D40" s="95">
        <v>108</v>
      </c>
      <c r="E40" s="3" t="s">
        <v>102</v>
      </c>
      <c r="H40" s="95"/>
      <c r="I40" s="3"/>
      <c r="L40" s="5"/>
      <c r="N40" s="3"/>
      <c r="Q40" s="95"/>
      <c r="R40" s="4"/>
      <c r="S40" s="3"/>
      <c r="T40" s="12"/>
      <c r="W40" s="95"/>
      <c r="X40" s="3"/>
      <c r="AA40" s="3"/>
      <c r="AD40" s="95"/>
      <c r="AE40" s="3"/>
      <c r="AF40" s="3"/>
      <c r="AI40" s="3"/>
      <c r="AK40" s="3"/>
      <c r="AL40" s="3"/>
      <c r="AN40" s="95"/>
      <c r="AO40" s="3"/>
      <c r="AP40" s="3"/>
      <c r="AS40" s="3"/>
      <c r="AT40" s="95"/>
      <c r="AU40" s="3"/>
      <c r="AW40" s="3"/>
      <c r="AY40" s="95"/>
      <c r="AZ40" s="3"/>
      <c r="BA40" s="3"/>
      <c r="BD40" s="3"/>
      <c r="BE40" s="95"/>
      <c r="BF40" s="3"/>
      <c r="BI40" s="95"/>
      <c r="BJ40" s="3"/>
      <c r="BM40" s="95"/>
      <c r="BN40" s="3"/>
      <c r="BQ40" s="3"/>
      <c r="BS40" s="95"/>
      <c r="BU40" s="3"/>
      <c r="BW40" s="95"/>
      <c r="BX40" s="3"/>
      <c r="CB40" s="3"/>
      <c r="CE40" s="3"/>
      <c r="CH40" s="3"/>
      <c r="CL40" s="3"/>
      <c r="CO40" s="3"/>
    </row>
    <row r="41" spans="1:95" s="2" customFormat="1" x14ac:dyDescent="0.3">
      <c r="A41" s="2" t="s">
        <v>100</v>
      </c>
      <c r="B41" s="2">
        <v>1</v>
      </c>
      <c r="C41" s="3" t="s">
        <v>103</v>
      </c>
      <c r="D41" s="95">
        <v>32.5</v>
      </c>
      <c r="E41" s="3" t="s">
        <v>102</v>
      </c>
      <c r="H41" s="95"/>
      <c r="I41" s="3"/>
      <c r="N41" s="3"/>
      <c r="O41" s="51"/>
      <c r="Q41" s="95"/>
      <c r="S41" s="3"/>
      <c r="T41" s="12"/>
      <c r="W41" s="95"/>
      <c r="X41" s="3"/>
      <c r="AA41" s="3"/>
      <c r="AD41" s="95"/>
      <c r="AE41" s="3"/>
      <c r="AF41" s="3"/>
      <c r="AI41" s="3"/>
      <c r="AK41" s="3"/>
      <c r="AL41" s="3"/>
      <c r="AN41" s="95"/>
      <c r="AO41" s="3"/>
      <c r="AP41" s="3"/>
      <c r="AS41" s="3"/>
      <c r="AT41" s="95"/>
      <c r="AU41" s="3"/>
      <c r="AW41" s="3"/>
      <c r="AY41" s="95"/>
      <c r="AZ41" s="3"/>
      <c r="BA41" s="3"/>
      <c r="BD41" s="3"/>
      <c r="BE41" s="95"/>
      <c r="BF41" s="3"/>
      <c r="BI41" s="95"/>
      <c r="BJ41" s="3"/>
      <c r="BM41" s="95"/>
      <c r="BN41" s="3"/>
      <c r="BQ41" s="3"/>
      <c r="BS41" s="95"/>
      <c r="BU41" s="3"/>
      <c r="BW41" s="95"/>
      <c r="BX41" s="3"/>
      <c r="CB41" s="3"/>
      <c r="CE41" s="3"/>
      <c r="CH41" s="3"/>
      <c r="CL41" s="3"/>
      <c r="CO41" s="3"/>
    </row>
    <row r="42" spans="1:95" x14ac:dyDescent="0.3">
      <c r="A42" s="2"/>
      <c r="B42" s="2">
        <v>1</v>
      </c>
      <c r="C42" s="3" t="s">
        <v>104</v>
      </c>
      <c r="D42" s="95">
        <v>6.5</v>
      </c>
      <c r="E42" s="6" t="s">
        <v>102</v>
      </c>
      <c r="F42" s="2"/>
      <c r="G42" s="3"/>
      <c r="H42" s="95"/>
      <c r="I42" s="3"/>
      <c r="J42" s="3"/>
      <c r="K42" s="3"/>
      <c r="L42" s="95"/>
      <c r="M42" s="3"/>
      <c r="N42" s="3"/>
      <c r="O42" s="51"/>
      <c r="P42" s="3"/>
      <c r="Q42" s="95"/>
      <c r="S42" s="3"/>
      <c r="T42" s="51"/>
      <c r="V42" s="3"/>
      <c r="W42" s="95"/>
      <c r="X42" s="3"/>
      <c r="Z42" s="12"/>
      <c r="AA42" s="3"/>
      <c r="AB42" s="3"/>
      <c r="AD42" s="95"/>
      <c r="AE42" s="3"/>
      <c r="AF42" s="6"/>
      <c r="AI42" s="6"/>
      <c r="AK42" s="3"/>
      <c r="AL42" s="6"/>
      <c r="AN42" s="95"/>
      <c r="AO42" s="3"/>
      <c r="AP42" s="6"/>
      <c r="AS42" s="6"/>
      <c r="AT42" s="95"/>
      <c r="AU42" s="3"/>
      <c r="AW42" s="6"/>
      <c r="AY42" s="95"/>
      <c r="AZ42" s="3"/>
      <c r="BA42" s="6"/>
      <c r="BD42" s="6"/>
      <c r="BE42" s="95"/>
      <c r="BF42" s="3"/>
      <c r="BI42" s="95"/>
      <c r="BJ42" s="3"/>
      <c r="BM42" s="95"/>
      <c r="BN42" s="3"/>
      <c r="BQ42" s="3"/>
      <c r="BS42" s="95"/>
      <c r="BU42" s="3"/>
      <c r="BW42" s="95"/>
      <c r="BX42" s="3"/>
      <c r="CB42" s="3"/>
      <c r="CE42" s="3"/>
      <c r="CH42" s="3"/>
      <c r="CL42" s="3"/>
      <c r="CO42" s="3"/>
    </row>
    <row r="43" spans="1:95" x14ac:dyDescent="0.3">
      <c r="A43" s="2"/>
      <c r="B43" s="2">
        <v>1</v>
      </c>
      <c r="C43" s="3" t="s">
        <v>105</v>
      </c>
      <c r="D43" s="95">
        <v>112</v>
      </c>
      <c r="E43" s="3" t="s">
        <v>106</v>
      </c>
      <c r="F43" s="2"/>
      <c r="G43" s="3"/>
      <c r="H43" s="95"/>
      <c r="I43" s="3"/>
      <c r="J43" s="3"/>
      <c r="K43" s="3"/>
      <c r="L43" s="95"/>
      <c r="M43" s="3"/>
      <c r="N43" s="3"/>
      <c r="O43" s="51"/>
      <c r="P43" s="3"/>
      <c r="Q43" s="95"/>
      <c r="S43" s="3"/>
      <c r="T43" s="51"/>
      <c r="V43" s="3"/>
      <c r="W43" s="95"/>
      <c r="X43" s="3"/>
      <c r="Z43" s="12"/>
      <c r="AA43" s="3"/>
      <c r="AB43" s="3"/>
      <c r="AD43" s="95"/>
      <c r="AE43" s="3"/>
      <c r="AF43" s="3"/>
      <c r="AI43" s="3"/>
      <c r="AK43" s="3"/>
      <c r="AL43" s="3"/>
      <c r="AN43" s="95"/>
      <c r="AO43" s="3"/>
      <c r="AP43" s="3"/>
      <c r="AS43" s="3"/>
      <c r="AT43" s="95"/>
      <c r="AU43" s="3"/>
      <c r="AW43" s="3"/>
      <c r="AY43" s="95"/>
      <c r="AZ43" s="3"/>
      <c r="BA43" s="3"/>
      <c r="BD43" s="3"/>
      <c r="BE43" s="95"/>
      <c r="BF43" s="3"/>
      <c r="BI43" s="95"/>
      <c r="BJ43" s="3"/>
      <c r="BM43" s="95"/>
      <c r="BN43" s="3"/>
      <c r="BQ43" s="3"/>
      <c r="BS43" s="95"/>
      <c r="BU43" s="3"/>
      <c r="BW43" s="95"/>
      <c r="BX43" s="3"/>
      <c r="CB43" s="3"/>
      <c r="CE43" s="3"/>
      <c r="CH43" s="3"/>
      <c r="CL43" s="3"/>
      <c r="CO43" s="3"/>
    </row>
    <row r="44" spans="1:95" x14ac:dyDescent="0.3">
      <c r="A44" s="2"/>
      <c r="B44" s="2">
        <v>1</v>
      </c>
      <c r="C44" s="3" t="s">
        <v>105</v>
      </c>
      <c r="D44" s="95">
        <f>D43/D42</f>
        <v>17.23076923076923</v>
      </c>
      <c r="E44" s="3" t="s">
        <v>104</v>
      </c>
      <c r="F44" s="2"/>
      <c r="G44" s="95"/>
      <c r="H44" s="95"/>
      <c r="I44" s="3"/>
      <c r="J44" s="95"/>
      <c r="K44" s="95"/>
      <c r="M44" s="95"/>
      <c r="N44" s="3"/>
      <c r="O44" s="51"/>
      <c r="P44" s="95"/>
      <c r="Q44" s="95"/>
      <c r="R44" s="95"/>
      <c r="S44" s="3"/>
      <c r="T44" s="51"/>
      <c r="V44" s="95"/>
      <c r="W44" s="95"/>
      <c r="X44" s="3"/>
      <c r="Y44" s="12"/>
      <c r="Z44" s="2"/>
      <c r="AA44" s="3"/>
      <c r="AB44" s="95"/>
      <c r="AD44" s="95"/>
      <c r="AE44" s="3"/>
      <c r="AF44" s="3"/>
      <c r="AI44" s="3"/>
      <c r="AK44" s="3"/>
      <c r="AL44" s="3"/>
      <c r="AN44" s="95"/>
      <c r="AO44" s="3"/>
      <c r="AP44" s="3"/>
      <c r="AS44" s="3"/>
      <c r="AT44" s="95"/>
      <c r="AU44" s="3"/>
      <c r="AW44" s="3"/>
      <c r="AX44" s="12"/>
      <c r="AY44" s="95"/>
      <c r="AZ44" s="3"/>
      <c r="BA44" s="3"/>
      <c r="BD44" s="3"/>
      <c r="BE44" s="95"/>
      <c r="BF44" s="3"/>
      <c r="BI44" s="95"/>
      <c r="BJ44" s="3"/>
      <c r="BM44" s="95"/>
      <c r="BN44" s="3"/>
      <c r="BQ44" s="3"/>
      <c r="BS44" s="95"/>
      <c r="BU44" s="3"/>
      <c r="BW44" s="95"/>
      <c r="BX44" s="3"/>
      <c r="CB44" s="3"/>
      <c r="CE44" s="3"/>
      <c r="CH44" s="3"/>
      <c r="CL44" s="3"/>
      <c r="CO44" s="3"/>
    </row>
    <row r="45" spans="1:95" s="2" customFormat="1" ht="15" customHeight="1" x14ac:dyDescent="0.3">
      <c r="B45" s="154">
        <v>1</v>
      </c>
      <c r="C45" s="155" t="s">
        <v>107</v>
      </c>
      <c r="D45" s="156">
        <v>130</v>
      </c>
      <c r="E45" s="157" t="s">
        <v>102</v>
      </c>
      <c r="F45" s="7"/>
      <c r="G45" s="8"/>
      <c r="H45" s="96"/>
      <c r="I45" s="3"/>
      <c r="J45" s="8"/>
      <c r="K45" s="8"/>
      <c r="L45" s="8"/>
      <c r="M45" s="8"/>
      <c r="N45" s="3"/>
      <c r="O45" s="8"/>
      <c r="P45" s="8"/>
      <c r="Q45" s="96"/>
      <c r="R45" s="8"/>
      <c r="S45" s="3"/>
      <c r="T45" s="8"/>
      <c r="U45" s="8"/>
      <c r="V45" s="8"/>
      <c r="W45" s="96"/>
      <c r="X45" s="3"/>
      <c r="Y45" s="8"/>
      <c r="AA45" s="3"/>
      <c r="AB45" s="8"/>
      <c r="AD45" s="96"/>
      <c r="AE45" s="3"/>
      <c r="AF45" s="10"/>
      <c r="AI45" s="10"/>
      <c r="AK45" s="3"/>
      <c r="AL45" s="10"/>
      <c r="AN45" s="96"/>
      <c r="AO45" s="3"/>
      <c r="AP45" s="10"/>
      <c r="AS45" s="10"/>
      <c r="AT45" s="96"/>
      <c r="AU45" s="3"/>
      <c r="AW45" s="10"/>
      <c r="AY45" s="96"/>
      <c r="AZ45" s="3"/>
      <c r="BA45" s="10"/>
      <c r="BD45" s="10"/>
      <c r="BE45" s="96"/>
      <c r="BF45" s="3"/>
      <c r="BI45" s="96"/>
      <c r="BJ45" s="3"/>
      <c r="BM45" s="96"/>
      <c r="BN45" s="3"/>
      <c r="BQ45" s="3"/>
      <c r="BS45" s="96"/>
      <c r="BU45" s="3"/>
      <c r="BW45" s="96"/>
      <c r="BX45" s="3"/>
      <c r="CB45" s="3"/>
      <c r="CE45" s="3"/>
      <c r="CH45" s="3"/>
      <c r="CL45" s="3"/>
      <c r="CO45" s="3"/>
    </row>
    <row r="46" spans="1:95" s="2" customFormat="1" ht="28.8" customHeight="1" x14ac:dyDescent="0.3">
      <c r="B46" s="154"/>
      <c r="C46" s="155"/>
      <c r="D46" s="156"/>
      <c r="E46" s="157"/>
      <c r="H46" s="96"/>
      <c r="I46" s="51"/>
      <c r="N46" s="51"/>
      <c r="Q46" s="96"/>
      <c r="S46" s="51"/>
      <c r="W46" s="96"/>
      <c r="X46" s="51"/>
      <c r="AA46" s="51"/>
      <c r="AD46" s="96"/>
      <c r="AE46" s="51"/>
      <c r="AF46" s="10"/>
      <c r="AI46" s="10"/>
      <c r="AK46" s="51"/>
      <c r="AL46" s="10"/>
      <c r="AN46" s="96"/>
      <c r="AO46" s="51"/>
      <c r="AP46" s="10"/>
      <c r="AS46" s="10"/>
      <c r="AT46" s="96"/>
      <c r="AU46" s="51"/>
      <c r="AW46" s="10"/>
      <c r="AY46" s="96"/>
      <c r="AZ46" s="51"/>
      <c r="BA46" s="10"/>
      <c r="BD46" s="10"/>
      <c r="BE46" s="96"/>
      <c r="BF46" s="51"/>
      <c r="BI46" s="96"/>
      <c r="BJ46" s="51"/>
      <c r="BM46" s="96"/>
      <c r="BN46" s="51"/>
      <c r="BQ46" s="51"/>
      <c r="BS46" s="96"/>
      <c r="BU46" s="51"/>
      <c r="BW46" s="96"/>
      <c r="BX46" s="51"/>
      <c r="CB46" s="51"/>
      <c r="CE46" s="51"/>
      <c r="CH46" s="51"/>
      <c r="CL46" s="51"/>
      <c r="CO46" s="51"/>
    </row>
    <row r="47" spans="1:95" s="2" customFormat="1" x14ac:dyDescent="0.3">
      <c r="B47" s="9">
        <v>1</v>
      </c>
      <c r="C47" s="3" t="s">
        <v>108</v>
      </c>
      <c r="D47" s="95">
        <v>260</v>
      </c>
      <c r="E47" s="3" t="s">
        <v>102</v>
      </c>
      <c r="H47" s="95"/>
      <c r="I47" s="3"/>
      <c r="N47" s="3"/>
      <c r="Q47" s="95"/>
      <c r="S47" s="3"/>
      <c r="W47" s="95"/>
      <c r="X47" s="3"/>
      <c r="AA47" s="3"/>
      <c r="AD47" s="95"/>
      <c r="AE47" s="3"/>
      <c r="AF47" s="3"/>
      <c r="AI47" s="3"/>
      <c r="AK47" s="3"/>
      <c r="AL47" s="3"/>
      <c r="AN47" s="95"/>
      <c r="AO47" s="3"/>
      <c r="AP47" s="3"/>
      <c r="AS47" s="3"/>
      <c r="AT47" s="95"/>
      <c r="AU47" s="3"/>
      <c r="AW47" s="3"/>
      <c r="AY47" s="95"/>
      <c r="AZ47" s="3"/>
      <c r="BA47" s="3"/>
      <c r="BD47" s="3"/>
      <c r="BE47" s="95"/>
      <c r="BF47" s="3"/>
      <c r="BI47" s="95"/>
      <c r="BJ47" s="3"/>
      <c r="BM47" s="95"/>
      <c r="BN47" s="3"/>
      <c r="BQ47" s="3"/>
      <c r="BS47" s="95"/>
      <c r="BU47" s="3"/>
      <c r="BW47" s="95"/>
      <c r="BX47" s="3"/>
      <c r="CB47" s="3"/>
      <c r="CE47" s="3"/>
      <c r="CH47" s="3"/>
      <c r="CL47" s="3"/>
      <c r="CO47" s="3"/>
    </row>
    <row r="48" spans="1:95" s="2" customFormat="1" x14ac:dyDescent="0.3">
      <c r="B48" s="9">
        <v>1</v>
      </c>
      <c r="C48" s="3" t="s">
        <v>352</v>
      </c>
      <c r="D48" s="95">
        <f>D45/D43</f>
        <v>1.1607142857142858</v>
      </c>
      <c r="E48" s="3" t="s">
        <v>109</v>
      </c>
      <c r="H48" s="95"/>
      <c r="I48" s="3"/>
      <c r="N48" s="3"/>
      <c r="Q48" s="95"/>
      <c r="S48" s="3"/>
      <c r="W48" s="95"/>
      <c r="X48" s="3"/>
      <c r="AA48" s="3"/>
      <c r="AD48" s="95"/>
      <c r="AE48" s="3"/>
      <c r="AF48" s="3"/>
      <c r="AI48" s="3"/>
      <c r="AK48" s="3"/>
      <c r="AL48" s="3"/>
      <c r="AN48" s="95"/>
      <c r="AO48" s="3"/>
      <c r="AP48" s="3"/>
      <c r="AS48" s="3"/>
      <c r="AT48" s="95"/>
      <c r="AU48" s="3"/>
      <c r="AW48" s="3"/>
      <c r="AY48" s="95"/>
      <c r="AZ48" s="3"/>
      <c r="BA48" s="3"/>
      <c r="BD48" s="3"/>
      <c r="BE48" s="95"/>
      <c r="BF48" s="3"/>
      <c r="BI48" s="95"/>
      <c r="BJ48" s="3"/>
      <c r="BM48" s="95"/>
      <c r="BN48" s="3"/>
      <c r="BQ48" s="3"/>
      <c r="BS48" s="95"/>
      <c r="BU48" s="3"/>
      <c r="BW48" s="95"/>
      <c r="BX48" s="3"/>
      <c r="CB48" s="3"/>
      <c r="CE48" s="3"/>
      <c r="CH48" s="3"/>
      <c r="CL48" s="3"/>
      <c r="CO48" s="3"/>
    </row>
    <row r="49" spans="1:93" s="2" customFormat="1" x14ac:dyDescent="0.3">
      <c r="B49" s="9">
        <v>1</v>
      </c>
      <c r="C49" s="3" t="s">
        <v>108</v>
      </c>
      <c r="D49" s="95">
        <f>D47/D43</f>
        <v>2.3214285714285716</v>
      </c>
      <c r="E49" s="3" t="s">
        <v>109</v>
      </c>
      <c r="H49" s="95"/>
      <c r="I49" s="3"/>
      <c r="N49" s="3"/>
      <c r="Q49" s="95"/>
      <c r="S49" s="3"/>
      <c r="W49" s="95"/>
      <c r="X49" s="3"/>
      <c r="AA49" s="3"/>
      <c r="AD49" s="95"/>
      <c r="AE49" s="3"/>
      <c r="AF49" s="3"/>
      <c r="AI49" s="3"/>
      <c r="AK49" s="3"/>
      <c r="AL49" s="3"/>
      <c r="AN49" s="95"/>
      <c r="AO49" s="3"/>
      <c r="AP49" s="3"/>
      <c r="AS49" s="3"/>
      <c r="AT49" s="95"/>
      <c r="AU49" s="3"/>
      <c r="AW49" s="3"/>
      <c r="AY49" s="95"/>
      <c r="AZ49" s="3"/>
      <c r="BA49" s="3"/>
      <c r="BD49" s="3"/>
      <c r="BE49" s="95"/>
      <c r="BF49" s="3"/>
      <c r="BI49" s="95"/>
      <c r="BJ49" s="3"/>
      <c r="BM49" s="95"/>
      <c r="BN49" s="3"/>
      <c r="BQ49" s="3"/>
      <c r="BS49" s="95"/>
      <c r="BU49" s="3"/>
      <c r="BW49" s="95"/>
      <c r="BX49" s="3"/>
      <c r="CB49" s="3"/>
      <c r="CE49" s="3"/>
      <c r="CH49" s="3"/>
      <c r="CL49" s="3"/>
      <c r="CO49" s="3"/>
    </row>
    <row r="50" spans="1:93" x14ac:dyDescent="0.3">
      <c r="A50" s="2"/>
      <c r="B50" s="9">
        <v>1</v>
      </c>
      <c r="C50" s="3" t="s">
        <v>299</v>
      </c>
      <c r="D50" s="95">
        <v>20</v>
      </c>
      <c r="E50" s="3" t="s">
        <v>109</v>
      </c>
      <c r="F50" s="97">
        <f>D50*D43</f>
        <v>2240</v>
      </c>
      <c r="G50" s="3" t="s">
        <v>102</v>
      </c>
      <c r="H50" s="97">
        <f>F50/D52</f>
        <v>420</v>
      </c>
      <c r="I50" s="11" t="s">
        <v>111</v>
      </c>
      <c r="J50" s="97">
        <f>F50/D51</f>
        <v>1016.048117135833</v>
      </c>
      <c r="K50" s="3" t="s">
        <v>112</v>
      </c>
      <c r="L50" s="10"/>
      <c r="N50" s="11"/>
      <c r="O50" s="51"/>
      <c r="Q50" s="10"/>
      <c r="T50" s="11"/>
      <c r="V50" s="10"/>
      <c r="X50" s="2"/>
      <c r="Y50" s="10"/>
      <c r="Z50" s="11"/>
      <c r="AA50" s="51"/>
      <c r="AB50" s="51"/>
      <c r="AC50" s="10"/>
      <c r="AD50" s="3"/>
      <c r="AE50" s="12"/>
      <c r="AF50" s="12"/>
      <c r="AG50" s="3"/>
      <c r="AI50" s="10"/>
      <c r="AJ50" s="3"/>
      <c r="AM50" s="10"/>
      <c r="AN50" s="3"/>
      <c r="AQ50" s="3"/>
      <c r="AS50" s="10"/>
      <c r="AU50" s="3"/>
      <c r="AX50" s="10"/>
      <c r="AY50" s="3"/>
      <c r="BB50" s="3"/>
      <c r="BD50" s="10"/>
      <c r="BE50" s="12"/>
      <c r="BH50" s="10"/>
      <c r="BL50" s="10"/>
      <c r="BO50" s="10"/>
      <c r="BS50" s="10"/>
      <c r="BV50" s="10"/>
      <c r="BZ50" s="10"/>
      <c r="CC50" s="10"/>
      <c r="CF50" s="10"/>
      <c r="CJ50" s="10"/>
      <c r="CM50" s="10"/>
    </row>
    <row r="51" spans="1:93" x14ac:dyDescent="0.3">
      <c r="A51" s="2"/>
      <c r="B51" s="9">
        <v>1</v>
      </c>
      <c r="C51" s="3" t="s">
        <v>113</v>
      </c>
      <c r="D51" s="95">
        <v>2.2046199999999998</v>
      </c>
      <c r="E51" s="3" t="s">
        <v>102</v>
      </c>
      <c r="F51" s="97">
        <f>D51/D43</f>
        <v>1.9684107142857142E-2</v>
      </c>
      <c r="G51" s="11" t="s">
        <v>109</v>
      </c>
      <c r="I51" s="12"/>
      <c r="J51" s="12"/>
      <c r="L51" s="10"/>
      <c r="N51" s="12"/>
      <c r="O51" s="51"/>
      <c r="Q51" s="10"/>
      <c r="T51" s="12"/>
      <c r="V51" s="10"/>
      <c r="X51" s="2"/>
      <c r="Y51" s="10"/>
      <c r="Z51" s="12"/>
      <c r="AA51" s="51"/>
      <c r="AB51" s="51"/>
      <c r="AC51" s="10"/>
      <c r="AD51" s="3"/>
      <c r="AE51" s="12"/>
      <c r="AF51" s="12"/>
      <c r="AG51" s="3"/>
      <c r="AI51" s="10"/>
      <c r="AJ51" s="3"/>
      <c r="AM51" s="10"/>
      <c r="AN51" s="3"/>
      <c r="AQ51" s="3"/>
      <c r="AS51" s="10"/>
      <c r="AU51" s="3"/>
      <c r="AX51" s="10"/>
      <c r="AY51" s="3"/>
      <c r="BB51" s="3"/>
      <c r="BD51" s="10"/>
      <c r="BE51" s="12"/>
      <c r="BH51" s="10"/>
      <c r="BL51" s="10"/>
      <c r="BO51" s="10"/>
      <c r="BS51" s="10"/>
      <c r="BV51" s="10"/>
      <c r="BZ51" s="10"/>
      <c r="CC51" s="10"/>
      <c r="CF51" s="10"/>
      <c r="CJ51" s="10"/>
      <c r="CM51" s="10"/>
    </row>
    <row r="52" spans="1:93" x14ac:dyDescent="0.3">
      <c r="A52" s="2"/>
      <c r="B52" s="9">
        <v>1</v>
      </c>
      <c r="C52" s="3" t="s">
        <v>114</v>
      </c>
      <c r="D52" s="95">
        <f>16/3</f>
        <v>5.333333333333333</v>
      </c>
      <c r="E52" s="3" t="s">
        <v>102</v>
      </c>
      <c r="F52" s="97">
        <f>D52/D43</f>
        <v>4.7619047619047616E-2</v>
      </c>
      <c r="G52" s="11" t="s">
        <v>109</v>
      </c>
      <c r="I52" s="12"/>
      <c r="J52" s="12"/>
      <c r="L52" s="3"/>
      <c r="N52" s="12"/>
      <c r="O52" s="51"/>
      <c r="Q52" s="3"/>
      <c r="T52" s="12"/>
      <c r="V52" s="3"/>
      <c r="X52" s="2"/>
      <c r="Y52" s="3"/>
      <c r="Z52" s="12"/>
      <c r="AA52" s="51"/>
      <c r="AB52" s="51"/>
      <c r="AC52" s="3"/>
      <c r="AD52" s="3"/>
      <c r="AE52" s="12"/>
      <c r="AF52" s="12"/>
      <c r="AG52" s="3"/>
      <c r="AI52" s="3"/>
      <c r="AJ52" s="3"/>
      <c r="AM52" s="3"/>
      <c r="AN52" s="3"/>
      <c r="AQ52" s="3"/>
      <c r="AS52" s="3"/>
      <c r="AU52" s="3"/>
      <c r="AX52" s="3"/>
      <c r="AY52" s="3"/>
      <c r="BB52" s="3"/>
      <c r="BD52" s="3"/>
      <c r="BE52" s="12"/>
      <c r="BH52" s="3"/>
      <c r="BL52" s="3"/>
      <c r="BO52" s="3"/>
      <c r="BS52" s="3"/>
      <c r="BV52" s="3"/>
      <c r="BZ52" s="3"/>
      <c r="CC52" s="3"/>
      <c r="CF52" s="3"/>
      <c r="CJ52" s="3"/>
      <c r="CM52" s="3"/>
    </row>
    <row r="53" spans="1:93" x14ac:dyDescent="0.3">
      <c r="A53" s="2"/>
      <c r="B53" s="9">
        <v>1</v>
      </c>
      <c r="C53" s="3" t="s">
        <v>115</v>
      </c>
      <c r="D53" s="95">
        <v>100</v>
      </c>
      <c r="E53" s="3" t="s">
        <v>114</v>
      </c>
      <c r="F53" s="97">
        <f>D53*F52</f>
        <v>4.7619047619047619</v>
      </c>
      <c r="G53" s="11" t="s">
        <v>109</v>
      </c>
      <c r="H53" s="95">
        <f>F53/D50</f>
        <v>0.23809523809523808</v>
      </c>
      <c r="I53" s="11" t="s">
        <v>116</v>
      </c>
      <c r="J53" s="12"/>
      <c r="L53" s="3"/>
      <c r="N53" s="11"/>
      <c r="O53" s="51"/>
      <c r="Q53" s="3"/>
      <c r="T53" s="11"/>
      <c r="V53" s="3"/>
      <c r="X53" s="2"/>
      <c r="Y53" s="3"/>
      <c r="Z53" s="11"/>
      <c r="AA53" s="51"/>
      <c r="AB53" s="51"/>
      <c r="AC53" s="3"/>
      <c r="AD53" s="3"/>
      <c r="AE53" s="12"/>
      <c r="AF53" s="12"/>
      <c r="AG53" s="3"/>
      <c r="AI53" s="3"/>
      <c r="AJ53" s="3"/>
      <c r="AM53" s="3"/>
      <c r="AN53" s="3"/>
      <c r="AQ53" s="3"/>
      <c r="AS53" s="3"/>
      <c r="AU53" s="3"/>
      <c r="AX53" s="3"/>
      <c r="AY53" s="3"/>
      <c r="BB53" s="3"/>
      <c r="BD53" s="3"/>
      <c r="BE53" s="12"/>
      <c r="BH53" s="3"/>
      <c r="BL53" s="3"/>
      <c r="BO53" s="3"/>
      <c r="BS53" s="3"/>
      <c r="BV53" s="3"/>
      <c r="BZ53" s="3"/>
      <c r="CC53" s="3"/>
      <c r="CF53" s="3"/>
      <c r="CJ53" s="3"/>
      <c r="CM53" s="3"/>
    </row>
    <row r="54" spans="1:93" x14ac:dyDescent="0.3">
      <c r="A54" s="2"/>
      <c r="B54" s="9">
        <v>1</v>
      </c>
      <c r="C54" s="3" t="s">
        <v>117</v>
      </c>
      <c r="D54" s="95">
        <f>D43/D52</f>
        <v>21</v>
      </c>
      <c r="E54" s="3" t="s">
        <v>114</v>
      </c>
      <c r="F54" s="97"/>
      <c r="G54" s="11"/>
      <c r="I54" s="3"/>
      <c r="J54" s="12"/>
      <c r="K54" s="12"/>
      <c r="L54" s="12"/>
      <c r="N54" s="3"/>
      <c r="O54" s="51"/>
      <c r="P54" s="12"/>
      <c r="S54" s="3"/>
      <c r="T54" s="51"/>
      <c r="V54" s="12"/>
      <c r="X54" s="3"/>
      <c r="Z54" s="2"/>
      <c r="AA54" s="3"/>
      <c r="AB54" s="12"/>
      <c r="AD54" s="51"/>
      <c r="AE54" s="3"/>
      <c r="AF54" s="3"/>
      <c r="AG54" s="12"/>
      <c r="AH54" s="12"/>
      <c r="AI54" s="3"/>
      <c r="AK54" s="3"/>
      <c r="AL54" s="3"/>
      <c r="AO54" s="3"/>
      <c r="AP54" s="3"/>
      <c r="AS54" s="3"/>
      <c r="AU54" s="3"/>
      <c r="AW54" s="3"/>
      <c r="AZ54" s="3"/>
      <c r="BA54" s="3"/>
      <c r="BD54" s="3"/>
      <c r="BF54" s="3"/>
      <c r="BG54" s="12"/>
      <c r="BJ54" s="3"/>
      <c r="BN54" s="3"/>
      <c r="BQ54" s="3"/>
      <c r="BU54" s="3"/>
      <c r="BX54" s="3"/>
      <c r="CB54" s="3"/>
      <c r="CE54" s="3"/>
      <c r="CH54" s="3"/>
      <c r="CL54" s="3"/>
      <c r="CO54" s="3"/>
    </row>
    <row r="55" spans="1:93" x14ac:dyDescent="0.3">
      <c r="A55" s="2"/>
      <c r="B55" s="12"/>
      <c r="F55" s="12"/>
      <c r="G55" s="12"/>
      <c r="H55" s="12"/>
      <c r="I55" s="2"/>
      <c r="L55" s="12"/>
      <c r="M55" s="12"/>
      <c r="N55" s="2"/>
      <c r="O55" s="51"/>
      <c r="S55" s="2"/>
      <c r="T55" s="51"/>
      <c r="X55" s="2"/>
      <c r="Z55" s="51"/>
      <c r="AA55" s="2"/>
      <c r="AB55" s="51"/>
      <c r="AC55" s="2"/>
      <c r="AD55" s="51"/>
      <c r="AE55" s="2"/>
      <c r="AH55" s="12"/>
      <c r="AJ55" s="12"/>
      <c r="AK55" s="2"/>
      <c r="AO55" s="2"/>
      <c r="AU55" s="2"/>
      <c r="AZ55" s="2"/>
      <c r="BF55" s="2"/>
      <c r="BH55" s="12"/>
      <c r="BJ55" s="2"/>
      <c r="BN55" s="2"/>
      <c r="BQ55" s="2"/>
      <c r="BU55" s="2"/>
      <c r="BX55" s="2"/>
      <c r="CB55" s="2"/>
      <c r="CE55" s="2"/>
      <c r="CH55" s="2"/>
      <c r="CL55" s="2"/>
      <c r="CO55" s="2"/>
    </row>
    <row r="56" spans="1:93" x14ac:dyDescent="0.3">
      <c r="A56" s="2"/>
      <c r="B56" s="2">
        <v>1</v>
      </c>
      <c r="C56" s="3" t="s">
        <v>101</v>
      </c>
      <c r="D56" s="95">
        <v>108</v>
      </c>
      <c r="E56" s="3" t="s">
        <v>102</v>
      </c>
      <c r="H56" s="3"/>
      <c r="I56" s="3"/>
      <c r="J56" s="95"/>
      <c r="K56" s="95"/>
      <c r="L56" s="95"/>
      <c r="M56" s="3"/>
      <c r="N56" s="3"/>
      <c r="O56" s="51"/>
      <c r="P56" s="95"/>
      <c r="Q56" s="98"/>
      <c r="R56" s="98"/>
      <c r="S56" s="3"/>
      <c r="T56" s="98"/>
      <c r="U56" s="98"/>
      <c r="V56" s="95"/>
      <c r="W56" s="2"/>
      <c r="X56" s="3"/>
      <c r="Y56" s="2"/>
      <c r="Z56" s="99"/>
      <c r="AA56" s="3"/>
      <c r="AB56" s="95"/>
      <c r="AC56" s="99"/>
      <c r="AD56" s="99"/>
      <c r="AE56" s="3"/>
      <c r="AF56" s="3"/>
      <c r="AG56" s="12"/>
      <c r="AH56" s="2"/>
      <c r="AI56" s="3"/>
      <c r="AJ56" s="2"/>
      <c r="AK56" s="3"/>
      <c r="AL56" s="3"/>
      <c r="AM56" s="2"/>
      <c r="AN56" s="2"/>
      <c r="AO56" s="3"/>
      <c r="AP56" s="3"/>
      <c r="AS56" s="3"/>
      <c r="AU56" s="3"/>
      <c r="AW56" s="3"/>
      <c r="AZ56" s="3"/>
      <c r="BA56" s="3"/>
      <c r="BD56" s="3"/>
      <c r="BF56" s="3"/>
      <c r="BJ56" s="3"/>
      <c r="BN56" s="3"/>
      <c r="BQ56" s="3"/>
      <c r="BU56" s="3"/>
      <c r="BX56" s="3"/>
      <c r="CB56" s="3"/>
      <c r="CE56" s="3"/>
      <c r="CH56" s="3"/>
      <c r="CL56" s="3"/>
      <c r="CO56" s="3"/>
    </row>
    <row r="57" spans="1:93" x14ac:dyDescent="0.3">
      <c r="A57" s="2"/>
      <c r="B57" s="2">
        <v>1</v>
      </c>
      <c r="C57" s="3" t="s">
        <v>103</v>
      </c>
      <c r="D57" s="95">
        <v>32.5</v>
      </c>
      <c r="E57" s="3" t="s">
        <v>102</v>
      </c>
      <c r="F57" s="2"/>
      <c r="G57" s="2"/>
      <c r="H57" s="3"/>
      <c r="I57" s="3"/>
      <c r="J57" s="95"/>
      <c r="K57" s="95"/>
      <c r="L57" s="95"/>
      <c r="M57" s="3"/>
      <c r="N57" s="3"/>
      <c r="O57" s="51"/>
      <c r="P57" s="95"/>
      <c r="Q57" s="98"/>
      <c r="R57" s="98"/>
      <c r="S57" s="3"/>
      <c r="T57" s="98"/>
      <c r="U57" s="98"/>
      <c r="V57" s="95"/>
      <c r="W57" s="2"/>
      <c r="X57" s="3"/>
      <c r="Y57" s="2"/>
      <c r="Z57" s="99"/>
      <c r="AA57" s="3"/>
      <c r="AB57" s="95"/>
      <c r="AC57" s="99"/>
      <c r="AD57" s="99"/>
      <c r="AE57" s="3"/>
      <c r="AF57" s="3"/>
      <c r="AG57" s="12"/>
      <c r="AH57" s="2"/>
      <c r="AI57" s="3"/>
      <c r="AJ57" s="2"/>
      <c r="AK57" s="3"/>
      <c r="AL57" s="3"/>
      <c r="AM57" s="2"/>
      <c r="AN57" s="2"/>
      <c r="AO57" s="3"/>
      <c r="AP57" s="3"/>
      <c r="AS57" s="3"/>
      <c r="AU57" s="3"/>
      <c r="AW57" s="3"/>
      <c r="AZ57" s="3"/>
      <c r="BA57" s="3"/>
      <c r="BD57" s="3"/>
      <c r="BF57" s="3"/>
      <c r="BJ57" s="3"/>
      <c r="BN57" s="3"/>
      <c r="BQ57" s="3"/>
      <c r="BU57" s="3"/>
      <c r="BX57" s="3"/>
      <c r="CB57" s="3"/>
      <c r="CE57" s="3"/>
      <c r="CH57" s="3"/>
      <c r="CL57" s="3"/>
      <c r="CO57" s="3"/>
    </row>
    <row r="58" spans="1:93" x14ac:dyDescent="0.3">
      <c r="A58" s="2"/>
      <c r="B58" s="2">
        <v>1</v>
      </c>
      <c r="C58" s="3" t="s">
        <v>105</v>
      </c>
      <c r="D58" s="95">
        <v>112</v>
      </c>
      <c r="E58" s="3" t="s">
        <v>106</v>
      </c>
      <c r="H58" s="3"/>
      <c r="I58" s="3"/>
      <c r="J58" s="95"/>
      <c r="K58" s="95"/>
      <c r="L58" s="95"/>
      <c r="M58" s="3"/>
      <c r="N58" s="3"/>
      <c r="O58" s="51"/>
      <c r="P58" s="95"/>
      <c r="Q58" s="98"/>
      <c r="R58" s="98"/>
      <c r="S58" s="3"/>
      <c r="T58" s="98"/>
      <c r="U58" s="98"/>
      <c r="V58" s="95"/>
      <c r="W58" s="2"/>
      <c r="X58" s="3"/>
      <c r="Y58" s="2"/>
      <c r="Z58" s="99"/>
      <c r="AA58" s="3"/>
      <c r="AB58" s="95"/>
      <c r="AC58" s="99"/>
      <c r="AD58" s="99"/>
      <c r="AE58" s="3"/>
      <c r="AF58" s="3"/>
      <c r="AG58" s="12"/>
      <c r="AH58" s="2"/>
      <c r="AI58" s="3"/>
      <c r="AJ58" s="2"/>
      <c r="AK58" s="3"/>
      <c r="AL58" s="3"/>
      <c r="AM58" s="2"/>
      <c r="AN58" s="2"/>
      <c r="AO58" s="3"/>
      <c r="AP58" s="3"/>
      <c r="AS58" s="3"/>
      <c r="AU58" s="3"/>
      <c r="AW58" s="3"/>
      <c r="AZ58" s="3"/>
      <c r="BA58" s="3"/>
      <c r="BD58" s="3"/>
      <c r="BF58" s="3"/>
      <c r="BJ58" s="3"/>
      <c r="BN58" s="3"/>
      <c r="BQ58" s="3"/>
      <c r="BU58" s="3"/>
      <c r="BX58" s="3"/>
      <c r="CB58" s="3"/>
      <c r="CE58" s="3"/>
      <c r="CH58" s="3"/>
      <c r="CL58" s="3"/>
      <c r="CO58" s="3"/>
    </row>
    <row r="59" spans="1:93" ht="14.4" customHeight="1" x14ac:dyDescent="0.3">
      <c r="A59" s="2"/>
      <c r="B59" s="154">
        <v>1</v>
      </c>
      <c r="C59" s="155" t="s">
        <v>107</v>
      </c>
      <c r="D59" s="156">
        <v>130</v>
      </c>
      <c r="E59" s="157" t="s">
        <v>102</v>
      </c>
      <c r="H59" s="3"/>
      <c r="I59" s="3"/>
      <c r="J59" s="95"/>
      <c r="K59" s="95"/>
      <c r="L59" s="95"/>
      <c r="M59" s="3"/>
      <c r="N59" s="3"/>
      <c r="O59" s="51"/>
      <c r="P59" s="95"/>
      <c r="Q59" s="98"/>
      <c r="R59" s="98"/>
      <c r="S59" s="3"/>
      <c r="T59" s="98"/>
      <c r="U59" s="98"/>
      <c r="V59" s="95"/>
      <c r="W59" s="2"/>
      <c r="X59" s="3"/>
      <c r="Y59" s="2"/>
      <c r="Z59" s="99"/>
      <c r="AA59" s="3"/>
      <c r="AB59" s="95"/>
      <c r="AC59" s="99"/>
      <c r="AD59" s="99"/>
      <c r="AE59" s="3"/>
      <c r="AF59" s="10"/>
      <c r="AG59" s="12"/>
      <c r="AH59" s="2"/>
      <c r="AI59" s="10"/>
      <c r="AJ59" s="2"/>
      <c r="AK59" s="3"/>
      <c r="AL59" s="10"/>
      <c r="AM59" s="2"/>
      <c r="AN59" s="2"/>
      <c r="AO59" s="3"/>
      <c r="AP59" s="10"/>
      <c r="AS59" s="10"/>
      <c r="AU59" s="3"/>
      <c r="AW59" s="10"/>
      <c r="AZ59" s="3"/>
      <c r="BA59" s="10"/>
      <c r="BD59" s="10"/>
      <c r="BF59" s="3"/>
      <c r="BJ59" s="3"/>
      <c r="BN59" s="3"/>
      <c r="BQ59" s="3"/>
      <c r="BU59" s="3"/>
      <c r="BX59" s="3"/>
      <c r="CB59" s="3"/>
      <c r="CE59" s="3"/>
      <c r="CH59" s="3"/>
      <c r="CL59" s="3"/>
      <c r="CO59" s="3"/>
    </row>
    <row r="60" spans="1:93" ht="14.4" customHeight="1" x14ac:dyDescent="0.3">
      <c r="A60" s="2"/>
      <c r="B60" s="154"/>
      <c r="C60" s="155"/>
      <c r="D60" s="156"/>
      <c r="E60" s="157"/>
      <c r="F60" s="2"/>
      <c r="G60" s="2"/>
      <c r="H60" s="3"/>
      <c r="I60" s="3"/>
      <c r="J60" s="95"/>
      <c r="K60" s="95"/>
      <c r="L60" s="95"/>
      <c r="M60" s="3"/>
      <c r="N60" s="3"/>
      <c r="O60" s="51"/>
      <c r="P60" s="95"/>
      <c r="Q60" s="98"/>
      <c r="R60" s="98"/>
      <c r="S60" s="3"/>
      <c r="T60" s="98"/>
      <c r="U60" s="98"/>
      <c r="V60" s="95"/>
      <c r="W60" s="2"/>
      <c r="X60" s="3"/>
      <c r="Y60" s="2"/>
      <c r="Z60" s="99"/>
      <c r="AA60" s="3"/>
      <c r="AB60" s="95"/>
      <c r="AC60" s="99"/>
      <c r="AD60" s="99"/>
      <c r="AE60" s="3"/>
      <c r="AF60" s="10"/>
      <c r="AG60" s="12"/>
      <c r="AH60" s="2"/>
      <c r="AI60" s="10"/>
      <c r="AJ60" s="2"/>
      <c r="AK60" s="3"/>
      <c r="AL60" s="10"/>
      <c r="AM60" s="2"/>
      <c r="AN60" s="2"/>
      <c r="AO60" s="3"/>
      <c r="AP60" s="10"/>
      <c r="AS60" s="10"/>
      <c r="AU60" s="3"/>
      <c r="AW60" s="10"/>
      <c r="AZ60" s="3"/>
      <c r="BA60" s="10"/>
      <c r="BD60" s="10"/>
      <c r="BF60" s="3"/>
      <c r="BJ60" s="3"/>
      <c r="BN60" s="3"/>
      <c r="BQ60" s="3"/>
      <c r="BU60" s="3"/>
      <c r="BX60" s="3"/>
      <c r="CB60" s="3"/>
      <c r="CE60" s="3"/>
      <c r="CH60" s="3"/>
      <c r="CL60" s="3"/>
      <c r="CO60" s="3"/>
    </row>
    <row r="61" spans="1:93" x14ac:dyDescent="0.3">
      <c r="A61" s="2"/>
      <c r="B61" s="9">
        <v>1</v>
      </c>
      <c r="C61" s="3" t="s">
        <v>108</v>
      </c>
      <c r="D61" s="95">
        <v>260</v>
      </c>
      <c r="E61" s="3" t="s">
        <v>102</v>
      </c>
      <c r="F61" s="2"/>
      <c r="G61" s="2"/>
      <c r="H61" s="3"/>
      <c r="I61" s="3"/>
      <c r="J61" s="95"/>
      <c r="K61" s="95"/>
      <c r="L61" s="95"/>
      <c r="M61" s="3"/>
      <c r="N61" s="3"/>
      <c r="O61" s="51"/>
      <c r="P61" s="95"/>
      <c r="Q61" s="98"/>
      <c r="R61" s="98"/>
      <c r="S61" s="3"/>
      <c r="T61" s="98"/>
      <c r="U61" s="98"/>
      <c r="V61" s="95"/>
      <c r="W61" s="2"/>
      <c r="X61" s="3"/>
      <c r="Y61" s="2"/>
      <c r="Z61" s="99"/>
      <c r="AA61" s="3"/>
      <c r="AB61" s="95"/>
      <c r="AC61" s="99"/>
      <c r="AD61" s="99"/>
      <c r="AE61" s="3"/>
      <c r="AF61" s="3"/>
      <c r="AG61" s="12"/>
      <c r="AH61" s="2"/>
      <c r="AI61" s="3"/>
      <c r="AJ61" s="2"/>
      <c r="AK61" s="3"/>
      <c r="AL61" s="3"/>
      <c r="AM61" s="2"/>
      <c r="AN61" s="2"/>
      <c r="AO61" s="3"/>
      <c r="AP61" s="3"/>
      <c r="AS61" s="3"/>
      <c r="AU61" s="3"/>
      <c r="AW61" s="3"/>
      <c r="AZ61" s="3"/>
      <c r="BA61" s="3"/>
      <c r="BD61" s="3"/>
      <c r="BF61" s="3"/>
      <c r="BJ61" s="3"/>
      <c r="BN61" s="3"/>
      <c r="BQ61" s="3"/>
      <c r="BU61" s="3"/>
      <c r="BX61" s="3"/>
      <c r="CB61" s="3"/>
      <c r="CE61" s="3"/>
      <c r="CH61" s="3"/>
      <c r="CL61" s="3"/>
      <c r="CO61" s="3"/>
    </row>
    <row r="62" spans="1:93" x14ac:dyDescent="0.3">
      <c r="A62" s="2"/>
      <c r="B62" s="9">
        <v>1</v>
      </c>
      <c r="C62" s="3" t="s">
        <v>352</v>
      </c>
      <c r="D62" s="95">
        <f>D59/D58</f>
        <v>1.1607142857142858</v>
      </c>
      <c r="E62" s="3" t="s">
        <v>109</v>
      </c>
      <c r="F62" s="2"/>
      <c r="G62" s="2"/>
      <c r="H62" s="3"/>
      <c r="I62" s="3"/>
      <c r="J62" s="95"/>
      <c r="K62" s="95"/>
      <c r="L62" s="95"/>
      <c r="M62" s="3"/>
      <c r="N62" s="3"/>
      <c r="O62" s="51"/>
      <c r="P62" s="95"/>
      <c r="Q62" s="98"/>
      <c r="R62" s="98"/>
      <c r="S62" s="3"/>
      <c r="T62" s="98"/>
      <c r="U62" s="98"/>
      <c r="V62" s="95"/>
      <c r="W62" s="2"/>
      <c r="X62" s="3"/>
      <c r="Y62" s="2"/>
      <c r="Z62" s="99"/>
      <c r="AA62" s="3"/>
      <c r="AB62" s="95"/>
      <c r="AC62" s="99"/>
      <c r="AD62" s="99"/>
      <c r="AE62" s="3"/>
      <c r="AF62" s="3"/>
      <c r="AG62" s="12"/>
      <c r="AH62" s="2"/>
      <c r="AI62" s="3"/>
      <c r="AJ62" s="2"/>
      <c r="AK62" s="3"/>
      <c r="AL62" s="3"/>
      <c r="AM62" s="2"/>
      <c r="AN62" s="2"/>
      <c r="AO62" s="3"/>
      <c r="AP62" s="3"/>
      <c r="AS62" s="3"/>
      <c r="AU62" s="3"/>
      <c r="AW62" s="3"/>
      <c r="AZ62" s="3"/>
      <c r="BA62" s="3"/>
      <c r="BD62" s="3"/>
      <c r="BF62" s="3"/>
      <c r="BJ62" s="3"/>
      <c r="BN62" s="3"/>
      <c r="BQ62" s="3"/>
      <c r="BU62" s="3"/>
      <c r="BX62" s="3"/>
      <c r="CB62" s="3"/>
      <c r="CE62" s="3"/>
      <c r="CH62" s="3"/>
      <c r="CL62" s="3"/>
      <c r="CO62" s="3"/>
    </row>
    <row r="63" spans="1:93" x14ac:dyDescent="0.3">
      <c r="A63" s="2"/>
      <c r="B63" s="9">
        <v>1</v>
      </c>
      <c r="C63" s="3" t="s">
        <v>108</v>
      </c>
      <c r="D63" s="95">
        <f>D61/D58</f>
        <v>2.3214285714285716</v>
      </c>
      <c r="E63" s="3" t="s">
        <v>109</v>
      </c>
      <c r="F63" s="2"/>
      <c r="G63" s="2"/>
      <c r="H63" s="3"/>
      <c r="I63" s="3"/>
      <c r="J63" s="95"/>
      <c r="K63" s="95"/>
      <c r="L63" s="95"/>
      <c r="M63" s="3"/>
      <c r="N63" s="3"/>
      <c r="O63" s="51"/>
      <c r="P63" s="95"/>
      <c r="Q63" s="98"/>
      <c r="R63" s="98"/>
      <c r="S63" s="3"/>
      <c r="T63" s="98"/>
      <c r="U63" s="98"/>
      <c r="V63" s="95"/>
      <c r="W63" s="2"/>
      <c r="X63" s="3"/>
      <c r="Y63" s="2"/>
      <c r="Z63" s="99"/>
      <c r="AA63" s="3"/>
      <c r="AB63" s="95"/>
      <c r="AC63" s="99"/>
      <c r="AD63" s="99"/>
      <c r="AE63" s="3"/>
      <c r="AF63" s="3"/>
      <c r="AG63" s="12"/>
      <c r="AH63" s="2"/>
      <c r="AI63" s="3"/>
      <c r="AJ63" s="2"/>
      <c r="AK63" s="3"/>
      <c r="AL63" s="3"/>
      <c r="AM63" s="2"/>
      <c r="AN63" s="2"/>
      <c r="AO63" s="3"/>
      <c r="AP63" s="3"/>
      <c r="AS63" s="3"/>
      <c r="AU63" s="3"/>
      <c r="AW63" s="3"/>
      <c r="AZ63" s="3"/>
      <c r="BA63" s="3"/>
      <c r="BD63" s="3"/>
      <c r="BF63" s="3"/>
      <c r="BJ63" s="3"/>
      <c r="BN63" s="3"/>
      <c r="BQ63" s="3"/>
      <c r="BU63" s="3"/>
      <c r="BX63" s="3"/>
      <c r="CB63" s="3"/>
      <c r="CE63" s="3"/>
      <c r="CH63" s="3"/>
      <c r="CL63" s="3"/>
      <c r="CO63" s="3"/>
    </row>
    <row r="64" spans="1:93" x14ac:dyDescent="0.3">
      <c r="A64" s="2"/>
      <c r="B64" s="2"/>
      <c r="C64" s="2"/>
      <c r="D64" s="2"/>
      <c r="E64" s="2"/>
      <c r="F64" s="2"/>
      <c r="G64" s="2"/>
      <c r="H64" s="3"/>
      <c r="I64" s="3"/>
      <c r="J64" s="95"/>
      <c r="K64" s="95"/>
      <c r="L64" s="95"/>
      <c r="M64" s="3"/>
      <c r="N64" s="3"/>
      <c r="O64" s="51"/>
      <c r="P64" s="95"/>
      <c r="Q64" s="98"/>
      <c r="R64" s="98"/>
      <c r="S64" s="3"/>
      <c r="T64" s="98"/>
      <c r="U64" s="98"/>
      <c r="V64" s="95"/>
      <c r="W64" s="2"/>
      <c r="X64" s="3"/>
      <c r="Y64" s="2"/>
      <c r="Z64" s="99"/>
      <c r="AA64" s="3"/>
      <c r="AB64" s="95"/>
      <c r="AC64" s="99"/>
      <c r="AD64" s="99"/>
      <c r="AE64" s="3"/>
      <c r="AF64" s="2"/>
      <c r="AG64" s="12"/>
      <c r="AH64" s="2"/>
      <c r="AI64" s="2"/>
      <c r="AJ64" s="2"/>
      <c r="AK64" s="3"/>
      <c r="AL64" s="2"/>
      <c r="AM64" s="2"/>
      <c r="AN64" s="2"/>
      <c r="AO64" s="3"/>
      <c r="AP64" s="2"/>
      <c r="AS64" s="2"/>
      <c r="AU64" s="3"/>
      <c r="AW64" s="2"/>
      <c r="AZ64" s="3"/>
      <c r="BA64" s="2"/>
      <c r="BD64" s="2"/>
      <c r="BF64" s="3"/>
      <c r="BJ64" s="3"/>
      <c r="BN64" s="3"/>
      <c r="BQ64" s="3"/>
      <c r="BU64" s="3"/>
      <c r="BX64" s="3"/>
      <c r="CB64" s="3"/>
      <c r="CE64" s="3"/>
      <c r="CH64" s="3"/>
      <c r="CL64" s="3"/>
      <c r="CO64" s="3"/>
    </row>
    <row r="65" spans="1:93" x14ac:dyDescent="0.3">
      <c r="A65" s="2" t="s">
        <v>118</v>
      </c>
      <c r="B65" s="2">
        <v>1</v>
      </c>
      <c r="C65" s="6" t="s">
        <v>119</v>
      </c>
      <c r="D65" s="2">
        <v>373.33</v>
      </c>
      <c r="E65" s="3" t="s">
        <v>102</v>
      </c>
      <c r="F65" s="97">
        <f>D65/D58</f>
        <v>3.3333035714285715</v>
      </c>
      <c r="G65" s="3" t="s">
        <v>109</v>
      </c>
      <c r="H65" s="3"/>
      <c r="I65" s="3"/>
      <c r="J65" s="95"/>
      <c r="K65" s="95"/>
      <c r="L65" s="95"/>
      <c r="M65" s="3"/>
      <c r="N65" s="3"/>
      <c r="O65" s="51"/>
      <c r="P65" s="95"/>
      <c r="Q65" s="98"/>
      <c r="R65" s="98"/>
      <c r="S65" s="3"/>
      <c r="T65" s="98"/>
      <c r="U65" s="98"/>
      <c r="V65" s="95"/>
      <c r="W65" s="2"/>
      <c r="X65" s="3"/>
      <c r="Y65" s="2"/>
      <c r="Z65" s="99"/>
      <c r="AA65" s="3"/>
      <c r="AB65" s="95"/>
      <c r="AC65" s="99"/>
      <c r="AD65" s="99"/>
      <c r="AE65" s="3"/>
      <c r="AF65" s="3"/>
      <c r="AG65" s="12"/>
      <c r="AH65" s="2"/>
      <c r="AI65" s="3"/>
      <c r="AJ65" s="2"/>
      <c r="AK65" s="3"/>
      <c r="AL65" s="3"/>
      <c r="AM65" s="2"/>
      <c r="AN65" s="2"/>
      <c r="AO65" s="3"/>
      <c r="AP65" s="3"/>
      <c r="AS65" s="3"/>
      <c r="AU65" s="3"/>
      <c r="AW65" s="3"/>
      <c r="AZ65" s="3"/>
      <c r="BA65" s="3"/>
      <c r="BD65" s="3"/>
      <c r="BF65" s="3"/>
      <c r="BJ65" s="3"/>
      <c r="BN65" s="3"/>
      <c r="BQ65" s="3"/>
      <c r="BU65" s="3"/>
      <c r="BX65" s="3"/>
      <c r="CB65" s="3"/>
      <c r="CE65" s="3"/>
      <c r="CH65" s="3"/>
      <c r="CL65" s="3"/>
      <c r="CO65" s="3"/>
    </row>
    <row r="66" spans="1:93" x14ac:dyDescent="0.3">
      <c r="A66" s="2" t="s">
        <v>23</v>
      </c>
      <c r="B66" s="2">
        <v>1</v>
      </c>
      <c r="C66" s="6" t="s">
        <v>101</v>
      </c>
      <c r="D66" s="2">
        <v>0.5</v>
      </c>
      <c r="E66" s="3" t="s">
        <v>109</v>
      </c>
      <c r="F66" s="2"/>
      <c r="G66" s="2"/>
      <c r="H66" s="3"/>
      <c r="I66" s="3"/>
      <c r="J66" s="95"/>
      <c r="K66" s="95"/>
      <c r="L66" s="95"/>
      <c r="M66" s="3"/>
      <c r="N66" s="3"/>
      <c r="O66" s="51"/>
      <c r="P66" s="95"/>
      <c r="Q66" s="98"/>
      <c r="R66" s="98"/>
      <c r="S66" s="3"/>
      <c r="T66" s="98"/>
      <c r="U66" s="98"/>
      <c r="V66" s="95"/>
      <c r="W66" s="2"/>
      <c r="X66" s="3"/>
      <c r="Y66" s="2"/>
      <c r="Z66" s="99"/>
      <c r="AA66" s="3"/>
      <c r="AB66" s="95"/>
      <c r="AC66" s="99"/>
      <c r="AD66" s="99"/>
      <c r="AE66" s="3"/>
      <c r="AF66" s="3"/>
      <c r="AG66" s="12"/>
      <c r="AH66" s="2"/>
      <c r="AI66" s="3"/>
      <c r="AJ66" s="2"/>
      <c r="AK66" s="3"/>
      <c r="AL66" s="3"/>
      <c r="AM66" s="2"/>
      <c r="AN66" s="2"/>
      <c r="AO66" s="3"/>
      <c r="AP66" s="3"/>
      <c r="AS66" s="3"/>
      <c r="AU66" s="3"/>
      <c r="AW66" s="3"/>
      <c r="AZ66" s="3"/>
      <c r="BA66" s="3"/>
      <c r="BD66" s="3"/>
      <c r="BF66" s="3"/>
      <c r="BJ66" s="3"/>
      <c r="BN66" s="3"/>
      <c r="BQ66" s="3"/>
      <c r="BU66" s="3"/>
      <c r="BX66" s="3"/>
      <c r="CB66" s="3"/>
      <c r="CE66" s="3"/>
      <c r="CH66" s="3"/>
      <c r="CL66" s="3"/>
      <c r="CO66" s="3"/>
    </row>
    <row r="67" spans="1:93" x14ac:dyDescent="0.3">
      <c r="A67" s="2" t="s">
        <v>10</v>
      </c>
      <c r="B67" s="2">
        <v>1</v>
      </c>
      <c r="C67" s="3" t="s">
        <v>120</v>
      </c>
      <c r="D67" s="95">
        <v>1.5</v>
      </c>
      <c r="E67" s="3" t="s">
        <v>109</v>
      </c>
      <c r="G67" s="3"/>
      <c r="H67" s="3"/>
      <c r="I67" s="3"/>
      <c r="J67" s="95"/>
      <c r="K67" s="95"/>
      <c r="L67" s="95"/>
      <c r="M67" s="3"/>
      <c r="N67" s="3"/>
      <c r="O67" s="51"/>
      <c r="P67" s="95"/>
      <c r="Q67" s="98"/>
      <c r="R67" s="98"/>
      <c r="S67" s="3"/>
      <c r="T67" s="98"/>
      <c r="U67" s="98"/>
      <c r="V67" s="95"/>
      <c r="W67" s="2"/>
      <c r="X67" s="3"/>
      <c r="Y67" s="2"/>
      <c r="Z67" s="99"/>
      <c r="AA67" s="3"/>
      <c r="AB67" s="95"/>
      <c r="AC67" s="99"/>
      <c r="AD67" s="99"/>
      <c r="AE67" s="3"/>
      <c r="AF67" s="3"/>
      <c r="AG67" s="12"/>
      <c r="AH67" s="2"/>
      <c r="AI67" s="3"/>
      <c r="AJ67" s="2"/>
      <c r="AK67" s="3"/>
      <c r="AL67" s="3"/>
      <c r="AM67" s="2"/>
      <c r="AN67" s="2"/>
      <c r="AO67" s="3"/>
      <c r="AP67" s="3"/>
      <c r="AS67" s="3"/>
      <c r="AU67" s="3"/>
      <c r="AW67" s="3"/>
      <c r="AZ67" s="3"/>
      <c r="BA67" s="3"/>
      <c r="BD67" s="3"/>
      <c r="BF67" s="3"/>
      <c r="BJ67" s="3"/>
      <c r="BN67" s="3"/>
      <c r="BQ67" s="3"/>
      <c r="BU67" s="3"/>
      <c r="BX67" s="3"/>
      <c r="CB67" s="3"/>
      <c r="CE67" s="3"/>
      <c r="CH67" s="3"/>
      <c r="CL67" s="3"/>
      <c r="CO67" s="3"/>
    </row>
    <row r="68" spans="1:93" x14ac:dyDescent="0.3">
      <c r="A68" s="2" t="s">
        <v>12</v>
      </c>
      <c r="B68" s="2">
        <v>1</v>
      </c>
      <c r="C68" s="3" t="s">
        <v>120</v>
      </c>
      <c r="D68" s="95">
        <v>1.75</v>
      </c>
      <c r="E68" s="3" t="s">
        <v>109</v>
      </c>
      <c r="G68" s="3"/>
      <c r="H68" s="3"/>
      <c r="I68" s="3"/>
      <c r="J68" s="95"/>
      <c r="K68" s="95"/>
      <c r="L68" s="95"/>
      <c r="M68" s="3"/>
      <c r="N68" s="3"/>
      <c r="O68" s="51"/>
      <c r="P68" s="95"/>
      <c r="Q68" s="98"/>
      <c r="R68" s="98"/>
      <c r="S68" s="3"/>
      <c r="T68" s="98"/>
      <c r="U68" s="98"/>
      <c r="V68" s="95"/>
      <c r="W68" s="2"/>
      <c r="X68" s="3"/>
      <c r="Y68" s="2"/>
      <c r="Z68" s="99"/>
      <c r="AA68" s="3"/>
      <c r="AB68" s="95"/>
      <c r="AC68" s="99"/>
      <c r="AD68" s="99"/>
      <c r="AE68" s="3"/>
      <c r="AF68" s="3"/>
      <c r="AG68" s="12"/>
      <c r="AH68" s="2"/>
      <c r="AI68" s="3"/>
      <c r="AJ68" s="2"/>
      <c r="AK68" s="3"/>
      <c r="AL68" s="3"/>
      <c r="AM68" s="2"/>
      <c r="AN68" s="2"/>
      <c r="AO68" s="3"/>
      <c r="AP68" s="3"/>
      <c r="AS68" s="3"/>
      <c r="AU68" s="3"/>
      <c r="AW68" s="3"/>
      <c r="AZ68" s="3"/>
      <c r="BA68" s="3"/>
      <c r="BD68" s="3"/>
      <c r="BF68" s="3"/>
      <c r="BJ68" s="3"/>
      <c r="BN68" s="3"/>
      <c r="BQ68" s="3"/>
      <c r="BU68" s="3"/>
      <c r="BX68" s="3"/>
      <c r="CB68" s="3"/>
      <c r="CE68" s="3"/>
      <c r="CH68" s="3"/>
      <c r="CL68" s="3"/>
      <c r="CO68" s="3"/>
    </row>
    <row r="69" spans="1:93" x14ac:dyDescent="0.3">
      <c r="A69" s="145" t="s">
        <v>37</v>
      </c>
      <c r="B69" s="2">
        <v>1</v>
      </c>
      <c r="C69" s="3" t="s">
        <v>120</v>
      </c>
      <c r="D69" s="95">
        <v>182</v>
      </c>
      <c r="E69" s="3" t="s">
        <v>102</v>
      </c>
      <c r="F69" s="51">
        <f>D69/D58</f>
        <v>1.625</v>
      </c>
      <c r="G69" s="3" t="s">
        <v>109</v>
      </c>
      <c r="H69" s="3"/>
      <c r="I69" s="3"/>
      <c r="J69" s="95"/>
      <c r="K69" s="95"/>
      <c r="L69" s="95"/>
      <c r="M69" s="3"/>
      <c r="N69" s="3"/>
      <c r="O69" s="51"/>
      <c r="P69" s="95"/>
      <c r="Q69" s="98"/>
      <c r="R69" s="98"/>
      <c r="S69" s="3"/>
      <c r="T69" s="98"/>
      <c r="U69" s="98"/>
      <c r="V69" s="95"/>
      <c r="W69" s="2"/>
      <c r="X69" s="3"/>
      <c r="Y69" s="2"/>
      <c r="Z69" s="99"/>
      <c r="AA69" s="3"/>
      <c r="AB69" s="95"/>
      <c r="AC69" s="99"/>
      <c r="AD69" s="99"/>
      <c r="AE69" s="3"/>
      <c r="AF69" s="3"/>
      <c r="AG69" s="12"/>
      <c r="AH69" s="2"/>
      <c r="AI69" s="3"/>
      <c r="AJ69" s="2"/>
      <c r="AK69" s="3"/>
      <c r="AL69" s="3"/>
      <c r="AM69" s="2"/>
      <c r="AN69" s="2"/>
      <c r="AO69" s="3"/>
      <c r="AP69" s="3"/>
      <c r="AS69" s="3"/>
      <c r="AU69" s="3"/>
      <c r="AW69" s="3"/>
      <c r="AZ69" s="3"/>
      <c r="BA69" s="3"/>
      <c r="BD69" s="3"/>
      <c r="BF69" s="3"/>
      <c r="BJ69" s="3"/>
      <c r="BN69" s="3"/>
      <c r="BQ69" s="3"/>
      <c r="BU69" s="3"/>
      <c r="BX69" s="3"/>
      <c r="CB69" s="3"/>
      <c r="CE69" s="3"/>
      <c r="CH69" s="3"/>
      <c r="CL69" s="3"/>
      <c r="CO69" s="3"/>
    </row>
    <row r="70" spans="1:93" x14ac:dyDescent="0.3">
      <c r="A70" s="2" t="s">
        <v>121</v>
      </c>
      <c r="B70" s="2">
        <v>1</v>
      </c>
      <c r="C70" s="3" t="s">
        <v>120</v>
      </c>
      <c r="D70" s="95">
        <v>1.5</v>
      </c>
      <c r="E70" s="3" t="s">
        <v>109</v>
      </c>
      <c r="G70" s="3"/>
      <c r="H70" s="3"/>
      <c r="I70" s="3"/>
      <c r="J70" s="95"/>
      <c r="K70" s="95"/>
      <c r="L70" s="95"/>
      <c r="M70" s="3"/>
      <c r="N70" s="3"/>
      <c r="O70" s="51"/>
      <c r="P70" s="95"/>
      <c r="Q70" s="98"/>
      <c r="R70" s="98"/>
      <c r="S70" s="3"/>
      <c r="T70" s="98"/>
      <c r="U70" s="98"/>
      <c r="V70" s="95"/>
      <c r="W70" s="2"/>
      <c r="X70" s="3"/>
      <c r="Y70" s="2"/>
      <c r="Z70" s="99"/>
      <c r="AA70" s="3"/>
      <c r="AB70" s="95"/>
      <c r="AC70" s="99"/>
      <c r="AD70" s="99"/>
      <c r="AE70" s="3"/>
      <c r="AF70" s="3"/>
      <c r="AG70" s="12"/>
      <c r="AH70" s="2"/>
      <c r="AI70" s="3"/>
      <c r="AJ70" s="2"/>
      <c r="AK70" s="3"/>
      <c r="AL70" s="3"/>
      <c r="AM70" s="2"/>
      <c r="AN70" s="2"/>
      <c r="AO70" s="3"/>
      <c r="AP70" s="3"/>
      <c r="AS70" s="3"/>
      <c r="AU70" s="3"/>
      <c r="AW70" s="3"/>
      <c r="AZ70" s="3"/>
      <c r="BA70" s="3"/>
      <c r="BD70" s="3"/>
      <c r="BF70" s="3"/>
      <c r="BJ70" s="3"/>
      <c r="BN70" s="3"/>
      <c r="BQ70" s="3"/>
      <c r="BU70" s="3"/>
      <c r="BX70" s="3"/>
      <c r="CB70" s="3"/>
      <c r="CE70" s="3"/>
      <c r="CH70" s="3"/>
      <c r="CL70" s="3"/>
      <c r="CO70" s="3"/>
    </row>
    <row r="71" spans="1:93" x14ac:dyDescent="0.3">
      <c r="A71" s="2" t="s">
        <v>16</v>
      </c>
      <c r="B71" s="2">
        <v>1</v>
      </c>
      <c r="C71" s="3" t="s">
        <v>119</v>
      </c>
      <c r="D71" s="95">
        <v>1.26</v>
      </c>
      <c r="E71" s="3" t="s">
        <v>109</v>
      </c>
      <c r="G71" s="3"/>
      <c r="H71" s="3"/>
      <c r="I71" s="3"/>
      <c r="J71" s="95"/>
      <c r="K71" s="95"/>
      <c r="L71" s="95"/>
      <c r="M71" s="3"/>
      <c r="N71" s="3"/>
      <c r="O71" s="51"/>
      <c r="P71" s="95"/>
      <c r="Q71" s="98"/>
      <c r="R71" s="98"/>
      <c r="S71" s="3"/>
      <c r="T71" s="98"/>
      <c r="U71" s="98"/>
      <c r="V71" s="95"/>
      <c r="W71" s="2"/>
      <c r="X71" s="3"/>
      <c r="Y71" s="2"/>
      <c r="Z71" s="99"/>
      <c r="AA71" s="3"/>
      <c r="AB71" s="95"/>
      <c r="AC71" s="99"/>
      <c r="AD71" s="99"/>
      <c r="AE71" s="3"/>
      <c r="AF71" s="3"/>
      <c r="AG71" s="12"/>
      <c r="AH71" s="2"/>
      <c r="AI71" s="3"/>
      <c r="AJ71" s="2"/>
      <c r="AK71" s="3"/>
      <c r="AL71" s="3"/>
      <c r="AM71" s="2"/>
      <c r="AN71" s="2"/>
      <c r="AO71" s="3"/>
      <c r="AP71" s="3"/>
      <c r="AS71" s="3"/>
      <c r="AU71" s="3"/>
      <c r="AW71" s="3"/>
      <c r="AZ71" s="3"/>
      <c r="BA71" s="3"/>
      <c r="BD71" s="3"/>
      <c r="BF71" s="3"/>
      <c r="BJ71" s="3"/>
      <c r="BN71" s="3"/>
      <c r="BQ71" s="3"/>
      <c r="BU71" s="3"/>
      <c r="BX71" s="3"/>
      <c r="CB71" s="3"/>
      <c r="CE71" s="3"/>
      <c r="CH71" s="3"/>
      <c r="CL71" s="3"/>
      <c r="CO71" s="3"/>
    </row>
    <row r="72" spans="1:93" x14ac:dyDescent="0.3">
      <c r="A72" s="2" t="s">
        <v>122</v>
      </c>
      <c r="B72" s="2">
        <v>1</v>
      </c>
      <c r="C72" s="3" t="s">
        <v>123</v>
      </c>
      <c r="D72" s="95">
        <v>15.9</v>
      </c>
      <c r="E72" s="3" t="s">
        <v>109</v>
      </c>
      <c r="G72" s="3"/>
      <c r="H72" s="3"/>
      <c r="I72" s="3"/>
      <c r="J72" s="95"/>
      <c r="K72" s="95"/>
      <c r="L72" s="95"/>
      <c r="M72" s="3"/>
      <c r="N72" s="3"/>
      <c r="O72" s="51"/>
      <c r="P72" s="95"/>
      <c r="Q72" s="98"/>
      <c r="R72" s="98"/>
      <c r="S72" s="3"/>
      <c r="T72" s="98"/>
      <c r="U72" s="98"/>
      <c r="V72" s="95"/>
      <c r="W72" s="2"/>
      <c r="X72" s="3"/>
      <c r="Y72" s="2"/>
      <c r="Z72" s="99"/>
      <c r="AA72" s="3"/>
      <c r="AB72" s="95"/>
      <c r="AC72" s="99"/>
      <c r="AD72" s="99"/>
      <c r="AE72" s="3"/>
      <c r="AF72" s="3"/>
      <c r="AG72" s="12"/>
      <c r="AH72" s="2"/>
      <c r="AI72" s="3"/>
      <c r="AJ72" s="2"/>
      <c r="AK72" s="3"/>
      <c r="AL72" s="3"/>
      <c r="AM72" s="2"/>
      <c r="AN72" s="2"/>
      <c r="AO72" s="3"/>
      <c r="AP72" s="3"/>
      <c r="AS72" s="3"/>
      <c r="AU72" s="3"/>
      <c r="AW72" s="3"/>
      <c r="AZ72" s="3"/>
      <c r="BA72" s="3"/>
      <c r="BD72" s="3"/>
      <c r="BF72" s="3"/>
      <c r="BJ72" s="3"/>
      <c r="BN72" s="3"/>
      <c r="BQ72" s="3"/>
      <c r="BU72" s="3"/>
      <c r="BX72" s="3"/>
      <c r="CB72" s="3"/>
      <c r="CE72" s="3"/>
      <c r="CH72" s="3"/>
      <c r="CL72" s="3"/>
      <c r="CO72" s="3"/>
    </row>
    <row r="73" spans="1:93" x14ac:dyDescent="0.3">
      <c r="A73" s="2" t="s">
        <v>34</v>
      </c>
      <c r="B73" s="2">
        <v>1</v>
      </c>
      <c r="C73" s="3" t="s">
        <v>124</v>
      </c>
      <c r="D73" s="95">
        <f>439.681/D58</f>
        <v>3.9257232142857141</v>
      </c>
      <c r="E73" s="3" t="s">
        <v>109</v>
      </c>
      <c r="G73" s="3"/>
      <c r="I73" s="3"/>
      <c r="J73" s="95"/>
      <c r="K73" s="95"/>
      <c r="L73" s="95"/>
      <c r="M73" s="3"/>
      <c r="N73" s="3"/>
      <c r="O73" s="51"/>
      <c r="P73" s="95"/>
      <c r="Q73" s="98"/>
      <c r="R73" s="98"/>
      <c r="S73" s="3"/>
      <c r="T73" s="98"/>
      <c r="U73" s="98"/>
      <c r="V73" s="95"/>
      <c r="W73" s="2"/>
      <c r="X73" s="3"/>
      <c r="Y73" s="2"/>
      <c r="Z73" s="99"/>
      <c r="AA73" s="3"/>
      <c r="AB73" s="95"/>
      <c r="AC73" s="99"/>
      <c r="AD73" s="99"/>
      <c r="AE73" s="3"/>
      <c r="AF73" s="3"/>
      <c r="AG73" s="12"/>
      <c r="AH73" s="2"/>
      <c r="AI73" s="3"/>
      <c r="AJ73" s="2"/>
      <c r="AK73" s="3"/>
      <c r="AL73" s="3"/>
      <c r="AM73" s="2"/>
      <c r="AN73" s="2"/>
      <c r="AO73" s="3"/>
      <c r="AP73" s="3"/>
      <c r="AS73" s="3"/>
      <c r="AU73" s="3"/>
      <c r="AW73" s="3"/>
      <c r="AZ73" s="3"/>
      <c r="BA73" s="3"/>
      <c r="BD73" s="3"/>
      <c r="BF73" s="3"/>
      <c r="BJ73" s="3"/>
      <c r="BN73" s="3"/>
      <c r="BQ73" s="3"/>
      <c r="BU73" s="3"/>
      <c r="BX73" s="3"/>
      <c r="CB73" s="3"/>
      <c r="CE73" s="3"/>
      <c r="CH73" s="3"/>
      <c r="CL73" s="3"/>
      <c r="CO73" s="3"/>
    </row>
    <row r="74" spans="1:93" x14ac:dyDescent="0.3">
      <c r="A74" s="2" t="s">
        <v>96</v>
      </c>
      <c r="B74" s="2">
        <v>1</v>
      </c>
      <c r="C74" s="3" t="s">
        <v>124</v>
      </c>
      <c r="D74" s="95">
        <v>3</v>
      </c>
      <c r="E74" s="3" t="s">
        <v>109</v>
      </c>
      <c r="G74" s="3"/>
      <c r="I74" s="3"/>
      <c r="N74" s="3"/>
      <c r="O74" s="51"/>
      <c r="Q74" s="98"/>
      <c r="R74" s="98"/>
      <c r="S74" s="3"/>
      <c r="T74" s="98"/>
      <c r="U74" s="98"/>
      <c r="W74" s="12"/>
      <c r="X74" s="3"/>
      <c r="Y74" s="12"/>
      <c r="Z74" s="99"/>
      <c r="AA74" s="3"/>
      <c r="AB74" s="51"/>
      <c r="AC74" s="99"/>
      <c r="AD74" s="99"/>
      <c r="AE74" s="3"/>
      <c r="AF74" s="3"/>
      <c r="AG74" s="12"/>
      <c r="AH74" s="2"/>
      <c r="AI74" s="3"/>
      <c r="AJ74" s="2"/>
      <c r="AK74" s="3"/>
      <c r="AL74" s="3"/>
      <c r="AM74" s="2"/>
      <c r="AN74" s="2"/>
      <c r="AO74" s="3"/>
      <c r="AP74" s="3"/>
      <c r="AS74" s="3"/>
      <c r="AU74" s="3"/>
      <c r="AW74" s="3"/>
      <c r="AZ74" s="3"/>
      <c r="BA74" s="3"/>
      <c r="BD74" s="3"/>
      <c r="BF74" s="3"/>
      <c r="BJ74" s="3"/>
      <c r="BN74" s="3"/>
      <c r="BQ74" s="3"/>
      <c r="BU74" s="3"/>
      <c r="BX74" s="3"/>
      <c r="CB74" s="3"/>
      <c r="CE74" s="3"/>
      <c r="CH74" s="3"/>
      <c r="CL74" s="3"/>
      <c r="CO74" s="3"/>
    </row>
    <row r="75" spans="1:93" x14ac:dyDescent="0.3">
      <c r="A75" s="2" t="s">
        <v>47</v>
      </c>
      <c r="B75" s="2">
        <v>1</v>
      </c>
      <c r="C75" s="3" t="s">
        <v>124</v>
      </c>
      <c r="D75" s="95">
        <v>2.98</v>
      </c>
      <c r="E75" s="3" t="s">
        <v>109</v>
      </c>
      <c r="G75" s="3"/>
      <c r="I75" s="3"/>
      <c r="N75" s="3"/>
      <c r="O75" s="51"/>
      <c r="Q75" s="98"/>
      <c r="R75" s="98"/>
      <c r="S75" s="3"/>
      <c r="T75" s="98"/>
      <c r="U75" s="98"/>
      <c r="W75" s="12"/>
      <c r="X75" s="3"/>
      <c r="Y75" s="12"/>
      <c r="Z75" s="99"/>
      <c r="AA75" s="3"/>
      <c r="AB75" s="51"/>
      <c r="AC75" s="99"/>
      <c r="AD75" s="99"/>
      <c r="AE75" s="3"/>
      <c r="AF75" s="3"/>
      <c r="AG75" s="12"/>
      <c r="AH75" s="2"/>
      <c r="AI75" s="3"/>
      <c r="AJ75" s="2"/>
      <c r="AK75" s="3"/>
      <c r="AL75" s="3"/>
      <c r="AM75" s="2"/>
      <c r="AN75" s="2"/>
      <c r="AO75" s="3"/>
      <c r="AP75" s="3"/>
      <c r="AS75" s="3"/>
      <c r="AU75" s="3"/>
      <c r="AW75" s="3"/>
      <c r="AZ75" s="3"/>
      <c r="BA75" s="3"/>
      <c r="BD75" s="3"/>
      <c r="BF75" s="3"/>
      <c r="BJ75" s="3"/>
      <c r="BN75" s="3"/>
      <c r="BQ75" s="3"/>
      <c r="BU75" s="3"/>
      <c r="BX75" s="3"/>
      <c r="CB75" s="3"/>
      <c r="CE75" s="3"/>
      <c r="CH75" s="3"/>
      <c r="CL75" s="3"/>
      <c r="CO75" s="3"/>
    </row>
    <row r="76" spans="1:93" x14ac:dyDescent="0.3">
      <c r="A76" s="2" t="s">
        <v>31</v>
      </c>
      <c r="B76" s="2">
        <v>1</v>
      </c>
      <c r="C76" s="3" t="s">
        <v>125</v>
      </c>
      <c r="D76" s="95">
        <v>9</v>
      </c>
      <c r="E76" s="3" t="s">
        <v>126</v>
      </c>
      <c r="G76" s="3"/>
      <c r="I76" s="3"/>
      <c r="N76" s="3"/>
      <c r="O76" s="51"/>
      <c r="Q76" s="98"/>
      <c r="R76" s="98"/>
      <c r="S76" s="3"/>
      <c r="T76" s="98"/>
      <c r="U76" s="98"/>
      <c r="W76" s="12"/>
      <c r="X76" s="3"/>
      <c r="Y76" s="12"/>
      <c r="Z76" s="99"/>
      <c r="AA76" s="3"/>
      <c r="AB76" s="51"/>
      <c r="AC76" s="99"/>
      <c r="AD76" s="99"/>
      <c r="AE76" s="3"/>
      <c r="AF76" s="3"/>
      <c r="AG76" s="12"/>
      <c r="AH76" s="2"/>
      <c r="AI76" s="3"/>
      <c r="AJ76" s="2"/>
      <c r="AK76" s="3"/>
      <c r="AL76" s="3"/>
      <c r="AM76" s="2"/>
      <c r="AN76" s="2"/>
      <c r="AO76" s="3"/>
      <c r="AP76" s="3"/>
      <c r="AS76" s="3"/>
      <c r="AU76" s="3"/>
      <c r="AW76" s="3"/>
      <c r="AZ76" s="3"/>
      <c r="BA76" s="3"/>
      <c r="BD76" s="3"/>
      <c r="BF76" s="3"/>
      <c r="BJ76" s="3"/>
      <c r="BN76" s="3"/>
      <c r="BQ76" s="3"/>
      <c r="BU76" s="3"/>
      <c r="BX76" s="3"/>
      <c r="CB76" s="3"/>
      <c r="CE76" s="3"/>
      <c r="CH76" s="3"/>
      <c r="CL76" s="3"/>
      <c r="CO76" s="3"/>
    </row>
    <row r="77" spans="1:93" x14ac:dyDescent="0.3">
      <c r="A77" s="2" t="s">
        <v>127</v>
      </c>
      <c r="B77" s="2">
        <v>1</v>
      </c>
      <c r="C77" s="3" t="s">
        <v>128</v>
      </c>
      <c r="D77" s="95">
        <v>9</v>
      </c>
      <c r="E77" s="3" t="s">
        <v>126</v>
      </c>
      <c r="G77" s="3"/>
      <c r="I77" s="3"/>
      <c r="N77" s="3"/>
      <c r="O77" s="51"/>
      <c r="Q77" s="98"/>
      <c r="R77" s="98"/>
      <c r="S77" s="3"/>
      <c r="T77" s="98"/>
      <c r="U77" s="98"/>
      <c r="W77" s="12"/>
      <c r="X77" s="3"/>
      <c r="Y77" s="12"/>
      <c r="Z77" s="99"/>
      <c r="AA77" s="3"/>
      <c r="AB77" s="51"/>
      <c r="AC77" s="99"/>
      <c r="AD77" s="99"/>
      <c r="AE77" s="3"/>
      <c r="AF77" s="3"/>
      <c r="AG77" s="12"/>
      <c r="AH77" s="2"/>
      <c r="AI77" s="3"/>
      <c r="AJ77" s="2"/>
      <c r="AK77" s="3"/>
      <c r="AL77" s="3"/>
      <c r="AM77" s="2"/>
      <c r="AN77" s="2"/>
      <c r="AO77" s="3"/>
      <c r="AP77" s="3"/>
      <c r="AS77" s="3"/>
      <c r="AU77" s="3"/>
      <c r="AW77" s="3"/>
      <c r="AZ77" s="3"/>
      <c r="BA77" s="3"/>
      <c r="BD77" s="3"/>
      <c r="BF77" s="3"/>
      <c r="BJ77" s="3"/>
      <c r="BN77" s="3"/>
      <c r="BQ77" s="3"/>
      <c r="BU77" s="3"/>
      <c r="BX77" s="3"/>
      <c r="CB77" s="3"/>
      <c r="CE77" s="3"/>
      <c r="CH77" s="3"/>
      <c r="CL77" s="3"/>
      <c r="CO77" s="3"/>
    </row>
    <row r="78" spans="1:93" x14ac:dyDescent="0.3">
      <c r="A78" s="2" t="s">
        <v>9</v>
      </c>
      <c r="B78" s="2">
        <v>1</v>
      </c>
      <c r="C78" s="3" t="s">
        <v>120</v>
      </c>
      <c r="D78" s="95">
        <v>1.75</v>
      </c>
      <c r="E78" s="3" t="s">
        <v>109</v>
      </c>
      <c r="F78" s="51">
        <f>D78*D58</f>
        <v>196</v>
      </c>
      <c r="G78" s="3" t="s">
        <v>102</v>
      </c>
      <c r="I78" s="3"/>
      <c r="N78" s="3"/>
      <c r="O78" s="51"/>
      <c r="Q78" s="98"/>
      <c r="R78" s="98"/>
      <c r="S78" s="3"/>
      <c r="T78" s="98"/>
      <c r="U78" s="98"/>
      <c r="W78" s="12"/>
      <c r="X78" s="3"/>
      <c r="Y78" s="12"/>
      <c r="Z78" s="99"/>
      <c r="AA78" s="3"/>
      <c r="AB78" s="51"/>
      <c r="AC78" s="99"/>
      <c r="AD78" s="99"/>
      <c r="AE78" s="3"/>
      <c r="AF78" s="3"/>
      <c r="AG78" s="12"/>
      <c r="AH78" s="2"/>
      <c r="AI78" s="3"/>
      <c r="AJ78" s="2"/>
      <c r="AK78" s="3"/>
      <c r="AL78" s="3"/>
      <c r="AM78" s="2"/>
      <c r="AN78" s="2"/>
      <c r="AO78" s="3"/>
      <c r="AP78" s="3"/>
      <c r="AS78" s="3"/>
      <c r="AU78" s="3"/>
      <c r="AW78" s="3"/>
      <c r="AZ78" s="3"/>
      <c r="BA78" s="3"/>
      <c r="BD78" s="3"/>
      <c r="BF78" s="3"/>
      <c r="BJ78" s="3"/>
      <c r="BN78" s="3"/>
      <c r="BQ78" s="3"/>
      <c r="BU78" s="3"/>
      <c r="BX78" s="3"/>
      <c r="CB78" s="3"/>
      <c r="CE78" s="3"/>
      <c r="CH78" s="3"/>
      <c r="CL78" s="3"/>
      <c r="CO78" s="3"/>
    </row>
    <row r="79" spans="1:93" x14ac:dyDescent="0.3">
      <c r="A79" s="2" t="s">
        <v>9</v>
      </c>
      <c r="B79" s="2">
        <v>1</v>
      </c>
      <c r="C79" s="3" t="s">
        <v>119</v>
      </c>
      <c r="D79" s="95">
        <v>175</v>
      </c>
      <c r="E79" s="3" t="s">
        <v>102</v>
      </c>
      <c r="F79" s="95">
        <f>D79/D58</f>
        <v>1.5625</v>
      </c>
      <c r="G79" s="3" t="s">
        <v>105</v>
      </c>
      <c r="I79" s="3"/>
      <c r="N79" s="3"/>
      <c r="O79" s="51"/>
      <c r="Q79" s="98"/>
      <c r="R79" s="98"/>
      <c r="S79" s="3"/>
      <c r="T79" s="98"/>
      <c r="U79" s="98"/>
      <c r="W79" s="12"/>
      <c r="X79" s="3"/>
      <c r="Y79" s="12"/>
      <c r="Z79" s="99"/>
      <c r="AA79" s="3"/>
      <c r="AB79" s="51"/>
      <c r="AC79" s="99"/>
      <c r="AD79" s="99"/>
      <c r="AE79" s="3"/>
      <c r="AF79" s="3"/>
      <c r="AG79" s="12"/>
      <c r="AH79" s="2"/>
      <c r="AI79" s="3"/>
      <c r="AJ79" s="2"/>
      <c r="AK79" s="3"/>
      <c r="AL79" s="3"/>
      <c r="AM79" s="2"/>
      <c r="AN79" s="2"/>
      <c r="AO79" s="3"/>
      <c r="AP79" s="3"/>
      <c r="AS79" s="3"/>
      <c r="AU79" s="3"/>
      <c r="AW79" s="3"/>
      <c r="AZ79" s="3"/>
      <c r="BA79" s="3"/>
      <c r="BD79" s="3"/>
      <c r="BF79" s="3"/>
      <c r="BJ79" s="3"/>
      <c r="BN79" s="3"/>
      <c r="BQ79" s="3"/>
      <c r="BU79" s="3"/>
      <c r="BX79" s="3"/>
      <c r="CB79" s="3"/>
      <c r="CE79" s="3"/>
      <c r="CH79" s="3"/>
      <c r="CL79" s="3"/>
      <c r="CO79" s="3"/>
    </row>
    <row r="80" spans="1:93" x14ac:dyDescent="0.3">
      <c r="A80" s="2" t="s">
        <v>129</v>
      </c>
      <c r="B80" s="2">
        <v>1</v>
      </c>
      <c r="C80" s="3" t="s">
        <v>130</v>
      </c>
      <c r="D80" s="95">
        <v>0.15175</v>
      </c>
      <c r="E80" s="3" t="s">
        <v>109</v>
      </c>
      <c r="F80" s="95">
        <v>16.997</v>
      </c>
      <c r="G80" s="3" t="s">
        <v>102</v>
      </c>
      <c r="I80" s="3"/>
      <c r="N80" s="3"/>
      <c r="O80" s="51"/>
      <c r="Q80" s="98"/>
      <c r="R80" s="98"/>
      <c r="S80" s="3"/>
      <c r="T80" s="98"/>
      <c r="U80" s="98"/>
      <c r="W80" s="12"/>
      <c r="X80" s="3"/>
      <c r="Y80" s="12"/>
      <c r="Z80" s="99"/>
      <c r="AA80" s="3"/>
      <c r="AB80" s="51"/>
      <c r="AC80" s="99"/>
      <c r="AD80" s="99"/>
      <c r="AE80" s="3"/>
      <c r="AF80" s="3"/>
      <c r="AG80" s="12"/>
      <c r="AH80" s="2"/>
      <c r="AI80" s="3"/>
      <c r="AJ80" s="2"/>
      <c r="AK80" s="3"/>
      <c r="AL80" s="3"/>
      <c r="AM80" s="2"/>
      <c r="AN80" s="2"/>
      <c r="AO80" s="3"/>
      <c r="AP80" s="3"/>
      <c r="AS80" s="3"/>
      <c r="AU80" s="3"/>
      <c r="AW80" s="3"/>
      <c r="AZ80" s="3"/>
      <c r="BA80" s="3"/>
      <c r="BD80" s="3"/>
      <c r="BF80" s="3"/>
      <c r="BJ80" s="3"/>
      <c r="BN80" s="3"/>
      <c r="BQ80" s="3"/>
      <c r="BU80" s="3"/>
      <c r="BX80" s="3"/>
      <c r="CB80" s="3"/>
      <c r="CE80" s="3"/>
      <c r="CH80" s="3"/>
      <c r="CL80" s="3"/>
      <c r="CO80" s="3"/>
    </row>
    <row r="81" spans="1:93" x14ac:dyDescent="0.3">
      <c r="A81" s="2" t="s">
        <v>35</v>
      </c>
      <c r="B81" s="2">
        <v>1</v>
      </c>
      <c r="C81" s="3" t="s">
        <v>120</v>
      </c>
      <c r="D81" s="95">
        <v>1.5</v>
      </c>
      <c r="E81" s="3" t="s">
        <v>109</v>
      </c>
      <c r="G81" s="3"/>
      <c r="I81" s="3"/>
      <c r="N81" s="3"/>
      <c r="O81" s="51"/>
      <c r="Q81" s="98"/>
      <c r="R81" s="98"/>
      <c r="S81" s="3"/>
      <c r="T81" s="98"/>
      <c r="U81" s="98"/>
      <c r="W81" s="12"/>
      <c r="X81" s="3"/>
      <c r="Y81" s="12"/>
      <c r="Z81" s="99"/>
      <c r="AA81" s="3"/>
      <c r="AB81" s="51"/>
      <c r="AC81" s="99"/>
      <c r="AD81" s="99"/>
      <c r="AE81" s="3"/>
      <c r="AF81" s="3"/>
      <c r="AG81" s="12"/>
      <c r="AH81" s="2"/>
      <c r="AI81" s="3"/>
      <c r="AJ81" s="2"/>
      <c r="AK81" s="3"/>
      <c r="AL81" s="3"/>
      <c r="AM81" s="2"/>
      <c r="AN81" s="2"/>
      <c r="AO81" s="3"/>
      <c r="AP81" s="3"/>
      <c r="AS81" s="3"/>
      <c r="AU81" s="3"/>
      <c r="AW81" s="3"/>
      <c r="AZ81" s="3"/>
      <c r="BA81" s="3"/>
      <c r="BD81" s="3"/>
      <c r="BF81" s="3"/>
      <c r="BJ81" s="3"/>
      <c r="BN81" s="3"/>
      <c r="BQ81" s="3"/>
      <c r="BU81" s="3"/>
      <c r="BX81" s="3"/>
      <c r="CB81" s="3"/>
      <c r="CE81" s="3"/>
      <c r="CH81" s="3"/>
      <c r="CL81" s="3"/>
      <c r="CO81" s="3"/>
    </row>
    <row r="82" spans="1:93" x14ac:dyDescent="0.3">
      <c r="A82" s="2" t="s">
        <v>131</v>
      </c>
      <c r="B82" s="2">
        <v>1</v>
      </c>
      <c r="C82" s="3" t="s">
        <v>120</v>
      </c>
      <c r="D82" s="95">
        <v>1.625</v>
      </c>
      <c r="E82" s="3" t="s">
        <v>109</v>
      </c>
      <c r="G82" s="3"/>
      <c r="I82" s="3"/>
      <c r="N82" s="3"/>
      <c r="O82" s="51"/>
      <c r="Q82" s="98"/>
      <c r="R82" s="98"/>
      <c r="S82" s="3"/>
      <c r="T82" s="98"/>
      <c r="U82" s="98"/>
      <c r="W82" s="12"/>
      <c r="X82" s="3"/>
      <c r="Y82" s="12"/>
      <c r="Z82" s="99"/>
      <c r="AA82" s="3"/>
      <c r="AB82" s="51"/>
      <c r="AC82" s="99"/>
      <c r="AD82" s="99"/>
      <c r="AE82" s="3"/>
      <c r="AF82" s="3"/>
      <c r="AG82" s="12"/>
      <c r="AH82" s="2"/>
      <c r="AI82" s="3"/>
      <c r="AJ82" s="2"/>
      <c r="AK82" s="3"/>
      <c r="AL82" s="3"/>
      <c r="AM82" s="2"/>
      <c r="AN82" s="2"/>
      <c r="AO82" s="3"/>
      <c r="AP82" s="3"/>
      <c r="AS82" s="3"/>
      <c r="AU82" s="3"/>
      <c r="AW82" s="3"/>
      <c r="AZ82" s="3"/>
      <c r="BA82" s="3"/>
      <c r="BD82" s="3"/>
      <c r="BF82" s="3"/>
      <c r="BJ82" s="3"/>
      <c r="BN82" s="3"/>
      <c r="BQ82" s="3"/>
      <c r="BU82" s="3"/>
      <c r="BX82" s="3"/>
      <c r="CB82" s="3"/>
      <c r="CE82" s="3"/>
      <c r="CH82" s="3"/>
      <c r="CL82" s="3"/>
      <c r="CO82" s="3"/>
    </row>
    <row r="83" spans="1:93" x14ac:dyDescent="0.3">
      <c r="A83" s="2" t="s">
        <v>3</v>
      </c>
      <c r="B83" s="2">
        <v>1</v>
      </c>
      <c r="C83" s="3" t="s">
        <v>120</v>
      </c>
      <c r="D83" s="95">
        <v>1.5</v>
      </c>
      <c r="E83" s="3" t="s">
        <v>109</v>
      </c>
      <c r="G83" s="3"/>
      <c r="I83" s="3"/>
      <c r="N83" s="3"/>
      <c r="O83" s="51"/>
      <c r="Q83" s="98"/>
      <c r="R83" s="98"/>
      <c r="S83" s="3"/>
      <c r="T83" s="98"/>
      <c r="U83" s="98"/>
      <c r="W83" s="12"/>
      <c r="X83" s="3"/>
      <c r="Y83" s="12"/>
      <c r="Z83" s="99"/>
      <c r="AA83" s="3"/>
      <c r="AB83" s="51"/>
      <c r="AC83" s="99"/>
      <c r="AD83" s="99"/>
      <c r="AE83" s="3"/>
      <c r="AF83" s="3"/>
      <c r="AG83" s="12"/>
      <c r="AH83" s="2"/>
      <c r="AI83" s="3"/>
      <c r="AJ83" s="2"/>
      <c r="AK83" s="3"/>
      <c r="AL83" s="3"/>
      <c r="AM83" s="2"/>
      <c r="AN83" s="2"/>
      <c r="AO83" s="3"/>
      <c r="AP83" s="3"/>
      <c r="AS83" s="3"/>
      <c r="AU83" s="3"/>
      <c r="AW83" s="3"/>
      <c r="AZ83" s="3"/>
      <c r="BA83" s="3"/>
      <c r="BD83" s="3"/>
      <c r="BF83" s="3"/>
      <c r="BJ83" s="3"/>
      <c r="BN83" s="3"/>
      <c r="BQ83" s="3"/>
      <c r="BU83" s="3"/>
      <c r="BX83" s="3"/>
      <c r="CB83" s="3"/>
      <c r="CE83" s="3"/>
      <c r="CH83" s="3"/>
      <c r="CL83" s="3"/>
      <c r="CO83" s="3"/>
    </row>
    <row r="84" spans="1:93" x14ac:dyDescent="0.3">
      <c r="A84" s="2" t="s">
        <v>15</v>
      </c>
      <c r="B84" s="2">
        <v>1</v>
      </c>
      <c r="C84" s="3" t="s">
        <v>120</v>
      </c>
      <c r="D84" s="95">
        <v>1.5</v>
      </c>
      <c r="E84" s="3" t="s">
        <v>109</v>
      </c>
      <c r="G84" s="3"/>
      <c r="I84" s="3"/>
      <c r="N84" s="3"/>
      <c r="O84" s="51"/>
      <c r="Q84" s="98"/>
      <c r="R84" s="98"/>
      <c r="S84" s="3"/>
      <c r="T84" s="98"/>
      <c r="U84" s="98"/>
      <c r="W84" s="12"/>
      <c r="X84" s="3"/>
      <c r="Y84" s="12"/>
      <c r="Z84" s="99"/>
      <c r="AA84" s="3"/>
      <c r="AB84" s="51"/>
      <c r="AC84" s="99"/>
      <c r="AD84" s="99"/>
      <c r="AE84" s="3"/>
      <c r="AF84" s="3"/>
      <c r="AG84" s="12"/>
      <c r="AH84" s="2"/>
      <c r="AI84" s="3"/>
      <c r="AJ84" s="2"/>
      <c r="AK84" s="3"/>
      <c r="AL84" s="3"/>
      <c r="AM84" s="2"/>
      <c r="AN84" s="2"/>
      <c r="AO84" s="3"/>
      <c r="AP84" s="3"/>
      <c r="AS84" s="3"/>
      <c r="AU84" s="3"/>
      <c r="AW84" s="3"/>
      <c r="AZ84" s="3"/>
      <c r="BA84" s="3"/>
      <c r="BD84" s="3"/>
      <c r="BF84" s="3"/>
      <c r="BJ84" s="3"/>
      <c r="BN84" s="3"/>
      <c r="BQ84" s="3"/>
      <c r="BU84" s="3"/>
      <c r="BX84" s="3"/>
      <c r="CB84" s="3"/>
      <c r="CE84" s="3"/>
      <c r="CH84" s="3"/>
      <c r="CL84" s="3"/>
      <c r="CO84" s="3"/>
    </row>
    <row r="85" spans="1:93" x14ac:dyDescent="0.3">
      <c r="A85" s="151" t="s">
        <v>132</v>
      </c>
      <c r="B85" s="2">
        <v>1</v>
      </c>
      <c r="C85" s="3" t="s">
        <v>133</v>
      </c>
      <c r="D85" s="95">
        <v>18.559999999999999</v>
      </c>
      <c r="E85" s="3" t="s">
        <v>126</v>
      </c>
      <c r="G85" s="3"/>
      <c r="I85" s="3"/>
      <c r="N85" s="3"/>
      <c r="O85" s="51"/>
      <c r="Q85" s="98"/>
      <c r="R85" s="98"/>
      <c r="S85" s="3"/>
      <c r="T85" s="98"/>
      <c r="U85" s="98"/>
      <c r="W85" s="12"/>
      <c r="X85" s="3"/>
      <c r="Y85" s="12"/>
      <c r="Z85" s="99"/>
      <c r="AA85" s="3"/>
      <c r="AB85" s="51"/>
      <c r="AC85" s="99"/>
      <c r="AD85" s="99"/>
      <c r="AE85" s="3"/>
      <c r="AF85" s="3"/>
      <c r="AG85" s="12"/>
      <c r="AH85" s="2"/>
      <c r="AI85" s="3"/>
      <c r="AJ85" s="2"/>
      <c r="AK85" s="3"/>
      <c r="AL85" s="3"/>
      <c r="AM85" s="2"/>
      <c r="AN85" s="2"/>
      <c r="AO85" s="3"/>
      <c r="AP85" s="3"/>
      <c r="AS85" s="3"/>
      <c r="AU85" s="3"/>
      <c r="AW85" s="3"/>
      <c r="AZ85" s="3"/>
      <c r="BA85" s="3"/>
      <c r="BD85" s="3"/>
      <c r="BF85" s="3"/>
      <c r="BJ85" s="3"/>
      <c r="BN85" s="3"/>
      <c r="BQ85" s="3"/>
      <c r="BU85" s="3"/>
      <c r="BX85" s="3"/>
      <c r="CB85" s="3"/>
      <c r="CE85" s="3"/>
      <c r="CH85" s="3"/>
      <c r="CL85" s="3"/>
      <c r="CO85" s="3"/>
    </row>
    <row r="86" spans="1:93" x14ac:dyDescent="0.3">
      <c r="A86" s="151"/>
      <c r="B86" s="2">
        <v>1</v>
      </c>
      <c r="C86" s="3" t="s">
        <v>134</v>
      </c>
      <c r="D86" s="95">
        <v>164</v>
      </c>
      <c r="E86" s="3" t="s">
        <v>102</v>
      </c>
      <c r="F86" s="95">
        <f>D86/D43</f>
        <v>1.4642857142857142</v>
      </c>
      <c r="G86" s="3" t="s">
        <v>109</v>
      </c>
      <c r="I86" s="6"/>
      <c r="N86" s="6"/>
      <c r="O86" s="51"/>
      <c r="Q86" s="98"/>
      <c r="R86" s="98"/>
      <c r="S86" s="6"/>
      <c r="T86" s="98"/>
      <c r="U86" s="98"/>
      <c r="W86" s="12"/>
      <c r="X86" s="6"/>
      <c r="Y86" s="12"/>
      <c r="Z86" s="99"/>
      <c r="AA86" s="6"/>
      <c r="AB86" s="51"/>
      <c r="AC86" s="99"/>
      <c r="AD86" s="99"/>
      <c r="AE86" s="6"/>
      <c r="AF86" s="3"/>
      <c r="AG86" s="12"/>
      <c r="AH86" s="2"/>
      <c r="AI86" s="3"/>
      <c r="AJ86" s="2"/>
      <c r="AK86" s="6"/>
      <c r="AL86" s="3"/>
      <c r="AM86" s="2"/>
      <c r="AN86" s="2"/>
      <c r="AO86" s="6"/>
      <c r="AP86" s="3"/>
      <c r="AS86" s="3"/>
      <c r="AU86" s="6"/>
      <c r="AW86" s="3"/>
      <c r="AZ86" s="6"/>
      <c r="BA86" s="3"/>
      <c r="BD86" s="3"/>
      <c r="BF86" s="6"/>
      <c r="BJ86" s="6"/>
      <c r="BN86" s="6"/>
      <c r="BQ86" s="6"/>
      <c r="BU86" s="6"/>
      <c r="BX86" s="6"/>
      <c r="CB86" s="6"/>
      <c r="CE86" s="6"/>
      <c r="CH86" s="6"/>
      <c r="CL86" s="6"/>
      <c r="CO86" s="6"/>
    </row>
    <row r="87" spans="1:93" x14ac:dyDescent="0.3">
      <c r="A87" s="151" t="s">
        <v>135</v>
      </c>
      <c r="B87" s="2">
        <v>1</v>
      </c>
      <c r="C87" s="3" t="s">
        <v>136</v>
      </c>
      <c r="D87" s="95">
        <v>336</v>
      </c>
      <c r="E87" s="3" t="s">
        <v>102</v>
      </c>
      <c r="F87" s="95">
        <v>3</v>
      </c>
      <c r="G87" s="3" t="s">
        <v>109</v>
      </c>
      <c r="I87" s="3"/>
      <c r="N87" s="3"/>
      <c r="O87" s="51"/>
      <c r="Q87" s="98"/>
      <c r="R87" s="98"/>
      <c r="S87" s="3"/>
      <c r="T87" s="98"/>
      <c r="U87" s="98"/>
      <c r="W87" s="12"/>
      <c r="X87" s="3"/>
      <c r="Y87" s="12"/>
      <c r="Z87" s="99"/>
      <c r="AA87" s="3"/>
      <c r="AB87" s="51"/>
      <c r="AC87" s="99"/>
      <c r="AD87" s="99"/>
      <c r="AE87" s="3"/>
      <c r="AF87" s="3"/>
      <c r="AG87" s="12"/>
      <c r="AH87" s="2"/>
      <c r="AI87" s="3"/>
      <c r="AJ87" s="2"/>
      <c r="AK87" s="3"/>
      <c r="AL87" s="3"/>
      <c r="AM87" s="2"/>
      <c r="AN87" s="2"/>
      <c r="AO87" s="3"/>
      <c r="AP87" s="3"/>
      <c r="AS87" s="3"/>
      <c r="AU87" s="3"/>
      <c r="AW87" s="3"/>
      <c r="AZ87" s="3"/>
      <c r="BA87" s="3"/>
      <c r="BD87" s="3"/>
      <c r="BF87" s="3"/>
      <c r="BJ87" s="3"/>
      <c r="BN87" s="3"/>
      <c r="BQ87" s="3"/>
      <c r="BU87" s="3"/>
      <c r="BX87" s="3"/>
      <c r="CB87" s="3"/>
      <c r="CE87" s="3"/>
      <c r="CH87" s="3"/>
      <c r="CL87" s="3"/>
      <c r="CO87" s="3"/>
    </row>
    <row r="88" spans="1:93" x14ac:dyDescent="0.3">
      <c r="A88" s="151"/>
      <c r="B88" s="2">
        <v>1</v>
      </c>
      <c r="C88" s="3" t="s">
        <v>137</v>
      </c>
      <c r="D88" s="95">
        <v>240</v>
      </c>
      <c r="E88" s="3" t="s">
        <v>102</v>
      </c>
      <c r="F88" s="95">
        <f>D88/D58</f>
        <v>2.1428571428571428</v>
      </c>
      <c r="G88" s="3" t="s">
        <v>109</v>
      </c>
      <c r="I88" s="3"/>
      <c r="N88" s="3"/>
      <c r="O88" s="51"/>
      <c r="Q88" s="98"/>
      <c r="R88" s="98"/>
      <c r="S88" s="3"/>
      <c r="T88" s="98"/>
      <c r="U88" s="98"/>
      <c r="W88" s="12"/>
      <c r="X88" s="3"/>
      <c r="Y88" s="12"/>
      <c r="Z88" s="99"/>
      <c r="AA88" s="3"/>
      <c r="AB88" s="51"/>
      <c r="AC88" s="99"/>
      <c r="AD88" s="99"/>
      <c r="AE88" s="3"/>
      <c r="AF88" s="3"/>
      <c r="AG88" s="12"/>
      <c r="AH88" s="2"/>
      <c r="AI88" s="3"/>
      <c r="AJ88" s="2"/>
      <c r="AK88" s="3"/>
      <c r="AL88" s="3"/>
      <c r="AM88" s="2"/>
      <c r="AN88" s="2"/>
      <c r="AO88" s="3"/>
      <c r="AP88" s="3"/>
      <c r="AS88" s="3"/>
      <c r="AU88" s="3"/>
      <c r="AW88" s="3"/>
      <c r="AZ88" s="3"/>
      <c r="BA88" s="3"/>
      <c r="BD88" s="3"/>
      <c r="BF88" s="3"/>
      <c r="BJ88" s="3"/>
      <c r="BN88" s="3"/>
      <c r="BQ88" s="3"/>
      <c r="BU88" s="3"/>
      <c r="BX88" s="3"/>
      <c r="CB88" s="3"/>
      <c r="CE88" s="3"/>
      <c r="CH88" s="3"/>
      <c r="CL88" s="3"/>
      <c r="CO88" s="3"/>
    </row>
    <row r="89" spans="1:93" x14ac:dyDescent="0.3">
      <c r="A89" s="151" t="s">
        <v>29</v>
      </c>
      <c r="B89" s="2">
        <v>1</v>
      </c>
      <c r="C89" s="3" t="s">
        <v>138</v>
      </c>
      <c r="D89" s="95">
        <v>3.40835</v>
      </c>
      <c r="E89" s="3" t="s">
        <v>120</v>
      </c>
      <c r="F89" s="95">
        <f>D89*D90/D58</f>
        <v>5.9646125000000003</v>
      </c>
      <c r="G89" s="3" t="s">
        <v>109</v>
      </c>
      <c r="I89" s="3"/>
      <c r="N89" s="3"/>
      <c r="O89" s="51"/>
      <c r="Q89" s="98"/>
      <c r="R89" s="98"/>
      <c r="S89" s="3"/>
      <c r="T89" s="98"/>
      <c r="U89" s="98"/>
      <c r="W89" s="12"/>
      <c r="X89" s="3"/>
      <c r="Y89" s="12"/>
      <c r="Z89" s="99"/>
      <c r="AA89" s="3"/>
      <c r="AB89" s="51"/>
      <c r="AC89" s="99"/>
      <c r="AD89" s="99"/>
      <c r="AE89" s="3"/>
      <c r="AF89" s="3"/>
      <c r="AG89" s="12"/>
      <c r="AH89" s="2"/>
      <c r="AI89" s="3"/>
      <c r="AJ89" s="2"/>
      <c r="AK89" s="3"/>
      <c r="AL89" s="3"/>
      <c r="AM89" s="2"/>
      <c r="AN89" s="2"/>
      <c r="AO89" s="3"/>
      <c r="AP89" s="3"/>
      <c r="AS89" s="3"/>
      <c r="AU89" s="3"/>
      <c r="AW89" s="3"/>
      <c r="AZ89" s="3"/>
      <c r="BA89" s="3"/>
      <c r="BD89" s="3"/>
      <c r="BF89" s="3"/>
      <c r="BJ89" s="3"/>
      <c r="BN89" s="3"/>
      <c r="BQ89" s="3"/>
      <c r="BU89" s="3"/>
      <c r="BX89" s="3"/>
      <c r="CB89" s="3"/>
      <c r="CE89" s="3"/>
      <c r="CH89" s="3"/>
      <c r="CL89" s="3"/>
      <c r="CO89" s="3"/>
    </row>
    <row r="90" spans="1:93" x14ac:dyDescent="0.3">
      <c r="A90" s="151"/>
      <c r="B90" s="2">
        <v>1</v>
      </c>
      <c r="C90" s="3" t="s">
        <v>120</v>
      </c>
      <c r="D90" s="97">
        <v>196</v>
      </c>
      <c r="E90" s="3" t="s">
        <v>102</v>
      </c>
      <c r="F90" s="95"/>
      <c r="G90" s="2"/>
      <c r="I90" s="3"/>
      <c r="N90" s="3"/>
      <c r="O90" s="51"/>
      <c r="Q90" s="98"/>
      <c r="R90" s="98"/>
      <c r="S90" s="3"/>
      <c r="T90" s="98"/>
      <c r="U90" s="98"/>
      <c r="W90" s="12"/>
      <c r="X90" s="3"/>
      <c r="Y90" s="12"/>
      <c r="Z90" s="99"/>
      <c r="AA90" s="3"/>
      <c r="AB90" s="51"/>
      <c r="AC90" s="99"/>
      <c r="AD90" s="99"/>
      <c r="AE90" s="3"/>
      <c r="AF90" s="3"/>
      <c r="AG90" s="12"/>
      <c r="AH90" s="2"/>
      <c r="AI90" s="3"/>
      <c r="AJ90" s="2"/>
      <c r="AK90" s="3"/>
      <c r="AL90" s="3"/>
      <c r="AM90" s="2"/>
      <c r="AN90" s="2"/>
      <c r="AO90" s="3"/>
      <c r="AP90" s="3"/>
      <c r="AS90" s="3"/>
      <c r="AU90" s="3"/>
      <c r="AW90" s="3"/>
      <c r="AZ90" s="3"/>
      <c r="BA90" s="3"/>
      <c r="BD90" s="3"/>
      <c r="BF90" s="3"/>
      <c r="BJ90" s="3"/>
      <c r="BN90" s="3"/>
      <c r="BQ90" s="3"/>
      <c r="BU90" s="3"/>
      <c r="BX90" s="3"/>
      <c r="CB90" s="3"/>
      <c r="CE90" s="3"/>
      <c r="CH90" s="3"/>
      <c r="CL90" s="3"/>
      <c r="CO90" s="3"/>
    </row>
    <row r="91" spans="1:93" x14ac:dyDescent="0.3">
      <c r="A91" s="151" t="s">
        <v>74</v>
      </c>
      <c r="B91" s="2">
        <v>1</v>
      </c>
      <c r="C91" s="3" t="s">
        <v>139</v>
      </c>
      <c r="D91" s="97">
        <v>1</v>
      </c>
      <c r="E91" s="3" t="s">
        <v>124</v>
      </c>
      <c r="F91" s="95">
        <f>F92</f>
        <v>3.0446428571428572</v>
      </c>
      <c r="G91" s="3" t="s">
        <v>109</v>
      </c>
      <c r="I91" s="3"/>
      <c r="N91" s="3"/>
      <c r="O91" s="51"/>
      <c r="Q91" s="98"/>
      <c r="R91" s="98"/>
      <c r="S91" s="3"/>
      <c r="T91" s="98"/>
      <c r="U91" s="98"/>
      <c r="W91" s="12"/>
      <c r="X91" s="3"/>
      <c r="Y91" s="12"/>
      <c r="Z91" s="99"/>
      <c r="AA91" s="3"/>
      <c r="AB91" s="51"/>
      <c r="AC91" s="99"/>
      <c r="AD91" s="99"/>
      <c r="AE91" s="3"/>
      <c r="AF91" s="3"/>
      <c r="AG91" s="12"/>
      <c r="AH91" s="2"/>
      <c r="AI91" s="3"/>
      <c r="AJ91" s="2"/>
      <c r="AK91" s="3"/>
      <c r="AL91" s="3"/>
      <c r="AM91" s="2"/>
      <c r="AN91" s="2"/>
      <c r="AO91" s="3"/>
      <c r="AP91" s="3"/>
      <c r="AS91" s="3"/>
      <c r="AU91" s="3"/>
      <c r="AW91" s="3"/>
      <c r="AZ91" s="3"/>
      <c r="BA91" s="3"/>
      <c r="BD91" s="3"/>
      <c r="BF91" s="3"/>
      <c r="BJ91" s="3"/>
      <c r="BN91" s="3"/>
      <c r="BQ91" s="3"/>
      <c r="BU91" s="3"/>
      <c r="BX91" s="3"/>
      <c r="CB91" s="3"/>
      <c r="CE91" s="3"/>
      <c r="CH91" s="3"/>
      <c r="CL91" s="3"/>
      <c r="CO91" s="3"/>
    </row>
    <row r="92" spans="1:93" x14ac:dyDescent="0.3">
      <c r="A92" s="151"/>
      <c r="B92" s="2">
        <v>1</v>
      </c>
      <c r="C92" s="3" t="s">
        <v>124</v>
      </c>
      <c r="D92" s="97">
        <f>(355+327)/2</f>
        <v>341</v>
      </c>
      <c r="E92" s="3" t="s">
        <v>102</v>
      </c>
      <c r="F92" s="95">
        <f>D92/D58</f>
        <v>3.0446428571428572</v>
      </c>
      <c r="G92" s="3" t="s">
        <v>109</v>
      </c>
      <c r="I92" s="3"/>
      <c r="N92" s="3"/>
      <c r="O92" s="51"/>
      <c r="Q92" s="98"/>
      <c r="R92" s="98"/>
      <c r="S92" s="3"/>
      <c r="T92" s="98"/>
      <c r="U92" s="98"/>
      <c r="W92" s="12"/>
      <c r="X92" s="3"/>
      <c r="Y92" s="12"/>
      <c r="Z92" s="99"/>
      <c r="AA92" s="3"/>
      <c r="AB92" s="51"/>
      <c r="AC92" s="99"/>
      <c r="AD92" s="99"/>
      <c r="AE92" s="3"/>
      <c r="AF92" s="3"/>
      <c r="AG92" s="12"/>
      <c r="AH92" s="2"/>
      <c r="AI92" s="3"/>
      <c r="AJ92" s="2"/>
      <c r="AK92" s="3"/>
      <c r="AL92" s="3"/>
      <c r="AM92" s="2"/>
      <c r="AN92" s="2"/>
      <c r="AO92" s="3"/>
      <c r="AP92" s="3"/>
      <c r="AS92" s="3"/>
      <c r="AU92" s="3"/>
      <c r="AW92" s="3"/>
      <c r="AZ92" s="3"/>
      <c r="BA92" s="3"/>
      <c r="BD92" s="3"/>
      <c r="BF92" s="3"/>
      <c r="BJ92" s="3"/>
      <c r="BN92" s="3"/>
      <c r="BQ92" s="3"/>
      <c r="BU92" s="3"/>
      <c r="BX92" s="3"/>
      <c r="CB92" s="3"/>
      <c r="CE92" s="3"/>
      <c r="CH92" s="3"/>
      <c r="CL92" s="3"/>
      <c r="CO92" s="3"/>
    </row>
    <row r="93" spans="1:93" x14ac:dyDescent="0.3">
      <c r="A93" s="151" t="s">
        <v>16</v>
      </c>
      <c r="B93" s="2">
        <v>1</v>
      </c>
      <c r="C93" s="6" t="s">
        <v>119</v>
      </c>
      <c r="D93" s="97">
        <v>140.63</v>
      </c>
      <c r="E93" s="3" t="s">
        <v>102</v>
      </c>
      <c r="F93" s="95">
        <f>D93/D58</f>
        <v>1.255625</v>
      </c>
      <c r="G93" s="3" t="s">
        <v>109</v>
      </c>
      <c r="I93" s="3"/>
      <c r="N93" s="3"/>
      <c r="O93" s="51"/>
      <c r="Q93" s="98"/>
      <c r="R93" s="98"/>
      <c r="S93" s="3"/>
      <c r="T93" s="98"/>
      <c r="U93" s="98"/>
      <c r="W93" s="12"/>
      <c r="X93" s="3"/>
      <c r="Y93" s="12"/>
      <c r="Z93" s="99"/>
      <c r="AA93" s="3"/>
      <c r="AB93" s="51"/>
      <c r="AC93" s="99"/>
      <c r="AD93" s="99"/>
      <c r="AE93" s="3"/>
      <c r="AF93" s="3"/>
      <c r="AG93" s="12"/>
      <c r="AH93" s="2"/>
      <c r="AI93" s="3"/>
      <c r="AJ93" s="2"/>
      <c r="AK93" s="3"/>
      <c r="AL93" s="3"/>
      <c r="AM93" s="2"/>
      <c r="AN93" s="2"/>
      <c r="AO93" s="3"/>
      <c r="AP93" s="3"/>
      <c r="AS93" s="3"/>
      <c r="AU93" s="3"/>
      <c r="AW93" s="3"/>
      <c r="AZ93" s="3"/>
      <c r="BA93" s="3"/>
      <c r="BD93" s="3"/>
      <c r="BF93" s="3"/>
      <c r="BJ93" s="3"/>
      <c r="BN93" s="3"/>
      <c r="BQ93" s="3"/>
      <c r="BU93" s="3"/>
      <c r="BX93" s="3"/>
      <c r="CB93" s="3"/>
      <c r="CE93" s="3"/>
      <c r="CH93" s="3"/>
      <c r="CL93" s="3"/>
      <c r="CO93" s="3"/>
    </row>
    <row r="94" spans="1:93" x14ac:dyDescent="0.3">
      <c r="A94" s="151"/>
      <c r="B94" s="2">
        <v>1</v>
      </c>
      <c r="C94" s="6" t="s">
        <v>140</v>
      </c>
      <c r="D94" s="97">
        <v>0.91576999999999997</v>
      </c>
      <c r="E94" s="3" t="s">
        <v>119</v>
      </c>
      <c r="F94" s="95">
        <f>F93*D94</f>
        <v>1.1498637062499999</v>
      </c>
      <c r="G94" s="3" t="s">
        <v>109</v>
      </c>
      <c r="I94" s="3"/>
      <c r="N94" s="3"/>
      <c r="O94" s="51"/>
      <c r="Q94" s="98"/>
      <c r="R94" s="98"/>
      <c r="S94" s="3"/>
      <c r="T94" s="98"/>
      <c r="U94" s="98"/>
      <c r="W94" s="12"/>
      <c r="X94" s="3"/>
      <c r="Y94" s="12"/>
      <c r="Z94" s="99"/>
      <c r="AA94" s="3"/>
      <c r="AB94" s="51"/>
      <c r="AC94" s="99"/>
      <c r="AD94" s="99"/>
      <c r="AE94" s="3"/>
      <c r="AF94" s="3"/>
      <c r="AG94" s="12"/>
      <c r="AH94" s="2"/>
      <c r="AI94" s="3"/>
      <c r="AJ94" s="2"/>
      <c r="AK94" s="3"/>
      <c r="AL94" s="3"/>
      <c r="AM94" s="2"/>
      <c r="AN94" s="2"/>
      <c r="AO94" s="3"/>
      <c r="AP94" s="3"/>
      <c r="AS94" s="3"/>
      <c r="AU94" s="3"/>
      <c r="AW94" s="3"/>
      <c r="AZ94" s="3"/>
      <c r="BA94" s="3"/>
      <c r="BD94" s="3"/>
      <c r="BF94" s="3"/>
      <c r="BJ94" s="3"/>
      <c r="BN94" s="3"/>
      <c r="BQ94" s="3"/>
      <c r="BU94" s="3"/>
      <c r="BX94" s="3"/>
      <c r="CB94" s="3"/>
      <c r="CE94" s="3"/>
      <c r="CH94" s="3"/>
      <c r="CL94" s="3"/>
      <c r="CO94" s="3"/>
    </row>
    <row r="95" spans="1:93" x14ac:dyDescent="0.3">
      <c r="A95" s="151" t="s">
        <v>141</v>
      </c>
      <c r="B95" s="2">
        <v>1</v>
      </c>
      <c r="C95" s="6" t="s">
        <v>124</v>
      </c>
      <c r="D95" s="97">
        <v>2.37609</v>
      </c>
      <c r="E95" s="6" t="s">
        <v>120</v>
      </c>
      <c r="F95" s="95">
        <f>D95*D96</f>
        <v>4.1366063637000003</v>
      </c>
      <c r="G95" s="3" t="s">
        <v>109</v>
      </c>
      <c r="I95" s="3"/>
      <c r="N95" s="3"/>
      <c r="O95" s="51"/>
      <c r="Q95" s="98"/>
      <c r="R95" s="98"/>
      <c r="S95" s="3"/>
      <c r="T95" s="98"/>
      <c r="U95" s="98"/>
      <c r="W95" s="12"/>
      <c r="X95" s="3"/>
      <c r="Y95" s="12"/>
      <c r="Z95" s="99"/>
      <c r="AA95" s="3"/>
      <c r="AB95" s="51"/>
      <c r="AC95" s="99"/>
      <c r="AD95" s="99"/>
      <c r="AE95" s="3"/>
      <c r="AF95" s="6"/>
      <c r="AG95" s="12"/>
      <c r="AH95" s="2"/>
      <c r="AI95" s="6"/>
      <c r="AJ95" s="2"/>
      <c r="AK95" s="3"/>
      <c r="AL95" s="6"/>
      <c r="AM95" s="2"/>
      <c r="AN95" s="2"/>
      <c r="AO95" s="3"/>
      <c r="AP95" s="6"/>
      <c r="AS95" s="6"/>
      <c r="AU95" s="3"/>
      <c r="AW95" s="6"/>
      <c r="AZ95" s="3"/>
      <c r="BA95" s="6"/>
      <c r="BD95" s="6"/>
      <c r="BF95" s="3"/>
      <c r="BJ95" s="3"/>
      <c r="BN95" s="3"/>
      <c r="BQ95" s="3"/>
      <c r="BU95" s="3"/>
      <c r="BX95" s="3"/>
      <c r="CB95" s="3"/>
      <c r="CE95" s="3"/>
      <c r="CH95" s="3"/>
      <c r="CL95" s="3"/>
      <c r="CO95" s="3"/>
    </row>
    <row r="96" spans="1:93" x14ac:dyDescent="0.3">
      <c r="A96" s="151"/>
      <c r="B96" s="2">
        <v>1</v>
      </c>
      <c r="C96" s="6" t="s">
        <v>120</v>
      </c>
      <c r="D96" s="97">
        <v>1.7409300000000001</v>
      </c>
      <c r="E96" s="3" t="s">
        <v>109</v>
      </c>
      <c r="F96" s="95"/>
      <c r="G96" s="3"/>
      <c r="I96" s="3"/>
      <c r="N96" s="3"/>
      <c r="O96" s="51"/>
      <c r="Q96" s="98"/>
      <c r="R96" s="98"/>
      <c r="S96" s="3"/>
      <c r="T96" s="98"/>
      <c r="U96" s="98"/>
      <c r="W96" s="12"/>
      <c r="X96" s="3"/>
      <c r="Y96" s="12"/>
      <c r="Z96" s="99"/>
      <c r="AA96" s="3"/>
      <c r="AB96" s="51"/>
      <c r="AC96" s="99"/>
      <c r="AD96" s="99"/>
      <c r="AE96" s="3"/>
      <c r="AF96" s="3"/>
      <c r="AG96" s="12"/>
      <c r="AH96" s="2"/>
      <c r="AI96" s="3"/>
      <c r="AJ96" s="2"/>
      <c r="AK96" s="3"/>
      <c r="AL96" s="3"/>
      <c r="AM96" s="2"/>
      <c r="AN96" s="2"/>
      <c r="AO96" s="3"/>
      <c r="AP96" s="3"/>
      <c r="AS96" s="3"/>
      <c r="AU96" s="3"/>
      <c r="AW96" s="3"/>
      <c r="AZ96" s="3"/>
      <c r="BA96" s="3"/>
      <c r="BD96" s="3"/>
      <c r="BF96" s="3"/>
      <c r="BJ96" s="3"/>
      <c r="BN96" s="3"/>
      <c r="BQ96" s="3"/>
      <c r="BU96" s="3"/>
      <c r="BX96" s="3"/>
      <c r="CB96" s="3"/>
      <c r="CE96" s="3"/>
      <c r="CH96" s="3"/>
      <c r="CL96" s="3"/>
      <c r="CO96" s="3"/>
    </row>
    <row r="97" spans="1:93" x14ac:dyDescent="0.3">
      <c r="A97" s="2" t="s">
        <v>142</v>
      </c>
      <c r="B97" s="2">
        <v>1</v>
      </c>
      <c r="C97" s="6" t="s">
        <v>124</v>
      </c>
      <c r="D97" s="97">
        <v>242</v>
      </c>
      <c r="E97" s="3" t="s">
        <v>102</v>
      </c>
      <c r="F97" s="95">
        <f>D97/D58</f>
        <v>2.1607142857142856</v>
      </c>
      <c r="G97" s="3" t="s">
        <v>109</v>
      </c>
      <c r="I97" s="3"/>
      <c r="N97" s="3"/>
      <c r="O97" s="51"/>
      <c r="Q97" s="98"/>
      <c r="R97" s="98"/>
      <c r="S97" s="3"/>
      <c r="T97" s="98"/>
      <c r="U97" s="98"/>
      <c r="W97" s="12"/>
      <c r="X97" s="3"/>
      <c r="Y97" s="12"/>
      <c r="Z97" s="99"/>
      <c r="AA97" s="3"/>
      <c r="AB97" s="51"/>
      <c r="AC97" s="99"/>
      <c r="AD97" s="99"/>
      <c r="AE97" s="3"/>
      <c r="AF97" s="3"/>
      <c r="AG97" s="12"/>
      <c r="AH97" s="2"/>
      <c r="AI97" s="3"/>
      <c r="AJ97" s="2"/>
      <c r="AK97" s="3"/>
      <c r="AL97" s="3"/>
      <c r="AM97" s="2"/>
      <c r="AN97" s="2"/>
      <c r="AO97" s="3"/>
      <c r="AP97" s="3"/>
      <c r="AS97" s="3"/>
      <c r="AU97" s="3"/>
      <c r="AW97" s="3"/>
      <c r="AZ97" s="3"/>
      <c r="BA97" s="3"/>
      <c r="BD97" s="3"/>
      <c r="BF97" s="3"/>
      <c r="BJ97" s="3"/>
      <c r="BN97" s="3"/>
      <c r="BQ97" s="3"/>
      <c r="BU97" s="3"/>
      <c r="BX97" s="3"/>
      <c r="CB97" s="3"/>
      <c r="CE97" s="3"/>
      <c r="CH97" s="3"/>
      <c r="CL97" s="3"/>
      <c r="CO97" s="3"/>
    </row>
    <row r="98" spans="1:93" x14ac:dyDescent="0.3">
      <c r="A98" s="2" t="s">
        <v>143</v>
      </c>
      <c r="B98" s="2">
        <v>1</v>
      </c>
      <c r="C98" s="6" t="s">
        <v>144</v>
      </c>
      <c r="D98" s="97">
        <v>294</v>
      </c>
      <c r="E98" s="3" t="s">
        <v>102</v>
      </c>
      <c r="F98" s="95">
        <f>D98/D58</f>
        <v>2.625</v>
      </c>
      <c r="G98" s="3" t="s">
        <v>109</v>
      </c>
      <c r="I98" s="3"/>
      <c r="N98" s="3"/>
      <c r="O98" s="51"/>
      <c r="Q98" s="98"/>
      <c r="R98" s="98"/>
      <c r="S98" s="3"/>
      <c r="T98" s="98"/>
      <c r="U98" s="98"/>
      <c r="W98" s="12"/>
      <c r="X98" s="3"/>
      <c r="Y98" s="12"/>
      <c r="Z98" s="99"/>
      <c r="AA98" s="3"/>
      <c r="AB98" s="51"/>
      <c r="AC98" s="99"/>
      <c r="AD98" s="99"/>
      <c r="AE98" s="3"/>
      <c r="AF98" s="3"/>
      <c r="AG98" s="12"/>
      <c r="AH98" s="2"/>
      <c r="AI98" s="3"/>
      <c r="AJ98" s="2"/>
      <c r="AK98" s="3"/>
      <c r="AL98" s="3"/>
      <c r="AM98" s="2"/>
      <c r="AN98" s="2"/>
      <c r="AO98" s="3"/>
      <c r="AP98" s="3"/>
      <c r="AS98" s="3"/>
      <c r="AU98" s="3"/>
      <c r="AW98" s="3"/>
      <c r="AZ98" s="3"/>
      <c r="BA98" s="3"/>
      <c r="BD98" s="3"/>
      <c r="BF98" s="3"/>
      <c r="BJ98" s="3"/>
      <c r="BN98" s="3"/>
      <c r="BQ98" s="3"/>
      <c r="BU98" s="3"/>
      <c r="BX98" s="3"/>
      <c r="CB98" s="3"/>
      <c r="CE98" s="3"/>
      <c r="CH98" s="3"/>
      <c r="CL98" s="3"/>
      <c r="CO98" s="3"/>
    </row>
    <row r="99" spans="1:93" x14ac:dyDescent="0.3">
      <c r="A99" s="2" t="s">
        <v>11</v>
      </c>
      <c r="B99" s="2">
        <v>1</v>
      </c>
      <c r="C99" s="6" t="s">
        <v>119</v>
      </c>
      <c r="D99" s="95">
        <v>0.88400000000000001</v>
      </c>
      <c r="E99" s="3" t="s">
        <v>109</v>
      </c>
      <c r="I99" s="3"/>
      <c r="N99" s="3"/>
      <c r="O99" s="51"/>
      <c r="Q99" s="98"/>
      <c r="R99" s="98"/>
      <c r="S99" s="3"/>
      <c r="T99" s="98"/>
      <c r="U99" s="98"/>
      <c r="W99" s="12"/>
      <c r="X99" s="3"/>
      <c r="Y99" s="12"/>
      <c r="Z99" s="99"/>
      <c r="AA99" s="3"/>
      <c r="AB99" s="51"/>
      <c r="AC99" s="99"/>
      <c r="AD99" s="99"/>
      <c r="AE99" s="3"/>
      <c r="AF99" s="3"/>
      <c r="AG99" s="12"/>
      <c r="AH99" s="2"/>
      <c r="AI99" s="3"/>
      <c r="AJ99" s="2"/>
      <c r="AK99" s="3"/>
      <c r="AL99" s="3"/>
      <c r="AM99" s="2"/>
      <c r="AN99" s="2"/>
      <c r="AO99" s="3"/>
      <c r="AP99" s="3"/>
      <c r="AS99" s="3"/>
      <c r="AU99" s="3"/>
      <c r="AW99" s="3"/>
      <c r="AZ99" s="3"/>
      <c r="BA99" s="3"/>
      <c r="BD99" s="3"/>
      <c r="BF99" s="3"/>
      <c r="BJ99" s="3"/>
      <c r="BN99" s="3"/>
      <c r="BQ99" s="3"/>
      <c r="BU99" s="3"/>
      <c r="BX99" s="3"/>
      <c r="CB99" s="3"/>
      <c r="CE99" s="3"/>
      <c r="CH99" s="3"/>
      <c r="CL99" s="3"/>
      <c r="CO99" s="3"/>
    </row>
    <row r="100" spans="1:93" x14ac:dyDescent="0.3">
      <c r="A100" s="2" t="s">
        <v>18</v>
      </c>
      <c r="B100" s="2">
        <v>1</v>
      </c>
      <c r="C100" s="6" t="s">
        <v>120</v>
      </c>
      <c r="D100" s="97">
        <v>149</v>
      </c>
      <c r="E100" s="3" t="s">
        <v>102</v>
      </c>
      <c r="F100" s="95">
        <f>D100/D58</f>
        <v>1.3303571428571428</v>
      </c>
      <c r="G100" s="3" t="s">
        <v>109</v>
      </c>
      <c r="I100" s="3"/>
      <c r="N100" s="3"/>
      <c r="O100" s="51"/>
      <c r="Q100" s="98"/>
      <c r="R100" s="98"/>
      <c r="S100" s="3"/>
      <c r="T100" s="98"/>
      <c r="U100" s="98"/>
      <c r="W100" s="12"/>
      <c r="X100" s="3"/>
      <c r="Y100" s="12"/>
      <c r="Z100" s="99"/>
      <c r="AA100" s="3"/>
      <c r="AB100" s="51"/>
      <c r="AC100" s="99"/>
      <c r="AD100" s="99"/>
      <c r="AE100" s="3"/>
      <c r="AF100" s="3"/>
      <c r="AG100" s="12"/>
      <c r="AH100" s="2"/>
      <c r="AI100" s="3"/>
      <c r="AJ100" s="2"/>
      <c r="AK100" s="3"/>
      <c r="AL100" s="3"/>
      <c r="AM100" s="2"/>
      <c r="AN100" s="2"/>
      <c r="AO100" s="3"/>
      <c r="AP100" s="3"/>
      <c r="AS100" s="3"/>
      <c r="AU100" s="3"/>
      <c r="AW100" s="3"/>
      <c r="AZ100" s="3"/>
      <c r="BA100" s="3"/>
      <c r="BD100" s="3"/>
      <c r="BF100" s="3"/>
      <c r="BJ100" s="3"/>
      <c r="BN100" s="3"/>
      <c r="BQ100" s="3"/>
      <c r="BU100" s="3"/>
      <c r="BX100" s="3"/>
      <c r="CB100" s="3"/>
      <c r="CE100" s="3"/>
      <c r="CH100" s="3"/>
      <c r="CL100" s="3"/>
      <c r="CO100" s="3"/>
    </row>
    <row r="101" spans="1:93" x14ac:dyDescent="0.3">
      <c r="A101" s="2" t="s">
        <v>132</v>
      </c>
      <c r="B101" s="2">
        <v>1</v>
      </c>
      <c r="C101" s="6" t="s">
        <v>119</v>
      </c>
      <c r="D101" s="97">
        <v>164</v>
      </c>
      <c r="E101" s="3" t="s">
        <v>102</v>
      </c>
      <c r="F101" s="95">
        <f>D101/D58</f>
        <v>1.4642857142857142</v>
      </c>
      <c r="G101" s="3" t="s">
        <v>109</v>
      </c>
      <c r="I101" s="3"/>
      <c r="N101" s="3"/>
      <c r="O101" s="51"/>
      <c r="Q101" s="98"/>
      <c r="R101" s="98"/>
      <c r="S101" s="3"/>
      <c r="T101" s="98"/>
      <c r="U101" s="98"/>
      <c r="W101" s="12"/>
      <c r="X101" s="3"/>
      <c r="Y101" s="12"/>
      <c r="Z101" s="99"/>
      <c r="AA101" s="3"/>
      <c r="AB101" s="51"/>
      <c r="AC101" s="99"/>
      <c r="AD101" s="99"/>
      <c r="AE101" s="3"/>
      <c r="AF101" s="3"/>
      <c r="AG101" s="12"/>
      <c r="AH101" s="2"/>
      <c r="AI101" s="3"/>
      <c r="AJ101" s="2"/>
      <c r="AK101" s="3"/>
      <c r="AL101" s="3"/>
      <c r="AM101" s="2"/>
      <c r="AN101" s="2"/>
      <c r="AO101" s="3"/>
      <c r="AP101" s="3"/>
      <c r="AS101" s="3"/>
      <c r="AU101" s="3"/>
      <c r="AW101" s="3"/>
      <c r="AZ101" s="3"/>
      <c r="BA101" s="3"/>
      <c r="BD101" s="3"/>
      <c r="BF101" s="3"/>
      <c r="BJ101" s="3"/>
      <c r="BN101" s="3"/>
      <c r="BQ101" s="3"/>
      <c r="BU101" s="3"/>
      <c r="BX101" s="3"/>
      <c r="CB101" s="3"/>
      <c r="CE101" s="3"/>
      <c r="CH101" s="3"/>
      <c r="CL101" s="3"/>
      <c r="CO101" s="3"/>
    </row>
    <row r="102" spans="1:93" x14ac:dyDescent="0.3">
      <c r="A102" s="151" t="s">
        <v>95</v>
      </c>
      <c r="B102" s="2">
        <v>1</v>
      </c>
      <c r="C102" s="6" t="s">
        <v>144</v>
      </c>
      <c r="D102" s="97">
        <v>2.0271699999999999</v>
      </c>
      <c r="E102" s="3" t="s">
        <v>124</v>
      </c>
      <c r="F102" s="95">
        <f>D103*D102/D58</f>
        <v>6.0815099999999997</v>
      </c>
      <c r="G102" s="3" t="s">
        <v>109</v>
      </c>
      <c r="I102" s="3"/>
      <c r="N102" s="3"/>
      <c r="O102" s="51"/>
      <c r="Q102" s="98"/>
      <c r="R102" s="98"/>
      <c r="S102" s="3"/>
      <c r="T102" s="98"/>
      <c r="U102" s="98"/>
      <c r="W102" s="12"/>
      <c r="X102" s="3"/>
      <c r="Y102" s="12"/>
      <c r="Z102" s="99"/>
      <c r="AA102" s="3"/>
      <c r="AB102" s="51"/>
      <c r="AC102" s="99"/>
      <c r="AD102" s="99"/>
      <c r="AE102" s="3"/>
      <c r="AF102" s="3"/>
      <c r="AG102" s="12"/>
      <c r="AH102" s="2"/>
      <c r="AI102" s="3"/>
      <c r="AJ102" s="2"/>
      <c r="AK102" s="3"/>
      <c r="AL102" s="3"/>
      <c r="AM102" s="2"/>
      <c r="AN102" s="2"/>
      <c r="AO102" s="3"/>
      <c r="AP102" s="3"/>
      <c r="AS102" s="3"/>
      <c r="AU102" s="3"/>
      <c r="AW102" s="3"/>
      <c r="AZ102" s="3"/>
      <c r="BA102" s="3"/>
      <c r="BD102" s="3"/>
      <c r="BF102" s="3"/>
      <c r="BJ102" s="3"/>
      <c r="BN102" s="3"/>
      <c r="BQ102" s="3"/>
      <c r="BU102" s="3"/>
      <c r="BX102" s="3"/>
      <c r="CB102" s="3"/>
      <c r="CE102" s="3"/>
      <c r="CH102" s="3"/>
      <c r="CL102" s="3"/>
      <c r="CO102" s="3"/>
    </row>
    <row r="103" spans="1:93" x14ac:dyDescent="0.3">
      <c r="A103" s="151"/>
      <c r="B103" s="2">
        <v>1</v>
      </c>
      <c r="C103" s="6" t="s">
        <v>124</v>
      </c>
      <c r="D103" s="97">
        <v>336</v>
      </c>
      <c r="E103" s="3" t="s">
        <v>102</v>
      </c>
      <c r="F103" s="95">
        <f>D103/D58</f>
        <v>3</v>
      </c>
      <c r="G103" s="3" t="s">
        <v>109</v>
      </c>
      <c r="I103" s="3"/>
      <c r="N103" s="3"/>
      <c r="O103" s="51"/>
      <c r="Q103" s="98"/>
      <c r="R103" s="98"/>
      <c r="S103" s="3"/>
      <c r="T103" s="98"/>
      <c r="U103" s="98"/>
      <c r="W103" s="12"/>
      <c r="X103" s="3"/>
      <c r="Y103" s="12"/>
      <c r="Z103" s="99"/>
      <c r="AA103" s="3"/>
      <c r="AB103" s="51"/>
      <c r="AC103" s="99"/>
      <c r="AD103" s="99"/>
      <c r="AE103" s="3"/>
      <c r="AF103" s="3"/>
      <c r="AG103" s="12"/>
      <c r="AH103" s="2"/>
      <c r="AI103" s="3"/>
      <c r="AJ103" s="2"/>
      <c r="AK103" s="3"/>
      <c r="AL103" s="3"/>
      <c r="AM103" s="2"/>
      <c r="AN103" s="2"/>
      <c r="AO103" s="3"/>
      <c r="AP103" s="3"/>
      <c r="AS103" s="3"/>
      <c r="AU103" s="3"/>
      <c r="AW103" s="3"/>
      <c r="AZ103" s="3"/>
      <c r="BA103" s="3"/>
      <c r="BD103" s="3"/>
      <c r="BF103" s="3"/>
      <c r="BJ103" s="3"/>
      <c r="BN103" s="3"/>
      <c r="BQ103" s="3"/>
      <c r="BU103" s="3"/>
      <c r="BX103" s="3"/>
      <c r="CB103" s="3"/>
      <c r="CE103" s="3"/>
      <c r="CH103" s="3"/>
      <c r="CL103" s="3"/>
      <c r="CO103" s="3"/>
    </row>
    <row r="104" spans="1:93" x14ac:dyDescent="0.3">
      <c r="A104" s="100" t="s">
        <v>145</v>
      </c>
      <c r="B104" s="2">
        <v>1</v>
      </c>
      <c r="C104" s="6" t="s">
        <v>119</v>
      </c>
      <c r="D104" s="97">
        <v>746.66700000000003</v>
      </c>
      <c r="E104" s="3" t="s">
        <v>102</v>
      </c>
      <c r="F104" s="95">
        <f>D104/D58</f>
        <v>6.6666696428571433</v>
      </c>
      <c r="G104" s="3" t="s">
        <v>109</v>
      </c>
      <c r="I104" s="3"/>
      <c r="N104" s="3"/>
      <c r="O104" s="51"/>
      <c r="Q104" s="98"/>
      <c r="R104" s="98"/>
      <c r="S104" s="3"/>
      <c r="T104" s="98"/>
      <c r="U104" s="98"/>
      <c r="W104" s="12"/>
      <c r="X104" s="3"/>
      <c r="Y104" s="12"/>
      <c r="Z104" s="99"/>
      <c r="AA104" s="3"/>
      <c r="AB104" s="51"/>
      <c r="AC104" s="99"/>
      <c r="AD104" s="99"/>
      <c r="AE104" s="3"/>
      <c r="AF104" s="3"/>
      <c r="AG104" s="12"/>
      <c r="AH104" s="2"/>
      <c r="AI104" s="3"/>
      <c r="AJ104" s="2"/>
      <c r="AK104" s="3"/>
      <c r="AL104" s="3"/>
      <c r="AM104" s="2"/>
      <c r="AN104" s="2"/>
      <c r="AO104" s="3"/>
      <c r="AP104" s="3"/>
      <c r="AS104" s="3"/>
      <c r="AU104" s="3"/>
      <c r="AW104" s="3"/>
      <c r="AZ104" s="3"/>
      <c r="BA104" s="3"/>
      <c r="BD104" s="3"/>
      <c r="BF104" s="3"/>
      <c r="BJ104" s="3"/>
      <c r="BN104" s="3"/>
      <c r="BQ104" s="3"/>
      <c r="BU104" s="3"/>
      <c r="BX104" s="3"/>
      <c r="CB104" s="3"/>
      <c r="CE104" s="3"/>
      <c r="CH104" s="3"/>
      <c r="CL104" s="3"/>
      <c r="CO104" s="3"/>
    </row>
    <row r="105" spans="1:93" x14ac:dyDescent="0.3">
      <c r="A105" s="151" t="s">
        <v>146</v>
      </c>
      <c r="B105" s="2">
        <v>1</v>
      </c>
      <c r="C105" s="6" t="s">
        <v>140</v>
      </c>
      <c r="D105" s="97">
        <v>260</v>
      </c>
      <c r="E105" s="3" t="s">
        <v>102</v>
      </c>
      <c r="F105" s="95">
        <f>D105/D58</f>
        <v>2.3214285714285716</v>
      </c>
      <c r="G105" s="3" t="s">
        <v>109</v>
      </c>
      <c r="I105" s="3"/>
      <c r="N105" s="3"/>
      <c r="O105" s="51"/>
      <c r="S105" s="3"/>
      <c r="T105" s="51"/>
      <c r="W105" s="12"/>
      <c r="X105" s="3"/>
      <c r="Y105" s="12"/>
      <c r="Z105" s="2"/>
      <c r="AA105" s="3"/>
      <c r="AB105" s="51"/>
      <c r="AC105" s="2"/>
      <c r="AD105" s="2"/>
      <c r="AE105" s="3"/>
      <c r="AF105" s="3"/>
      <c r="AG105" s="12"/>
      <c r="AH105" s="2"/>
      <c r="AI105" s="3"/>
      <c r="AJ105" s="2"/>
      <c r="AK105" s="3"/>
      <c r="AL105" s="3"/>
      <c r="AM105" s="2"/>
      <c r="AN105" s="2"/>
      <c r="AO105" s="3"/>
      <c r="AP105" s="3"/>
      <c r="AS105" s="3"/>
      <c r="AU105" s="3"/>
      <c r="AW105" s="3"/>
      <c r="AZ105" s="3"/>
      <c r="BA105" s="3"/>
      <c r="BD105" s="3"/>
      <c r="BF105" s="3"/>
      <c r="BJ105" s="3"/>
      <c r="BN105" s="3"/>
      <c r="BQ105" s="3"/>
      <c r="BU105" s="3"/>
      <c r="BX105" s="3"/>
      <c r="CB105" s="3"/>
      <c r="CE105" s="3"/>
      <c r="CH105" s="3"/>
      <c r="CL105" s="3"/>
      <c r="CO105" s="3"/>
    </row>
    <row r="106" spans="1:93" x14ac:dyDescent="0.3">
      <c r="A106" s="151"/>
      <c r="B106" s="2">
        <v>1</v>
      </c>
      <c r="C106" s="6" t="s">
        <v>119</v>
      </c>
      <c r="D106" s="97">
        <v>1.5662799999999999</v>
      </c>
      <c r="E106" s="3" t="s">
        <v>109</v>
      </c>
      <c r="F106" s="95"/>
      <c r="G106" s="3"/>
      <c r="I106" s="3"/>
      <c r="N106" s="3"/>
      <c r="O106" s="51"/>
      <c r="S106" s="3"/>
      <c r="T106" s="51"/>
      <c r="W106" s="12"/>
      <c r="X106" s="3"/>
      <c r="Y106" s="12"/>
      <c r="Z106" s="2"/>
      <c r="AA106" s="3"/>
      <c r="AB106" s="51"/>
      <c r="AC106" s="2"/>
      <c r="AD106" s="2"/>
      <c r="AE106" s="3"/>
      <c r="AF106" s="3"/>
      <c r="AG106" s="12"/>
      <c r="AH106" s="2"/>
      <c r="AI106" s="3"/>
      <c r="AJ106" s="2"/>
      <c r="AK106" s="3"/>
      <c r="AL106" s="3"/>
      <c r="AM106" s="2"/>
      <c r="AN106" s="2"/>
      <c r="AO106" s="3"/>
      <c r="AP106" s="3"/>
      <c r="AS106" s="3"/>
      <c r="AU106" s="3"/>
      <c r="AW106" s="3"/>
      <c r="AZ106" s="3"/>
      <c r="BA106" s="3"/>
      <c r="BD106" s="3"/>
      <c r="BF106" s="3"/>
      <c r="BJ106" s="3"/>
      <c r="BN106" s="3"/>
      <c r="BQ106" s="3"/>
      <c r="BU106" s="3"/>
      <c r="BX106" s="3"/>
      <c r="CB106" s="3"/>
      <c r="CE106" s="3"/>
      <c r="CH106" s="3"/>
      <c r="CL106" s="3"/>
      <c r="CO106" s="3"/>
    </row>
    <row r="107" spans="1:93" x14ac:dyDescent="0.3">
      <c r="A107" s="151"/>
      <c r="B107" s="2">
        <v>1</v>
      </c>
      <c r="C107" s="6" t="s">
        <v>101</v>
      </c>
      <c r="D107" s="97">
        <v>560</v>
      </c>
      <c r="E107" s="3" t="s">
        <v>102</v>
      </c>
      <c r="F107" s="95">
        <f>D107/D58</f>
        <v>5</v>
      </c>
      <c r="G107" s="3" t="s">
        <v>109</v>
      </c>
      <c r="H107" s="12"/>
      <c r="I107" s="3"/>
      <c r="L107" s="12"/>
      <c r="M107" s="12"/>
      <c r="N107" s="3"/>
      <c r="O107" s="51"/>
      <c r="S107" s="3"/>
      <c r="T107" s="51"/>
      <c r="X107" s="3"/>
      <c r="Z107" s="51"/>
      <c r="AA107" s="3"/>
      <c r="AB107" s="51"/>
      <c r="AC107" s="2"/>
      <c r="AD107" s="51"/>
      <c r="AE107" s="3"/>
      <c r="AF107" s="3"/>
      <c r="AH107" s="12"/>
      <c r="AI107" s="3"/>
      <c r="AJ107" s="12"/>
      <c r="AK107" s="3"/>
      <c r="AL107" s="3"/>
      <c r="AO107" s="3"/>
      <c r="AP107" s="3"/>
      <c r="AS107" s="3"/>
      <c r="AU107" s="3"/>
      <c r="AW107" s="3"/>
      <c r="AZ107" s="3"/>
      <c r="BA107" s="3"/>
      <c r="BD107" s="3"/>
      <c r="BF107" s="3"/>
      <c r="BH107" s="12"/>
      <c r="BJ107" s="3"/>
      <c r="BN107" s="3"/>
      <c r="BQ107" s="3"/>
      <c r="BU107" s="3"/>
      <c r="BX107" s="3"/>
      <c r="CB107" s="3"/>
      <c r="CE107" s="3"/>
      <c r="CH107" s="3"/>
      <c r="CL107" s="3"/>
      <c r="CO107" s="3"/>
    </row>
    <row r="108" spans="1:93" s="2" customFormat="1" x14ac:dyDescent="0.3">
      <c r="A108" s="151" t="s">
        <v>147</v>
      </c>
      <c r="B108" s="2">
        <v>1</v>
      </c>
      <c r="C108" s="3" t="s">
        <v>124</v>
      </c>
      <c r="D108" s="83">
        <v>80</v>
      </c>
      <c r="E108" s="3" t="s">
        <v>102</v>
      </c>
      <c r="F108" s="101">
        <f>D108/D109</f>
        <v>0.7142857142857143</v>
      </c>
      <c r="G108" s="3" t="s">
        <v>109</v>
      </c>
      <c r="H108" s="83"/>
      <c r="I108" s="3"/>
      <c r="J108" s="83"/>
      <c r="K108" s="83"/>
      <c r="L108" s="83"/>
      <c r="M108" s="83"/>
      <c r="N108" s="3"/>
      <c r="O108" s="83"/>
      <c r="P108" s="83"/>
      <c r="Q108" s="83"/>
      <c r="S108" s="3"/>
      <c r="V108" s="83"/>
      <c r="X108" s="3"/>
      <c r="AA108" s="3"/>
      <c r="AB108" s="83"/>
      <c r="AE108" s="3"/>
      <c r="AF108" s="3"/>
      <c r="AI108" s="3"/>
      <c r="AK108" s="3"/>
      <c r="AL108" s="3"/>
      <c r="AO108" s="3"/>
      <c r="AP108" s="3"/>
      <c r="AS108" s="3"/>
      <c r="AU108" s="3"/>
      <c r="AW108" s="3"/>
      <c r="AZ108" s="3"/>
      <c r="BA108" s="3"/>
      <c r="BD108" s="3"/>
      <c r="BF108" s="3"/>
      <c r="BJ108" s="3"/>
      <c r="BN108" s="3"/>
      <c r="BQ108" s="3"/>
      <c r="BU108" s="3"/>
      <c r="BX108" s="3"/>
      <c r="CB108" s="3"/>
      <c r="CE108" s="3"/>
      <c r="CH108" s="3"/>
      <c r="CL108" s="3"/>
      <c r="CO108" s="3"/>
    </row>
    <row r="109" spans="1:93" s="2" customFormat="1" x14ac:dyDescent="0.3">
      <c r="A109" s="151"/>
      <c r="B109" s="2">
        <v>1</v>
      </c>
      <c r="C109" s="3" t="s">
        <v>109</v>
      </c>
      <c r="D109" s="83">
        <v>112</v>
      </c>
      <c r="E109" s="3" t="s">
        <v>102</v>
      </c>
      <c r="F109" s="83"/>
      <c r="G109" s="83"/>
      <c r="H109" s="83"/>
      <c r="I109" s="3"/>
      <c r="J109" s="83"/>
      <c r="K109" s="83"/>
      <c r="L109" s="83"/>
      <c r="M109" s="83"/>
      <c r="N109" s="3"/>
      <c r="O109" s="83"/>
      <c r="P109" s="83"/>
      <c r="Q109" s="83"/>
      <c r="S109" s="3"/>
      <c r="V109" s="83"/>
      <c r="X109" s="3"/>
      <c r="AA109" s="3"/>
      <c r="AB109" s="83"/>
      <c r="AE109" s="3"/>
      <c r="AF109" s="3"/>
      <c r="AI109" s="3"/>
      <c r="AK109" s="3"/>
      <c r="AL109" s="3"/>
      <c r="AO109" s="3"/>
      <c r="AP109" s="3"/>
      <c r="AS109" s="3"/>
      <c r="AU109" s="3"/>
      <c r="AW109" s="3"/>
      <c r="AZ109" s="3"/>
      <c r="BA109" s="3"/>
      <c r="BD109" s="3"/>
      <c r="BF109" s="3"/>
      <c r="BJ109" s="3"/>
      <c r="BN109" s="3"/>
      <c r="BQ109" s="3"/>
      <c r="BU109" s="3"/>
      <c r="BX109" s="3"/>
      <c r="CB109" s="3"/>
      <c r="CE109" s="3"/>
      <c r="CH109" s="3"/>
      <c r="CL109" s="3"/>
      <c r="CO109" s="3"/>
    </row>
    <row r="110" spans="1:93" s="2" customFormat="1" x14ac:dyDescent="0.3">
      <c r="A110" s="100" t="s">
        <v>148</v>
      </c>
      <c r="B110" s="2">
        <v>1</v>
      </c>
      <c r="C110" s="6" t="s">
        <v>124</v>
      </c>
      <c r="D110" s="97">
        <v>336</v>
      </c>
      <c r="E110" s="3" t="s">
        <v>102</v>
      </c>
      <c r="F110" s="95">
        <f>D110/D109</f>
        <v>3</v>
      </c>
      <c r="G110" s="3" t="s">
        <v>109</v>
      </c>
      <c r="H110" s="83"/>
      <c r="I110" s="3"/>
      <c r="J110" s="83"/>
      <c r="K110" s="83"/>
      <c r="L110" s="83"/>
      <c r="M110" s="83"/>
      <c r="N110" s="3"/>
      <c r="O110" s="83"/>
      <c r="P110" s="83"/>
      <c r="Q110" s="83"/>
      <c r="S110" s="3"/>
      <c r="V110" s="83"/>
      <c r="X110" s="3"/>
      <c r="AA110" s="3"/>
      <c r="AB110" s="83"/>
      <c r="AE110" s="3"/>
      <c r="AF110" s="3"/>
      <c r="AI110" s="3"/>
      <c r="AK110" s="3"/>
      <c r="AL110" s="3"/>
      <c r="AO110" s="3"/>
      <c r="AP110" s="3"/>
      <c r="AS110" s="3"/>
      <c r="AU110" s="3"/>
      <c r="AW110" s="3"/>
      <c r="AZ110" s="3"/>
      <c r="BA110" s="3"/>
      <c r="BD110" s="3"/>
      <c r="BF110" s="3"/>
      <c r="BJ110" s="3"/>
      <c r="BN110" s="3"/>
      <c r="BQ110" s="3"/>
      <c r="BU110" s="3"/>
      <c r="BX110" s="3"/>
      <c r="CB110" s="3"/>
      <c r="CE110" s="3"/>
      <c r="CH110" s="3"/>
      <c r="CL110" s="3"/>
      <c r="CO110" s="3"/>
    </row>
    <row r="111" spans="1:93" s="2" customFormat="1" x14ac:dyDescent="0.3">
      <c r="A111" s="2" t="s">
        <v>149</v>
      </c>
      <c r="B111" s="2">
        <v>1</v>
      </c>
      <c r="C111" s="6" t="s">
        <v>150</v>
      </c>
      <c r="D111" s="97">
        <v>9</v>
      </c>
      <c r="E111" s="3" t="s">
        <v>126</v>
      </c>
      <c r="F111" s="83"/>
      <c r="G111" s="83"/>
      <c r="H111" s="83"/>
      <c r="I111" s="3"/>
      <c r="J111" s="83"/>
      <c r="K111" s="83"/>
      <c r="L111" s="83"/>
      <c r="M111" s="83"/>
      <c r="N111" s="3"/>
      <c r="O111" s="83"/>
      <c r="P111" s="83"/>
      <c r="Q111" s="83"/>
      <c r="S111" s="3"/>
      <c r="V111" s="83"/>
      <c r="X111" s="3"/>
      <c r="AA111" s="3"/>
      <c r="AB111" s="83"/>
      <c r="AE111" s="3"/>
      <c r="AF111" s="3"/>
      <c r="AI111" s="3"/>
      <c r="AK111" s="3"/>
      <c r="AL111" s="3"/>
      <c r="AO111" s="3"/>
      <c r="AP111" s="3"/>
      <c r="AS111" s="3"/>
      <c r="AU111" s="3"/>
      <c r="AW111" s="3"/>
      <c r="AZ111" s="3"/>
      <c r="BA111" s="3"/>
      <c r="BD111" s="3"/>
      <c r="BF111" s="3"/>
      <c r="BJ111" s="3"/>
      <c r="BN111" s="3"/>
      <c r="BQ111" s="3"/>
      <c r="BU111" s="3"/>
      <c r="BX111" s="3"/>
      <c r="CB111" s="3"/>
      <c r="CE111" s="3"/>
      <c r="CH111" s="3"/>
      <c r="CL111" s="3"/>
      <c r="CO111" s="3"/>
    </row>
    <row r="112" spans="1:93" s="2" customFormat="1" x14ac:dyDescent="0.3">
      <c r="A112" s="2" t="s">
        <v>64</v>
      </c>
      <c r="B112" s="2">
        <v>1</v>
      </c>
      <c r="C112" s="6" t="s">
        <v>119</v>
      </c>
      <c r="D112" s="97">
        <f>756/3720</f>
        <v>0.20322580645161289</v>
      </c>
      <c r="E112" s="3" t="s">
        <v>109</v>
      </c>
      <c r="F112" s="83"/>
      <c r="G112" s="83"/>
      <c r="H112" s="83"/>
      <c r="I112" s="3"/>
      <c r="J112" s="83"/>
      <c r="K112" s="83"/>
      <c r="L112" s="83"/>
      <c r="M112" s="83"/>
      <c r="N112" s="3"/>
      <c r="O112" s="83"/>
      <c r="P112" s="83"/>
      <c r="Q112" s="83"/>
      <c r="S112" s="3"/>
      <c r="V112" s="83"/>
      <c r="X112" s="3"/>
      <c r="AA112" s="3"/>
      <c r="AB112" s="83"/>
      <c r="AE112" s="3"/>
      <c r="AF112" s="3"/>
      <c r="AI112" s="3"/>
      <c r="AK112" s="3"/>
      <c r="AL112" s="3"/>
      <c r="AO112" s="3"/>
      <c r="AP112" s="3"/>
      <c r="AS112" s="3"/>
      <c r="AU112" s="3"/>
      <c r="AW112" s="3"/>
      <c r="AZ112" s="3"/>
      <c r="BA112" s="3"/>
      <c r="BD112" s="3"/>
      <c r="BF112" s="3"/>
      <c r="BJ112" s="3"/>
      <c r="BN112" s="3"/>
      <c r="BQ112" s="3"/>
      <c r="BU112" s="3"/>
      <c r="BX112" s="3"/>
      <c r="CB112" s="3"/>
      <c r="CE112" s="3"/>
      <c r="CH112" s="3"/>
      <c r="CL112" s="3"/>
      <c r="CO112" s="3"/>
    </row>
    <row r="113" spans="1:93" s="2" customFormat="1" x14ac:dyDescent="0.3">
      <c r="A113" s="2" t="s">
        <v>22</v>
      </c>
      <c r="B113" s="2">
        <v>1</v>
      </c>
      <c r="C113" s="6" t="s">
        <v>120</v>
      </c>
      <c r="D113" s="97">
        <f>600/400</f>
        <v>1.5</v>
      </c>
      <c r="E113" s="3" t="s">
        <v>109</v>
      </c>
      <c r="F113" s="83"/>
      <c r="G113" s="83"/>
      <c r="H113" s="83"/>
      <c r="I113" s="3"/>
      <c r="J113" s="83"/>
      <c r="K113" s="83"/>
      <c r="L113" s="83"/>
      <c r="M113" s="83"/>
      <c r="N113" s="3"/>
      <c r="O113" s="83"/>
      <c r="P113" s="83"/>
      <c r="Q113" s="83"/>
      <c r="S113" s="3"/>
      <c r="V113" s="83"/>
      <c r="X113" s="3"/>
      <c r="AA113" s="3"/>
      <c r="AB113" s="83"/>
      <c r="AE113" s="3"/>
      <c r="AF113" s="3"/>
      <c r="AI113" s="3"/>
      <c r="AK113" s="3"/>
      <c r="AL113" s="3"/>
      <c r="AO113" s="3"/>
      <c r="AP113" s="3"/>
      <c r="AS113" s="3"/>
      <c r="AU113" s="3"/>
      <c r="AW113" s="3"/>
      <c r="AZ113" s="3"/>
      <c r="BA113" s="3"/>
      <c r="BD113" s="3"/>
      <c r="BF113" s="3"/>
      <c r="BJ113" s="3"/>
      <c r="BN113" s="3"/>
      <c r="BQ113" s="3"/>
      <c r="BU113" s="3"/>
      <c r="BX113" s="3"/>
      <c r="CB113" s="3"/>
      <c r="CE113" s="3"/>
      <c r="CH113" s="3"/>
      <c r="CL113" s="3"/>
      <c r="CO113" s="3"/>
    </row>
    <row r="114" spans="1:93" s="2" customFormat="1" x14ac:dyDescent="0.3">
      <c r="A114" s="2" t="s">
        <v>151</v>
      </c>
      <c r="B114" s="2">
        <v>1</v>
      </c>
      <c r="C114" s="6" t="s">
        <v>124</v>
      </c>
      <c r="D114" s="97">
        <f>600/400</f>
        <v>1.5</v>
      </c>
      <c r="E114" s="3" t="s">
        <v>109</v>
      </c>
      <c r="F114" s="83"/>
      <c r="G114" s="83"/>
      <c r="H114" s="83"/>
      <c r="I114" s="3"/>
      <c r="J114" s="83"/>
      <c r="K114" s="83"/>
      <c r="L114" s="83"/>
      <c r="M114" s="83"/>
      <c r="N114" s="3"/>
      <c r="O114" s="83"/>
      <c r="P114" s="83"/>
      <c r="Q114" s="83"/>
      <c r="S114" s="3"/>
      <c r="V114" s="83"/>
      <c r="X114" s="3"/>
      <c r="AA114" s="3"/>
      <c r="AB114" s="83"/>
      <c r="AE114" s="3"/>
      <c r="AF114" s="3"/>
      <c r="AI114" s="3"/>
      <c r="AK114" s="3"/>
      <c r="AL114" s="3"/>
      <c r="AO114" s="3"/>
      <c r="AP114" s="3"/>
      <c r="AS114" s="3"/>
      <c r="AU114" s="3"/>
      <c r="AW114" s="3"/>
      <c r="AZ114" s="3"/>
      <c r="BA114" s="3"/>
      <c r="BD114" s="3"/>
      <c r="BF114" s="3"/>
      <c r="BJ114" s="3"/>
      <c r="BN114" s="3"/>
      <c r="BQ114" s="3"/>
      <c r="BU114" s="3"/>
      <c r="BX114" s="3"/>
      <c r="CB114" s="3"/>
      <c r="CE114" s="3"/>
      <c r="CH114" s="3"/>
      <c r="CL114" s="3"/>
      <c r="CO114" s="3"/>
    </row>
    <row r="115" spans="1:93" s="2" customFormat="1" x14ac:dyDescent="0.3">
      <c r="A115" s="2" t="s">
        <v>152</v>
      </c>
      <c r="B115" s="2">
        <v>1</v>
      </c>
      <c r="C115" s="6" t="s">
        <v>119</v>
      </c>
      <c r="D115" s="97">
        <f>3600/2400</f>
        <v>1.5</v>
      </c>
      <c r="E115" s="3" t="s">
        <v>109</v>
      </c>
      <c r="F115" s="83"/>
      <c r="G115" s="83"/>
      <c r="H115" s="83"/>
      <c r="I115" s="3"/>
      <c r="J115" s="83"/>
      <c r="K115" s="83"/>
      <c r="L115" s="83"/>
      <c r="M115" s="83"/>
      <c r="N115" s="3"/>
      <c r="O115" s="83"/>
      <c r="P115" s="83"/>
      <c r="Q115" s="83"/>
      <c r="S115" s="3"/>
      <c r="V115" s="83"/>
      <c r="X115" s="3"/>
      <c r="AA115" s="3"/>
      <c r="AB115" s="83"/>
      <c r="AE115" s="3"/>
      <c r="AF115" s="3"/>
      <c r="AI115" s="3"/>
      <c r="AK115" s="3"/>
      <c r="AL115" s="3"/>
      <c r="AO115" s="3"/>
      <c r="AP115" s="3"/>
      <c r="AS115" s="3"/>
      <c r="AU115" s="3"/>
      <c r="AW115" s="3"/>
      <c r="AZ115" s="3"/>
      <c r="BA115" s="3"/>
      <c r="BD115" s="3"/>
      <c r="BF115" s="3"/>
      <c r="BJ115" s="3"/>
      <c r="BN115" s="3"/>
      <c r="BQ115" s="3"/>
      <c r="BU115" s="3"/>
      <c r="BX115" s="3"/>
      <c r="CB115" s="3"/>
      <c r="CE115" s="3"/>
      <c r="CH115" s="3"/>
      <c r="CL115" s="3"/>
      <c r="CO115" s="3"/>
    </row>
    <row r="116" spans="1:93" x14ac:dyDescent="0.3">
      <c r="A116" s="2" t="s">
        <v>153</v>
      </c>
      <c r="B116" s="2">
        <v>1</v>
      </c>
      <c r="C116" s="6" t="s">
        <v>119</v>
      </c>
      <c r="D116" s="51">
        <v>153.125</v>
      </c>
      <c r="E116" s="3" t="s">
        <v>102</v>
      </c>
      <c r="F116" s="95">
        <f>D116/D58</f>
        <v>1.3671875</v>
      </c>
      <c r="G116" s="3" t="s">
        <v>109</v>
      </c>
      <c r="H116" s="12"/>
      <c r="L116" s="12"/>
      <c r="M116" s="12"/>
      <c r="O116" s="51"/>
      <c r="T116" s="51"/>
      <c r="X116" s="51"/>
      <c r="Z116" s="51"/>
      <c r="AA116" s="51"/>
      <c r="AB116" s="51"/>
      <c r="AC116" s="2"/>
      <c r="AD116" s="51"/>
      <c r="AF116" s="3"/>
      <c r="AH116" s="12"/>
      <c r="AI116" s="3"/>
      <c r="AJ116" s="12"/>
      <c r="AL116" s="3"/>
      <c r="AP116" s="3"/>
      <c r="AS116" s="3"/>
      <c r="AW116" s="3"/>
      <c r="BA116" s="3"/>
      <c r="BD116" s="3"/>
      <c r="BH116" s="12"/>
    </row>
    <row r="117" spans="1:93" s="2" customFormat="1" x14ac:dyDescent="0.3">
      <c r="A117" s="151" t="s">
        <v>74</v>
      </c>
      <c r="B117" s="2">
        <v>1</v>
      </c>
      <c r="C117" s="3" t="s">
        <v>139</v>
      </c>
      <c r="D117" s="97">
        <v>1</v>
      </c>
      <c r="E117" s="3" t="s">
        <v>124</v>
      </c>
      <c r="F117" s="95">
        <f>F118</f>
        <v>3.0446428571428572</v>
      </c>
      <c r="G117" s="3" t="s">
        <v>109</v>
      </c>
      <c r="I117" s="51"/>
      <c r="N117" s="51"/>
      <c r="S117" s="51"/>
      <c r="X117" s="51"/>
      <c r="AA117" s="51"/>
      <c r="AE117" s="51"/>
      <c r="AF117" s="3"/>
      <c r="AI117" s="3"/>
      <c r="AK117" s="51"/>
      <c r="AL117" s="3"/>
      <c r="AO117" s="51"/>
      <c r="AP117" s="3"/>
      <c r="AS117" s="3"/>
      <c r="AU117" s="51"/>
      <c r="AW117" s="3"/>
      <c r="AZ117" s="51"/>
      <c r="BA117" s="3"/>
      <c r="BD117" s="3"/>
      <c r="BF117" s="51"/>
      <c r="BJ117" s="51"/>
      <c r="BN117" s="51"/>
      <c r="BQ117" s="51"/>
      <c r="BU117" s="51"/>
      <c r="BX117" s="51"/>
      <c r="CB117" s="51"/>
      <c r="CE117" s="51"/>
      <c r="CH117" s="51"/>
      <c r="CL117" s="51"/>
      <c r="CO117" s="51"/>
    </row>
    <row r="118" spans="1:93" s="2" customFormat="1" x14ac:dyDescent="0.3">
      <c r="A118" s="151"/>
      <c r="B118" s="2">
        <v>1</v>
      </c>
      <c r="C118" s="3" t="s">
        <v>124</v>
      </c>
      <c r="D118" s="97">
        <f>(355+327)/2</f>
        <v>341</v>
      </c>
      <c r="E118" s="3" t="s">
        <v>102</v>
      </c>
      <c r="F118" s="95">
        <f>D118/D58</f>
        <v>3.0446428571428572</v>
      </c>
      <c r="G118" s="3" t="s">
        <v>109</v>
      </c>
      <c r="I118" s="51"/>
      <c r="N118" s="51"/>
      <c r="S118" s="51"/>
      <c r="X118" s="51"/>
      <c r="AA118" s="51"/>
      <c r="AE118" s="51"/>
      <c r="AF118" s="3"/>
      <c r="AI118" s="3"/>
      <c r="AK118" s="51"/>
      <c r="AL118" s="3"/>
      <c r="AO118" s="51"/>
      <c r="AP118" s="3"/>
      <c r="AS118" s="3"/>
      <c r="AU118" s="51"/>
      <c r="AW118" s="3"/>
      <c r="AZ118" s="51"/>
      <c r="BA118" s="3"/>
      <c r="BD118" s="3"/>
      <c r="BF118" s="51"/>
      <c r="BJ118" s="51"/>
      <c r="BN118" s="51"/>
      <c r="BQ118" s="51"/>
      <c r="BU118" s="51"/>
      <c r="BX118" s="51"/>
      <c r="CB118" s="51"/>
      <c r="CE118" s="51"/>
      <c r="CH118" s="51"/>
      <c r="CL118" s="51"/>
      <c r="CO118" s="51"/>
    </row>
    <row r="119" spans="1:93" s="2" customFormat="1" x14ac:dyDescent="0.3">
      <c r="A119" s="151"/>
      <c r="B119" s="2">
        <v>1</v>
      </c>
      <c r="C119" s="6" t="s">
        <v>154</v>
      </c>
      <c r="D119" s="97">
        <f>(2.2+2.5)/2</f>
        <v>2.35</v>
      </c>
      <c r="E119" s="3" t="s">
        <v>102</v>
      </c>
      <c r="F119" s="95">
        <f>D119/D58</f>
        <v>2.0982142857142859E-2</v>
      </c>
      <c r="G119" s="3" t="s">
        <v>109</v>
      </c>
      <c r="I119" s="51"/>
      <c r="N119" s="51"/>
      <c r="S119" s="51"/>
      <c r="X119" s="51"/>
      <c r="AA119" s="51"/>
      <c r="AE119" s="51"/>
      <c r="AF119" s="3"/>
      <c r="AI119" s="3"/>
      <c r="AK119" s="51"/>
      <c r="AL119" s="3"/>
      <c r="AO119" s="51"/>
      <c r="AP119" s="3"/>
      <c r="AS119" s="3"/>
      <c r="AU119" s="51"/>
      <c r="AW119" s="3"/>
      <c r="AZ119" s="51"/>
      <c r="BA119" s="3"/>
      <c r="BD119" s="3"/>
      <c r="BF119" s="51"/>
      <c r="BJ119" s="51"/>
      <c r="BN119" s="51"/>
      <c r="BQ119" s="51"/>
      <c r="BU119" s="51"/>
      <c r="BX119" s="51"/>
      <c r="CB119" s="51"/>
      <c r="CE119" s="51"/>
      <c r="CH119" s="51"/>
      <c r="CL119" s="51"/>
      <c r="CO119" s="51"/>
    </row>
    <row r="120" spans="1:93" s="17" customFormat="1" x14ac:dyDescent="0.3">
      <c r="A120" s="2" t="s">
        <v>155</v>
      </c>
      <c r="B120" s="2">
        <v>1</v>
      </c>
      <c r="C120" s="6" t="s">
        <v>139</v>
      </c>
      <c r="D120" s="97">
        <v>640</v>
      </c>
      <c r="E120" s="3" t="s">
        <v>102</v>
      </c>
      <c r="F120" s="95">
        <f>D120/D58</f>
        <v>5.7142857142857144</v>
      </c>
      <c r="G120" s="3" t="s">
        <v>109</v>
      </c>
      <c r="H120" s="13"/>
      <c r="I120" s="51"/>
      <c r="J120" s="14"/>
      <c r="K120" s="14"/>
      <c r="L120" s="13"/>
      <c r="M120" s="13"/>
      <c r="N120" s="51"/>
      <c r="O120" s="14"/>
      <c r="P120" s="14"/>
      <c r="Q120" s="13"/>
      <c r="R120" s="13"/>
      <c r="S120" s="51"/>
      <c r="T120" s="13"/>
      <c r="U120" s="14"/>
      <c r="V120" s="14"/>
      <c r="W120" s="13"/>
      <c r="X120" s="51"/>
      <c r="Y120" s="13"/>
      <c r="Z120" s="13"/>
      <c r="AA120" s="51"/>
      <c r="AB120" s="14"/>
      <c r="AC120" s="14"/>
      <c r="AD120" s="13"/>
      <c r="AE120" s="51"/>
      <c r="AF120" s="3"/>
      <c r="AG120" s="15"/>
      <c r="AH120" s="13"/>
      <c r="AI120" s="3"/>
      <c r="AJ120" s="16"/>
      <c r="AK120" s="51"/>
      <c r="AL120" s="3"/>
      <c r="AM120" s="13"/>
      <c r="AN120" s="14"/>
      <c r="AO120" s="51"/>
      <c r="AP120" s="3"/>
      <c r="AQ120" s="13"/>
      <c r="AR120" s="13"/>
      <c r="AS120" s="3"/>
      <c r="AT120" s="13"/>
      <c r="AU120" s="51"/>
      <c r="AV120" s="14"/>
      <c r="AW120" s="3"/>
      <c r="AX120" s="13"/>
      <c r="AY120" s="14"/>
      <c r="AZ120" s="51"/>
      <c r="BA120" s="3"/>
      <c r="BB120" s="13"/>
      <c r="BC120" s="14"/>
      <c r="BD120" s="3"/>
      <c r="BE120" s="13"/>
      <c r="BF120" s="51"/>
      <c r="BG120" s="14"/>
      <c r="BH120" s="13"/>
      <c r="BI120" s="14"/>
      <c r="BJ120" s="51"/>
      <c r="BK120" s="13"/>
      <c r="BL120" s="16"/>
      <c r="BM120" s="13"/>
      <c r="BN120" s="51"/>
      <c r="BQ120" s="51"/>
      <c r="BU120" s="51"/>
      <c r="BX120" s="51"/>
      <c r="CB120" s="51"/>
      <c r="CE120" s="51"/>
      <c r="CH120" s="51"/>
      <c r="CL120" s="51"/>
      <c r="CO120" s="51"/>
    </row>
    <row r="121" spans="1:93" s="17" customFormat="1" x14ac:dyDescent="0.3">
      <c r="A121" s="151" t="s">
        <v>28</v>
      </c>
      <c r="B121" s="2">
        <v>1</v>
      </c>
      <c r="C121" s="6" t="s">
        <v>156</v>
      </c>
      <c r="D121" s="97">
        <v>196</v>
      </c>
      <c r="E121" s="3" t="s">
        <v>102</v>
      </c>
      <c r="F121" s="95">
        <f>D121/D58</f>
        <v>1.75</v>
      </c>
      <c r="G121" s="3" t="s">
        <v>109</v>
      </c>
      <c r="H121" s="13"/>
      <c r="I121" s="51"/>
      <c r="J121" s="13"/>
      <c r="K121" s="13"/>
      <c r="L121" s="16"/>
      <c r="M121" s="13"/>
      <c r="N121" s="51"/>
      <c r="O121" s="13"/>
      <c r="P121" s="13"/>
      <c r="Q121" s="16"/>
      <c r="R121" s="13"/>
      <c r="S121" s="51"/>
      <c r="T121" s="13"/>
      <c r="U121" s="13"/>
      <c r="V121" s="13"/>
      <c r="W121" s="16"/>
      <c r="X121" s="51"/>
      <c r="Y121" s="13"/>
      <c r="Z121" s="13"/>
      <c r="AA121" s="51"/>
      <c r="AB121" s="13"/>
      <c r="AC121" s="13"/>
      <c r="AD121" s="16"/>
      <c r="AE121" s="51"/>
      <c r="AF121" s="3"/>
      <c r="AG121" s="13"/>
      <c r="AI121" s="3"/>
      <c r="AJ121" s="13"/>
      <c r="AK121" s="51"/>
      <c r="AL121" s="3"/>
      <c r="AM121" s="16"/>
      <c r="AN121" s="13"/>
      <c r="AO121" s="51"/>
      <c r="AP121" s="3"/>
      <c r="AQ121" s="16"/>
      <c r="AR121" s="13"/>
      <c r="AS121" s="3"/>
      <c r="AT121" s="13"/>
      <c r="AU121" s="51"/>
      <c r="AV121" s="13"/>
      <c r="AW121" s="3"/>
      <c r="AX121" s="16"/>
      <c r="AY121" s="13"/>
      <c r="AZ121" s="51"/>
      <c r="BA121" s="3"/>
      <c r="BB121" s="16"/>
      <c r="BC121" s="13"/>
      <c r="BD121" s="3"/>
      <c r="BE121" s="16"/>
      <c r="BF121" s="51"/>
      <c r="BG121" s="13"/>
      <c r="BH121" s="14"/>
      <c r="BI121" s="13"/>
      <c r="BJ121" s="51"/>
      <c r="BK121" s="16"/>
      <c r="BL121" s="13"/>
      <c r="BM121" s="16"/>
      <c r="BN121" s="51"/>
      <c r="BO121" s="13"/>
      <c r="BQ121" s="51"/>
      <c r="BU121" s="51"/>
      <c r="BX121" s="51"/>
      <c r="CB121" s="51"/>
      <c r="CE121" s="51"/>
      <c r="CH121" s="51"/>
      <c r="CL121" s="51"/>
      <c r="CO121" s="51"/>
    </row>
    <row r="122" spans="1:93" ht="13.8" customHeight="1" x14ac:dyDescent="0.3">
      <c r="A122" s="151"/>
      <c r="B122" s="2">
        <v>1</v>
      </c>
      <c r="C122" s="6" t="s">
        <v>157</v>
      </c>
      <c r="D122" s="97">
        <v>280</v>
      </c>
      <c r="E122" s="3" t="s">
        <v>102</v>
      </c>
      <c r="F122" s="95">
        <f>D122/D58</f>
        <v>2.5</v>
      </c>
      <c r="G122" s="3" t="s">
        <v>109</v>
      </c>
      <c r="O122" s="51"/>
      <c r="T122" s="51"/>
      <c r="X122" s="51"/>
      <c r="Z122" s="51"/>
      <c r="AA122" s="51"/>
      <c r="AB122" s="51"/>
      <c r="AD122" s="51"/>
      <c r="AF122" s="3"/>
      <c r="AI122" s="3"/>
      <c r="AL122" s="3"/>
      <c r="AP122" s="3"/>
      <c r="AS122" s="3"/>
      <c r="AW122" s="3"/>
      <c r="BA122" s="3"/>
      <c r="BD122" s="3"/>
    </row>
    <row r="123" spans="1:93" x14ac:dyDescent="0.3">
      <c r="A123" s="9" t="s">
        <v>158</v>
      </c>
      <c r="B123" s="2">
        <v>1</v>
      </c>
      <c r="C123" s="6" t="s">
        <v>120</v>
      </c>
      <c r="D123" s="97">
        <v>112</v>
      </c>
      <c r="E123" s="3" t="s">
        <v>102</v>
      </c>
      <c r="F123" s="95">
        <f>D123/D58</f>
        <v>1</v>
      </c>
      <c r="G123" s="3" t="s">
        <v>109</v>
      </c>
      <c r="O123" s="51"/>
      <c r="T123" s="51"/>
      <c r="X123" s="51"/>
      <c r="Z123" s="51"/>
      <c r="AA123" s="51"/>
      <c r="AB123" s="51"/>
      <c r="AD123" s="51"/>
      <c r="AF123" s="3"/>
      <c r="AI123" s="3"/>
      <c r="AL123" s="3"/>
      <c r="AP123" s="3"/>
      <c r="AS123" s="3"/>
      <c r="AW123" s="3"/>
      <c r="BA123" s="3"/>
      <c r="BD123" s="3"/>
    </row>
    <row r="124" spans="1:93" x14ac:dyDescent="0.3">
      <c r="A124" s="9" t="s">
        <v>159</v>
      </c>
      <c r="B124" s="2">
        <v>1</v>
      </c>
      <c r="C124" s="6" t="s">
        <v>124</v>
      </c>
      <c r="D124" s="97">
        <v>0.67513000000000001</v>
      </c>
      <c r="E124" s="3" t="s">
        <v>109</v>
      </c>
      <c r="F124" s="95"/>
      <c r="G124" s="3"/>
      <c r="O124" s="51"/>
      <c r="T124" s="51"/>
      <c r="X124" s="51"/>
      <c r="Z124" s="51"/>
      <c r="AA124" s="51"/>
      <c r="AB124" s="51"/>
      <c r="AD124" s="51"/>
      <c r="AF124" s="3"/>
      <c r="AI124" s="3"/>
      <c r="AL124" s="3"/>
      <c r="AP124" s="3"/>
      <c r="AS124" s="3"/>
      <c r="AW124" s="3"/>
      <c r="BA124" s="3"/>
      <c r="BD124" s="3"/>
    </row>
    <row r="125" spans="1:93" x14ac:dyDescent="0.3">
      <c r="M125" s="17"/>
      <c r="O125" s="51"/>
      <c r="R125" s="16"/>
      <c r="T125" s="51"/>
      <c r="U125" s="17"/>
      <c r="Y125" s="17"/>
      <c r="AB125" s="51"/>
      <c r="AD125" s="51"/>
    </row>
    <row r="126" spans="1:93" x14ac:dyDescent="0.3">
      <c r="A126" s="3" t="s">
        <v>294</v>
      </c>
      <c r="B126" s="2">
        <v>1</v>
      </c>
      <c r="C126" s="6" t="s">
        <v>297</v>
      </c>
      <c r="D126" s="97">
        <v>20</v>
      </c>
      <c r="E126" s="3" t="s">
        <v>296</v>
      </c>
      <c r="M126" s="17"/>
      <c r="O126" s="51"/>
      <c r="R126" s="16"/>
      <c r="T126" s="51"/>
      <c r="U126" s="17"/>
      <c r="Y126" s="17"/>
      <c r="AB126" s="51"/>
      <c r="AD126" s="51"/>
      <c r="AF126" s="3"/>
      <c r="AI126" s="3"/>
      <c r="AL126" s="3"/>
      <c r="AP126" s="3"/>
      <c r="AS126" s="3"/>
      <c r="AW126" s="3"/>
      <c r="BA126" s="3"/>
      <c r="BD126" s="3"/>
    </row>
    <row r="127" spans="1:93" x14ac:dyDescent="0.3">
      <c r="M127" s="17"/>
      <c r="O127" s="51"/>
      <c r="R127" s="16"/>
      <c r="T127" s="51"/>
      <c r="U127" s="17"/>
      <c r="Y127" s="17"/>
      <c r="AB127" s="51"/>
      <c r="AD127" s="51"/>
    </row>
    <row r="128" spans="1:93" x14ac:dyDescent="0.3">
      <c r="M128" s="17"/>
      <c r="O128" s="51"/>
      <c r="R128" s="16"/>
      <c r="T128" s="51"/>
      <c r="U128" s="17"/>
      <c r="Y128" s="17"/>
      <c r="AB128" s="51"/>
      <c r="AD128" s="51"/>
    </row>
    <row r="129" spans="13:30" x14ac:dyDescent="0.3">
      <c r="M129" s="17"/>
      <c r="O129" s="51"/>
      <c r="R129" s="16"/>
      <c r="T129" s="51"/>
      <c r="U129" s="17"/>
      <c r="Y129" s="17"/>
      <c r="AB129" s="51"/>
      <c r="AD129" s="51"/>
    </row>
    <row r="130" spans="13:30" x14ac:dyDescent="0.3">
      <c r="M130" s="17"/>
      <c r="O130" s="51"/>
      <c r="R130" s="16"/>
      <c r="T130" s="51"/>
      <c r="U130" s="17"/>
      <c r="Y130" s="17"/>
      <c r="AB130" s="51"/>
      <c r="AD130" s="51"/>
    </row>
    <row r="131" spans="13:30" x14ac:dyDescent="0.3">
      <c r="M131" s="17"/>
      <c r="O131" s="51"/>
      <c r="R131" s="16"/>
      <c r="T131" s="51"/>
      <c r="U131" s="17"/>
      <c r="Y131" s="17"/>
      <c r="AB131" s="51"/>
      <c r="AD131" s="51"/>
    </row>
    <row r="132" spans="13:30" x14ac:dyDescent="0.3">
      <c r="M132" s="17"/>
      <c r="O132" s="51"/>
      <c r="R132" s="16"/>
      <c r="T132" s="51"/>
      <c r="U132" s="17"/>
      <c r="Y132" s="17"/>
      <c r="AB132" s="51"/>
      <c r="AD132" s="51"/>
    </row>
    <row r="133" spans="13:30" x14ac:dyDescent="0.3">
      <c r="M133" s="17"/>
      <c r="O133" s="51"/>
      <c r="R133" s="16"/>
      <c r="T133" s="51"/>
      <c r="U133" s="17"/>
      <c r="Y133" s="17"/>
      <c r="AB133" s="51"/>
      <c r="AD133" s="51"/>
    </row>
    <row r="134" spans="13:30" x14ac:dyDescent="0.3">
      <c r="M134" s="17"/>
      <c r="O134" s="51"/>
      <c r="R134" s="16"/>
      <c r="T134" s="51"/>
      <c r="U134" s="17"/>
      <c r="Y134" s="17"/>
      <c r="AB134" s="51"/>
      <c r="AD134" s="51"/>
    </row>
    <row r="135" spans="13:30" x14ac:dyDescent="0.3">
      <c r="M135" s="17"/>
      <c r="O135" s="51"/>
      <c r="R135" s="16"/>
      <c r="T135" s="51"/>
      <c r="U135" s="17"/>
      <c r="Y135" s="17"/>
      <c r="AB135" s="51"/>
      <c r="AD135" s="51"/>
    </row>
    <row r="136" spans="13:30" x14ac:dyDescent="0.3">
      <c r="M136" s="17"/>
      <c r="O136" s="51"/>
      <c r="R136" s="16"/>
      <c r="T136" s="51"/>
      <c r="U136" s="17"/>
      <c r="Y136" s="17"/>
      <c r="AB136" s="51"/>
      <c r="AD136" s="51"/>
    </row>
    <row r="137" spans="13:30" x14ac:dyDescent="0.3">
      <c r="M137" s="17"/>
      <c r="O137" s="51"/>
      <c r="R137" s="16"/>
      <c r="T137" s="51"/>
      <c r="U137" s="17"/>
      <c r="Y137" s="17"/>
      <c r="AB137" s="51"/>
      <c r="AD137" s="51"/>
    </row>
    <row r="138" spans="13:30" x14ac:dyDescent="0.3">
      <c r="M138" s="17"/>
      <c r="O138" s="51"/>
      <c r="R138" s="16"/>
      <c r="T138" s="51"/>
      <c r="U138" s="17"/>
      <c r="Y138" s="17"/>
      <c r="AB138" s="51"/>
      <c r="AD138" s="51"/>
    </row>
    <row r="139" spans="13:30" x14ac:dyDescent="0.3">
      <c r="M139" s="17"/>
      <c r="O139" s="51"/>
      <c r="R139" s="16"/>
      <c r="T139" s="51"/>
      <c r="U139" s="17"/>
      <c r="Y139" s="17"/>
      <c r="AB139" s="51"/>
      <c r="AD139" s="51"/>
    </row>
    <row r="140" spans="13:30" x14ac:dyDescent="0.3">
      <c r="M140" s="17"/>
      <c r="O140" s="51"/>
      <c r="R140" s="16"/>
      <c r="T140" s="51"/>
      <c r="U140" s="17"/>
      <c r="Y140" s="17"/>
      <c r="AB140" s="51"/>
      <c r="AD140" s="51"/>
    </row>
    <row r="141" spans="13:30" x14ac:dyDescent="0.3">
      <c r="M141" s="17"/>
      <c r="O141" s="51"/>
      <c r="R141" s="16"/>
      <c r="T141" s="51"/>
      <c r="U141" s="17"/>
      <c r="Y141" s="17"/>
      <c r="AB141" s="51"/>
      <c r="AD141" s="51"/>
    </row>
    <row r="142" spans="13:30" x14ac:dyDescent="0.3">
      <c r="M142" s="17"/>
      <c r="O142" s="51"/>
      <c r="R142" s="16"/>
      <c r="T142" s="51"/>
      <c r="U142" s="17"/>
      <c r="Y142" s="17"/>
      <c r="AB142" s="51"/>
      <c r="AD142" s="51"/>
    </row>
    <row r="143" spans="13:30" x14ac:dyDescent="0.3">
      <c r="M143" s="17"/>
      <c r="O143" s="51"/>
      <c r="R143" s="16"/>
      <c r="T143" s="51"/>
      <c r="U143" s="17"/>
      <c r="Y143" s="17"/>
      <c r="AB143" s="51"/>
      <c r="AD143" s="51"/>
    </row>
    <row r="144" spans="13:30" x14ac:dyDescent="0.3">
      <c r="M144" s="17"/>
      <c r="O144" s="51"/>
      <c r="R144" s="16"/>
      <c r="T144" s="51"/>
      <c r="U144" s="17"/>
      <c r="Y144" s="17"/>
      <c r="AB144" s="51"/>
      <c r="AD144" s="51"/>
    </row>
    <row r="145" spans="13:30" x14ac:dyDescent="0.3">
      <c r="M145" s="17"/>
      <c r="O145" s="51"/>
      <c r="R145" s="16"/>
      <c r="T145" s="51"/>
      <c r="U145" s="17"/>
      <c r="Y145" s="17"/>
      <c r="AB145" s="51"/>
      <c r="AD145" s="51"/>
    </row>
    <row r="146" spans="13:30" x14ac:dyDescent="0.3">
      <c r="M146" s="17"/>
      <c r="O146" s="51"/>
      <c r="R146" s="16"/>
      <c r="T146" s="51"/>
      <c r="U146" s="17"/>
      <c r="Y146" s="17"/>
      <c r="AB146" s="51"/>
      <c r="AD146" s="51"/>
    </row>
    <row r="147" spans="13:30" x14ac:dyDescent="0.3">
      <c r="M147" s="17"/>
      <c r="O147" s="51"/>
      <c r="R147" s="16"/>
      <c r="T147" s="51"/>
      <c r="U147" s="17"/>
      <c r="Y147" s="17"/>
      <c r="AB147" s="51"/>
      <c r="AD147" s="51"/>
    </row>
    <row r="148" spans="13:30" x14ac:dyDescent="0.3">
      <c r="M148" s="17"/>
      <c r="O148" s="51"/>
      <c r="R148" s="16"/>
      <c r="T148" s="51"/>
      <c r="U148" s="17"/>
      <c r="Y148" s="17"/>
      <c r="AB148" s="51"/>
      <c r="AD148" s="51"/>
    </row>
    <row r="149" spans="13:30" x14ac:dyDescent="0.3">
      <c r="M149" s="17"/>
      <c r="O149" s="51"/>
      <c r="R149" s="16"/>
      <c r="T149" s="51"/>
      <c r="U149" s="17"/>
      <c r="Y149" s="17"/>
      <c r="AB149" s="51"/>
      <c r="AD149" s="51"/>
    </row>
    <row r="150" spans="13:30" x14ac:dyDescent="0.3">
      <c r="M150" s="17"/>
      <c r="O150" s="51"/>
      <c r="R150" s="16"/>
      <c r="T150" s="51"/>
      <c r="U150" s="17"/>
      <c r="Y150" s="17"/>
      <c r="AB150" s="51"/>
      <c r="AD150" s="51"/>
    </row>
    <row r="151" spans="13:30" x14ac:dyDescent="0.3">
      <c r="M151" s="17"/>
      <c r="O151" s="51"/>
      <c r="R151" s="16"/>
      <c r="T151" s="51"/>
      <c r="U151" s="17"/>
      <c r="Y151" s="17"/>
      <c r="AB151" s="51"/>
      <c r="AD151" s="51"/>
    </row>
    <row r="152" spans="13:30" x14ac:dyDescent="0.3">
      <c r="M152" s="17"/>
      <c r="O152" s="51"/>
      <c r="R152" s="16"/>
      <c r="T152" s="51"/>
      <c r="U152" s="17"/>
      <c r="Y152" s="17"/>
      <c r="AB152" s="51"/>
      <c r="AD152" s="51"/>
    </row>
    <row r="153" spans="13:30" x14ac:dyDescent="0.3">
      <c r="M153" s="17"/>
      <c r="O153" s="51"/>
      <c r="R153" s="16"/>
      <c r="T153" s="51"/>
      <c r="U153" s="17"/>
      <c r="Y153" s="17"/>
      <c r="AB153" s="51"/>
      <c r="AD153" s="51"/>
    </row>
    <row r="154" spans="13:30" x14ac:dyDescent="0.3">
      <c r="M154" s="17"/>
      <c r="O154" s="51"/>
      <c r="R154" s="16"/>
      <c r="T154" s="51"/>
      <c r="U154" s="17"/>
      <c r="Y154" s="17"/>
      <c r="AB154" s="51"/>
      <c r="AD154" s="51"/>
    </row>
    <row r="155" spans="13:30" x14ac:dyDescent="0.3">
      <c r="M155" s="17"/>
      <c r="O155" s="51"/>
      <c r="R155" s="16"/>
      <c r="T155" s="51"/>
      <c r="U155" s="17"/>
      <c r="Y155" s="17"/>
      <c r="AB155" s="51"/>
      <c r="AD155" s="51"/>
    </row>
    <row r="156" spans="13:30" x14ac:dyDescent="0.3">
      <c r="M156" s="17"/>
      <c r="O156" s="51"/>
      <c r="R156" s="16"/>
      <c r="T156" s="51"/>
      <c r="U156" s="17"/>
      <c r="Y156" s="17"/>
      <c r="AB156" s="51"/>
      <c r="AD156" s="51"/>
    </row>
    <row r="157" spans="13:30" x14ac:dyDescent="0.3">
      <c r="M157" s="17"/>
      <c r="O157" s="51"/>
      <c r="R157" s="16"/>
      <c r="T157" s="51"/>
      <c r="U157" s="17"/>
      <c r="Y157" s="17"/>
      <c r="AB157" s="51"/>
      <c r="AD157" s="51"/>
    </row>
    <row r="158" spans="13:30" x14ac:dyDescent="0.3">
      <c r="M158" s="17"/>
      <c r="O158" s="51"/>
      <c r="R158" s="16"/>
      <c r="T158" s="51"/>
      <c r="U158" s="17"/>
      <c r="Y158" s="17"/>
      <c r="AB158" s="51"/>
      <c r="AD158" s="51"/>
    </row>
    <row r="159" spans="13:30" x14ac:dyDescent="0.3">
      <c r="M159" s="17"/>
      <c r="O159" s="51"/>
      <c r="R159" s="16"/>
      <c r="T159" s="51"/>
      <c r="U159" s="17"/>
      <c r="Y159" s="17"/>
      <c r="AB159" s="51"/>
      <c r="AD159" s="51"/>
    </row>
    <row r="160" spans="13:30" x14ac:dyDescent="0.3">
      <c r="M160" s="17"/>
      <c r="O160" s="51"/>
      <c r="R160" s="16"/>
      <c r="T160" s="51"/>
      <c r="U160" s="17"/>
      <c r="Y160" s="17"/>
      <c r="AB160" s="51"/>
      <c r="AD160" s="51"/>
    </row>
    <row r="161" spans="13:30" x14ac:dyDescent="0.3">
      <c r="M161" s="17"/>
      <c r="O161" s="51"/>
      <c r="R161" s="16"/>
      <c r="T161" s="51"/>
      <c r="U161" s="17"/>
      <c r="Y161" s="17"/>
      <c r="AB161" s="51"/>
      <c r="AD161" s="51"/>
    </row>
    <row r="162" spans="13:30" x14ac:dyDescent="0.3">
      <c r="M162" s="17"/>
      <c r="O162" s="51"/>
      <c r="R162" s="16"/>
      <c r="T162" s="51"/>
      <c r="U162" s="17"/>
      <c r="Y162" s="17"/>
      <c r="AB162" s="51"/>
      <c r="AD162" s="51"/>
    </row>
    <row r="163" spans="13:30" x14ac:dyDescent="0.3">
      <c r="M163" s="17"/>
      <c r="O163" s="51"/>
      <c r="R163" s="16"/>
      <c r="T163" s="51"/>
      <c r="U163" s="17"/>
      <c r="Y163" s="17"/>
      <c r="AB163" s="51"/>
      <c r="AD163" s="51"/>
    </row>
    <row r="164" spans="13:30" x14ac:dyDescent="0.3">
      <c r="N164" s="17"/>
      <c r="O164" s="51"/>
      <c r="S164" s="16"/>
      <c r="T164" s="51"/>
      <c r="V164" s="17"/>
      <c r="X164" s="51"/>
      <c r="Y164" s="17"/>
      <c r="AD164" s="51"/>
    </row>
    <row r="165" spans="13:30" x14ac:dyDescent="0.3">
      <c r="N165" s="17"/>
      <c r="O165" s="51"/>
      <c r="S165" s="16"/>
      <c r="T165" s="51"/>
      <c r="V165" s="17"/>
      <c r="X165" s="51"/>
      <c r="Y165" s="17"/>
      <c r="AD165" s="51"/>
    </row>
    <row r="166" spans="13:30" x14ac:dyDescent="0.3">
      <c r="N166" s="17"/>
      <c r="O166" s="51"/>
      <c r="S166" s="16"/>
      <c r="T166" s="51"/>
      <c r="V166" s="17"/>
      <c r="X166" s="51"/>
      <c r="Y166" s="17"/>
      <c r="AD166" s="51"/>
    </row>
    <row r="167" spans="13:30" x14ac:dyDescent="0.3">
      <c r="N167" s="17"/>
      <c r="O167" s="51"/>
      <c r="S167" s="16"/>
      <c r="T167" s="51"/>
      <c r="V167" s="17"/>
      <c r="X167" s="51"/>
      <c r="Y167" s="17"/>
      <c r="AD167" s="51"/>
    </row>
    <row r="168" spans="13:30" x14ac:dyDescent="0.3">
      <c r="N168" s="17"/>
      <c r="O168" s="51"/>
      <c r="S168" s="16"/>
      <c r="T168" s="51"/>
      <c r="V168" s="17"/>
      <c r="X168" s="51"/>
      <c r="Y168" s="17"/>
      <c r="AD168" s="51"/>
    </row>
    <row r="169" spans="13:30" x14ac:dyDescent="0.3">
      <c r="N169" s="17"/>
      <c r="O169" s="51"/>
      <c r="S169" s="16"/>
      <c r="T169" s="51"/>
      <c r="V169" s="17"/>
      <c r="X169" s="51"/>
      <c r="Y169" s="17"/>
      <c r="AD169" s="51"/>
    </row>
    <row r="170" spans="13:30" x14ac:dyDescent="0.3">
      <c r="N170" s="17"/>
      <c r="O170" s="51"/>
      <c r="S170" s="16"/>
      <c r="T170" s="51"/>
      <c r="V170" s="17"/>
      <c r="X170" s="51"/>
      <c r="Y170" s="17"/>
      <c r="AD170" s="51"/>
    </row>
    <row r="171" spans="13:30" x14ac:dyDescent="0.3">
      <c r="N171" s="17"/>
      <c r="O171" s="51"/>
      <c r="S171" s="16"/>
      <c r="T171" s="51"/>
      <c r="V171" s="17"/>
      <c r="X171" s="51"/>
      <c r="Y171" s="17"/>
      <c r="AD171" s="51"/>
    </row>
    <row r="172" spans="13:30" x14ac:dyDescent="0.3">
      <c r="N172" s="17"/>
      <c r="O172" s="51"/>
      <c r="S172" s="16"/>
      <c r="T172" s="51"/>
      <c r="V172" s="17"/>
      <c r="X172" s="51"/>
      <c r="Y172" s="17"/>
      <c r="AD172" s="51"/>
    </row>
    <row r="173" spans="13:30" x14ac:dyDescent="0.3">
      <c r="N173" s="17"/>
      <c r="O173" s="51"/>
      <c r="S173" s="16"/>
      <c r="T173" s="51"/>
      <c r="V173" s="17"/>
      <c r="X173" s="51"/>
      <c r="Y173" s="17"/>
      <c r="AD173" s="51"/>
    </row>
    <row r="174" spans="13:30" x14ac:dyDescent="0.3">
      <c r="N174" s="17"/>
      <c r="O174" s="51"/>
      <c r="S174" s="16"/>
      <c r="T174" s="51"/>
      <c r="V174" s="17"/>
      <c r="X174" s="51"/>
      <c r="Y174" s="17"/>
      <c r="AD174" s="51"/>
    </row>
    <row r="175" spans="13:30" x14ac:dyDescent="0.3">
      <c r="N175" s="17"/>
      <c r="O175" s="51"/>
      <c r="S175" s="16"/>
      <c r="T175" s="51"/>
      <c r="V175" s="17"/>
      <c r="X175" s="51"/>
      <c r="Y175" s="17"/>
      <c r="AD175" s="51"/>
    </row>
    <row r="176" spans="13:30" x14ac:dyDescent="0.3">
      <c r="N176" s="17"/>
      <c r="O176" s="51"/>
      <c r="S176" s="16"/>
      <c r="T176" s="51"/>
      <c r="V176" s="17"/>
      <c r="X176" s="51"/>
      <c r="Y176" s="17"/>
      <c r="AD176" s="51"/>
    </row>
    <row r="177" spans="14:30" x14ac:dyDescent="0.3">
      <c r="N177" s="17"/>
      <c r="O177" s="51"/>
      <c r="S177" s="16"/>
      <c r="T177" s="51"/>
      <c r="V177" s="17"/>
      <c r="X177" s="51"/>
      <c r="Y177" s="17"/>
      <c r="AD177" s="51"/>
    </row>
    <row r="178" spans="14:30" x14ac:dyDescent="0.3">
      <c r="N178" s="17"/>
      <c r="O178" s="51"/>
      <c r="S178" s="16"/>
      <c r="T178" s="51"/>
      <c r="V178" s="17"/>
      <c r="X178" s="51"/>
      <c r="Y178" s="17"/>
      <c r="AD178" s="51"/>
    </row>
    <row r="179" spans="14:30" x14ac:dyDescent="0.3">
      <c r="N179" s="17"/>
      <c r="O179" s="51"/>
      <c r="S179" s="16"/>
      <c r="T179" s="51"/>
      <c r="V179" s="17"/>
      <c r="X179" s="51"/>
      <c r="Y179" s="17"/>
      <c r="AD179" s="51"/>
    </row>
    <row r="180" spans="14:30" x14ac:dyDescent="0.3">
      <c r="N180" s="17"/>
      <c r="O180" s="51"/>
      <c r="S180" s="16"/>
      <c r="T180" s="51"/>
      <c r="V180" s="17"/>
      <c r="X180" s="51"/>
      <c r="Y180" s="17"/>
      <c r="AD180" s="51"/>
    </row>
    <row r="181" spans="14:30" x14ac:dyDescent="0.3">
      <c r="N181" s="17"/>
      <c r="O181" s="51"/>
      <c r="S181" s="16"/>
      <c r="T181" s="51"/>
      <c r="V181" s="17"/>
      <c r="X181" s="51"/>
      <c r="Y181" s="17"/>
      <c r="AD181" s="51"/>
    </row>
    <row r="182" spans="14:30" x14ac:dyDescent="0.3">
      <c r="N182" s="17"/>
      <c r="O182" s="51"/>
      <c r="S182" s="16"/>
      <c r="T182" s="51"/>
      <c r="V182" s="17"/>
      <c r="X182" s="51"/>
      <c r="Y182" s="17"/>
      <c r="AD182" s="51"/>
    </row>
    <row r="183" spans="14:30" x14ac:dyDescent="0.3">
      <c r="N183" s="17"/>
      <c r="O183" s="51"/>
      <c r="S183" s="16"/>
      <c r="T183" s="51"/>
      <c r="V183" s="17"/>
      <c r="X183" s="51"/>
      <c r="Y183" s="17"/>
      <c r="AD183" s="51"/>
    </row>
    <row r="184" spans="14:30" x14ac:dyDescent="0.3">
      <c r="N184" s="17"/>
      <c r="O184" s="51"/>
      <c r="S184" s="16"/>
      <c r="T184" s="51"/>
      <c r="V184" s="17"/>
      <c r="X184" s="51"/>
      <c r="Y184" s="17"/>
      <c r="AD184" s="51"/>
    </row>
    <row r="185" spans="14:30" x14ac:dyDescent="0.3">
      <c r="N185" s="17"/>
      <c r="O185" s="51"/>
      <c r="S185" s="16"/>
      <c r="T185" s="51"/>
      <c r="V185" s="17"/>
      <c r="X185" s="51"/>
      <c r="Y185" s="17"/>
      <c r="AD185" s="51"/>
    </row>
    <row r="186" spans="14:30" x14ac:dyDescent="0.3">
      <c r="N186" s="17"/>
      <c r="O186" s="51"/>
      <c r="S186" s="16"/>
      <c r="T186" s="51"/>
      <c r="V186" s="17"/>
      <c r="X186" s="51"/>
      <c r="Y186" s="17"/>
      <c r="AD186" s="51"/>
    </row>
    <row r="187" spans="14:30" x14ac:dyDescent="0.3">
      <c r="N187" s="17"/>
      <c r="O187" s="51"/>
      <c r="S187" s="16"/>
      <c r="T187" s="51"/>
      <c r="V187" s="17"/>
      <c r="X187" s="51"/>
      <c r="Y187" s="17"/>
      <c r="AD187" s="51"/>
    </row>
    <row r="188" spans="14:30" x14ac:dyDescent="0.3">
      <c r="N188" s="17"/>
      <c r="O188" s="51"/>
      <c r="S188" s="16"/>
      <c r="T188" s="51"/>
      <c r="V188" s="17"/>
      <c r="X188" s="51"/>
      <c r="Y188" s="17"/>
      <c r="AD188" s="51"/>
    </row>
    <row r="189" spans="14:30" x14ac:dyDescent="0.3">
      <c r="N189" s="17"/>
      <c r="O189" s="51"/>
      <c r="S189" s="16"/>
      <c r="T189" s="51"/>
      <c r="V189" s="17"/>
      <c r="X189" s="51"/>
      <c r="Y189" s="17"/>
      <c r="AD189" s="51"/>
    </row>
  </sheetData>
  <mergeCells count="52">
    <mergeCell ref="AR1:AT1"/>
    <mergeCell ref="AV1:AX1"/>
    <mergeCell ref="AZ1:BB1"/>
    <mergeCell ref="BC1:BE1"/>
    <mergeCell ref="A87:A88"/>
    <mergeCell ref="AR2:AS2"/>
    <mergeCell ref="AV2:AW2"/>
    <mergeCell ref="AZ2:BA2"/>
    <mergeCell ref="BC2:BD2"/>
    <mergeCell ref="B45:B46"/>
    <mergeCell ref="C45:C46"/>
    <mergeCell ref="D45:D46"/>
    <mergeCell ref="E45:E46"/>
    <mergeCell ref="H2:I2"/>
    <mergeCell ref="D2:E2"/>
    <mergeCell ref="AE2:AF2"/>
    <mergeCell ref="AO2:AP2"/>
    <mergeCell ref="B59:B60"/>
    <mergeCell ref="C59:C60"/>
    <mergeCell ref="D59:D60"/>
    <mergeCell ref="E59:E60"/>
    <mergeCell ref="A85:A86"/>
    <mergeCell ref="A108:A109"/>
    <mergeCell ref="A117:A119"/>
    <mergeCell ref="A121:A122"/>
    <mergeCell ref="A89:A90"/>
    <mergeCell ref="A91:A92"/>
    <mergeCell ref="A93:A94"/>
    <mergeCell ref="A95:A96"/>
    <mergeCell ref="A102:A103"/>
    <mergeCell ref="A105:A107"/>
    <mergeCell ref="D1:F1"/>
    <mergeCell ref="H1:L1"/>
    <mergeCell ref="M1:Q1"/>
    <mergeCell ref="S1:W1"/>
    <mergeCell ref="Y1:AC1"/>
    <mergeCell ref="BS1:BT1"/>
    <mergeCell ref="BU1:BV1"/>
    <mergeCell ref="M2:N2"/>
    <mergeCell ref="S2:T2"/>
    <mergeCell ref="Y2:Z2"/>
    <mergeCell ref="BG1:BH1"/>
    <mergeCell ref="BI1:BJ1"/>
    <mergeCell ref="BL1:BM1"/>
    <mergeCell ref="BN1:BO1"/>
    <mergeCell ref="AE1:AG1"/>
    <mergeCell ref="AH1:AJ1"/>
    <mergeCell ref="AK1:AM1"/>
    <mergeCell ref="AO1:AQ1"/>
    <mergeCell ref="BQ1:BR1"/>
    <mergeCell ref="AH2:AI2"/>
    <mergeCell ref="AK2:AL2"/>
  </mergeCells>
  <pageMargins left="0.75" right="0.75" top="1" bottom="1" header="0.5" footer="0.5"/>
  <pageSetup paperSize="9" orientation="portrait" horizontalDpi="4294967292" verticalDpi="4294967292"/>
  <headerFooter alignWithMargins="0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"/>
  <sheetViews>
    <sheetView zoomScaleNormal="100" workbookViewId="0">
      <selection activeCell="B6" sqref="B6"/>
    </sheetView>
  </sheetViews>
  <sheetFormatPr defaultRowHeight="14.4" x14ac:dyDescent="0.3"/>
  <cols>
    <col min="1" max="16384" width="8.796875" style="49"/>
  </cols>
  <sheetData>
    <row r="2" spans="1:2" x14ac:dyDescent="0.3">
      <c r="A2" s="47"/>
      <c r="B2" s="48" t="s">
        <v>216</v>
      </c>
    </row>
    <row r="4" spans="1:2" x14ac:dyDescent="0.3">
      <c r="A4" s="50"/>
      <c r="B4" s="48" t="s">
        <v>217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Intro</vt:lpstr>
      <vt:lpstr>Mohammerah - Prices (Imports)</vt:lpstr>
      <vt:lpstr>Mohammerah - Prices (Exports)</vt:lpstr>
      <vt:lpstr>Imports - Data (Raw)</vt:lpstr>
      <vt:lpstr>Imports - Data (Adjusted)</vt:lpstr>
      <vt:lpstr>Exports - Data (Raw)</vt:lpstr>
      <vt:lpstr>Exports - Data (Adjusted)</vt:lpstr>
      <vt:lpstr>Color Legend</vt:lpstr>
    </vt:vector>
  </TitlesOfParts>
  <Company>University of Oxford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 Ghulam Mustafa</dc:creator>
  <cp:lastModifiedBy>Rai Ghulam Mustafa</cp:lastModifiedBy>
  <dcterms:created xsi:type="dcterms:W3CDTF">2016-02-03T15:57:06Z</dcterms:created>
  <dcterms:modified xsi:type="dcterms:W3CDTF">2018-11-13T18:37:44Z</dcterms:modified>
</cp:coreProperties>
</file>