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040" windowHeight="9396" tabRatio="800"/>
  </bookViews>
  <sheets>
    <sheet name="Intro" sheetId="27" r:id="rId1"/>
    <sheet name="Kermanshah - Prices (Imports)" sheetId="24" r:id="rId2"/>
    <sheet name="Kermanshah - Prices (Exports)" sheetId="25" r:id="rId3"/>
    <sheet name="Kermanshah-Prices(Bazaar-Local)" sheetId="26" r:id="rId4"/>
    <sheet name="Imports - Data (Raw &amp; Adjusted)" sheetId="1" r:id="rId5"/>
    <sheet name="Exports - Data (Raw &amp; Adjusted)" sheetId="20" r:id="rId6"/>
    <sheet name="Bazaar(Local) - Prices(Raw&amp;Adj)" sheetId="22" r:id="rId7"/>
    <sheet name="Color Legend" sheetId="28" r:id="rId8"/>
  </sheets>
  <calcPr calcId="152511"/>
</workbook>
</file>

<file path=xl/calcChain.xml><?xml version="1.0" encoding="utf-8"?>
<calcChain xmlns="http://schemas.openxmlformats.org/spreadsheetml/2006/main">
  <c r="AA6" i="20" l="1"/>
  <c r="Z6" i="20"/>
  <c r="AA5" i="20"/>
  <c r="AB5" i="20" s="1"/>
  <c r="Z5" i="20"/>
  <c r="X9" i="20"/>
  <c r="W9" i="20"/>
  <c r="Y9" i="20"/>
  <c r="Y5" i="20"/>
  <c r="W5" i="20"/>
  <c r="X5" i="20"/>
  <c r="X6" i="20"/>
  <c r="W6" i="20"/>
  <c r="Q22" i="20"/>
  <c r="Q21" i="20"/>
  <c r="T4" i="20"/>
  <c r="U37" i="20"/>
  <c r="T37" i="20"/>
  <c r="T34" i="20"/>
  <c r="U35" i="20"/>
  <c r="T35" i="20"/>
  <c r="U33" i="20"/>
  <c r="T33" i="20"/>
  <c r="U31" i="20"/>
  <c r="T31" i="20"/>
  <c r="U30" i="20"/>
  <c r="T30" i="20"/>
  <c r="U28" i="20"/>
  <c r="T28" i="20"/>
  <c r="U25" i="20"/>
  <c r="T25" i="20"/>
  <c r="U24" i="20"/>
  <c r="T24" i="20"/>
  <c r="U23" i="20"/>
  <c r="T23" i="20"/>
  <c r="U21" i="20"/>
  <c r="T21" i="20"/>
  <c r="U20" i="20"/>
  <c r="T20" i="20"/>
  <c r="U19" i="20"/>
  <c r="T19" i="20"/>
  <c r="U17" i="20"/>
  <c r="T17" i="20"/>
  <c r="U14" i="20"/>
  <c r="T14" i="20"/>
  <c r="U9" i="20"/>
  <c r="T9" i="20"/>
  <c r="U6" i="20"/>
  <c r="T6" i="20"/>
  <c r="U5" i="20"/>
  <c r="V5" i="20" s="1"/>
  <c r="T5" i="20"/>
  <c r="U4" i="20"/>
  <c r="R37" i="20"/>
  <c r="Q37" i="20"/>
  <c r="R35" i="20"/>
  <c r="Q35" i="20"/>
  <c r="R33" i="20"/>
  <c r="Q33" i="20"/>
  <c r="R31" i="20"/>
  <c r="Q31" i="20"/>
  <c r="Q30" i="20"/>
  <c r="R29" i="20"/>
  <c r="Q29" i="20"/>
  <c r="R28" i="20"/>
  <c r="Q28" i="20"/>
  <c r="R25" i="20"/>
  <c r="Q25" i="20"/>
  <c r="R24" i="20"/>
  <c r="Q24" i="20"/>
  <c r="R21" i="20"/>
  <c r="R19" i="20"/>
  <c r="Q19" i="20"/>
  <c r="R18" i="20"/>
  <c r="Q18" i="20"/>
  <c r="R17" i="20"/>
  <c r="Q17" i="20"/>
  <c r="R14" i="20"/>
  <c r="Q14" i="20"/>
  <c r="R9" i="20"/>
  <c r="Q9" i="20"/>
  <c r="R6" i="20"/>
  <c r="Q6" i="20"/>
  <c r="R5" i="20"/>
  <c r="Q5" i="20"/>
  <c r="R4" i="20"/>
  <c r="Q4" i="20"/>
  <c r="O35" i="20"/>
  <c r="O19" i="20"/>
  <c r="O25" i="20"/>
  <c r="L33" i="20"/>
  <c r="K33" i="20"/>
  <c r="M33" i="20"/>
  <c r="L28" i="20"/>
  <c r="M28" i="20" s="1"/>
  <c r="K28" i="20"/>
  <c r="O15" i="20"/>
  <c r="N15" i="20"/>
  <c r="I15" i="20"/>
  <c r="H15" i="20"/>
  <c r="H6" i="20"/>
  <c r="C14" i="20"/>
  <c r="F23" i="22"/>
  <c r="C23" i="22"/>
  <c r="S5" i="20" l="1"/>
  <c r="P15" i="20"/>
  <c r="J15" i="20"/>
  <c r="D144" i="20"/>
  <c r="F144" i="20" s="1"/>
  <c r="D143" i="20"/>
  <c r="F143" i="20" s="1"/>
  <c r="F142" i="20" s="1"/>
  <c r="D139" i="20"/>
  <c r="D138" i="20"/>
  <c r="F131" i="20"/>
  <c r="D130" i="20"/>
  <c r="D129" i="20"/>
  <c r="D128" i="20"/>
  <c r="D127" i="20"/>
  <c r="F125" i="20"/>
  <c r="F123" i="20"/>
  <c r="F121" i="20"/>
  <c r="F120" i="20"/>
  <c r="F119" i="20"/>
  <c r="F118" i="20"/>
  <c r="F117" i="20"/>
  <c r="F116" i="20"/>
  <c r="F115" i="20"/>
  <c r="F113" i="20"/>
  <c r="F112" i="20"/>
  <c r="F110" i="20"/>
  <c r="F108" i="20"/>
  <c r="F109" i="20" s="1"/>
  <c r="D107" i="20"/>
  <c r="F107" i="20" s="1"/>
  <c r="F106" i="20" s="1"/>
  <c r="F104" i="20"/>
  <c r="F103" i="20"/>
  <c r="F101" i="20"/>
  <c r="F94" i="20"/>
  <c r="F93" i="20"/>
  <c r="D88" i="20"/>
  <c r="F81" i="20"/>
  <c r="D79" i="20"/>
  <c r="D78" i="20"/>
  <c r="D69" i="20"/>
  <c r="D68" i="20"/>
  <c r="D64" i="20"/>
  <c r="F4" i="22"/>
  <c r="C4" i="22"/>
  <c r="F3" i="22"/>
  <c r="C3" i="22"/>
  <c r="D54" i="22"/>
  <c r="AO53" i="1" l="1"/>
  <c r="AN53" i="1"/>
  <c r="AE4" i="1" l="1"/>
  <c r="AE6" i="1"/>
  <c r="AE7" i="1"/>
  <c r="AE8" i="1"/>
  <c r="AE10" i="1"/>
  <c r="AE11" i="1"/>
  <c r="AE13" i="1"/>
  <c r="AE14" i="1"/>
  <c r="AE15" i="1"/>
  <c r="AE16" i="1"/>
  <c r="AE17" i="1"/>
  <c r="AE19" i="1"/>
  <c r="AE20" i="1"/>
  <c r="AE21" i="1"/>
  <c r="AE23" i="1"/>
  <c r="AE24" i="1"/>
  <c r="AE26" i="1"/>
  <c r="AE27" i="1"/>
  <c r="AE28" i="1"/>
  <c r="AE29" i="1"/>
  <c r="AE31" i="1"/>
  <c r="AE33" i="1"/>
  <c r="AE34" i="1"/>
  <c r="AE36" i="1"/>
  <c r="AE37" i="1"/>
  <c r="AE38" i="1"/>
  <c r="AE39" i="1"/>
  <c r="AE40" i="1"/>
  <c r="AE42" i="1"/>
  <c r="AE44" i="1"/>
  <c r="AE45" i="1"/>
  <c r="AE46" i="1"/>
  <c r="AE47" i="1"/>
  <c r="AE48" i="1"/>
  <c r="AE49" i="1"/>
  <c r="AE50" i="1"/>
  <c r="AE51" i="1"/>
  <c r="AE52" i="1"/>
  <c r="AE54" i="1"/>
  <c r="AB39" i="1"/>
  <c r="AC15" i="1"/>
  <c r="AB15" i="1"/>
  <c r="AB14" i="1"/>
  <c r="Z54" i="1"/>
  <c r="Z53" i="1"/>
  <c r="Z52" i="1"/>
  <c r="Z51" i="1"/>
  <c r="Z50" i="1"/>
  <c r="Z48" i="1"/>
  <c r="Z46" i="1"/>
  <c r="Z45" i="1"/>
  <c r="Z43" i="1"/>
  <c r="Z42" i="1"/>
  <c r="Z39" i="1"/>
  <c r="Z37" i="1"/>
  <c r="Z38" i="1"/>
  <c r="Z34" i="1"/>
  <c r="Z30" i="1"/>
  <c r="Z31" i="1"/>
  <c r="Z26" i="1"/>
  <c r="Z23" i="1"/>
  <c r="Z22" i="1"/>
  <c r="Z21" i="1"/>
  <c r="Z20" i="1"/>
  <c r="Z19" i="1"/>
  <c r="Z16" i="1"/>
  <c r="Z15" i="1"/>
  <c r="Z14" i="1"/>
  <c r="Z7" i="1"/>
  <c r="Z12" i="1"/>
  <c r="U10" i="1"/>
  <c r="V9" i="1"/>
  <c r="Z10" i="1"/>
  <c r="Z5" i="1"/>
  <c r="Y5" i="1"/>
  <c r="Z6" i="1"/>
  <c r="U54" i="1" l="1"/>
  <c r="U53" i="1"/>
  <c r="U51" i="1"/>
  <c r="U48" i="1"/>
  <c r="U46" i="1"/>
  <c r="U45" i="1"/>
  <c r="U44" i="1"/>
  <c r="U42" i="1"/>
  <c r="U39" i="1"/>
  <c r="U33" i="1"/>
  <c r="U30" i="1"/>
  <c r="U31" i="1"/>
  <c r="U26" i="1"/>
  <c r="U23" i="1"/>
  <c r="U22" i="1"/>
  <c r="U21" i="1"/>
  <c r="U20" i="1"/>
  <c r="U19" i="1"/>
  <c r="U16" i="1"/>
  <c r="U14" i="1"/>
  <c r="U7" i="1"/>
  <c r="U13" i="1"/>
  <c r="U12" i="1"/>
  <c r="U4" i="1"/>
  <c r="M53" i="1"/>
  <c r="H44" i="1"/>
  <c r="Q48" i="1"/>
  <c r="G45" i="1"/>
  <c r="F136" i="1"/>
  <c r="F106" i="1"/>
  <c r="D149" i="1"/>
  <c r="F149" i="1" s="1"/>
  <c r="D148" i="1"/>
  <c r="F148" i="1" s="1"/>
  <c r="F147" i="1" s="1"/>
  <c r="D144" i="1"/>
  <c r="D143" i="1"/>
  <c r="D135" i="1"/>
  <c r="D134" i="1"/>
  <c r="D133" i="1"/>
  <c r="D132" i="1"/>
  <c r="F130" i="1"/>
  <c r="F128" i="1"/>
  <c r="F126" i="1" l="1"/>
  <c r="F125" i="1"/>
  <c r="F124" i="1"/>
  <c r="F123" i="1"/>
  <c r="F122" i="1"/>
  <c r="F121" i="1"/>
  <c r="F120" i="1"/>
  <c r="F118" i="1"/>
  <c r="F117" i="1"/>
  <c r="F115" i="1"/>
  <c r="F113" i="1"/>
  <c r="F114" i="1" s="1"/>
  <c r="D112" i="1"/>
  <c r="F112" i="1" s="1"/>
  <c r="F111" i="1" s="1"/>
  <c r="F109" i="1"/>
  <c r="F108" i="1"/>
  <c r="F99" i="1"/>
  <c r="F98" i="1"/>
  <c r="D93" i="1"/>
  <c r="F86" i="1"/>
  <c r="D84" i="1"/>
  <c r="D83" i="1"/>
  <c r="G5" i="1"/>
  <c r="AT37" i="20" l="1"/>
  <c r="AT36" i="20"/>
  <c r="AT35" i="20"/>
  <c r="AT34" i="20"/>
  <c r="AT33" i="20"/>
  <c r="AT32" i="20"/>
  <c r="AT31" i="20"/>
  <c r="AT30" i="20"/>
  <c r="AT29" i="20"/>
  <c r="AT28" i="20"/>
  <c r="AT27" i="20"/>
  <c r="AT26" i="20"/>
  <c r="AT25" i="20"/>
  <c r="AT24" i="20"/>
  <c r="AT23" i="20"/>
  <c r="AT22" i="20"/>
  <c r="AT21" i="20"/>
  <c r="AT20" i="20"/>
  <c r="AT19" i="20"/>
  <c r="AT18" i="20"/>
  <c r="AT17" i="20"/>
  <c r="AT16" i="20"/>
  <c r="AT15" i="20"/>
  <c r="AT14" i="20"/>
  <c r="AT13" i="20"/>
  <c r="AT12" i="20"/>
  <c r="AT11" i="20"/>
  <c r="AT10" i="20"/>
  <c r="AT9" i="20"/>
  <c r="AT8" i="20"/>
  <c r="AT7" i="20"/>
  <c r="AT6" i="20"/>
  <c r="AT4" i="20"/>
  <c r="AQ37" i="20"/>
  <c r="AQ36" i="20"/>
  <c r="AQ35" i="20"/>
  <c r="AQ34" i="20"/>
  <c r="AQ33" i="20"/>
  <c r="AQ32" i="20"/>
  <c r="AQ31" i="20"/>
  <c r="AQ30" i="20"/>
  <c r="AQ29" i="20"/>
  <c r="AQ28" i="20"/>
  <c r="AQ27" i="20"/>
  <c r="AQ26" i="20"/>
  <c r="AQ25" i="20"/>
  <c r="AQ24" i="20"/>
  <c r="AQ23" i="20"/>
  <c r="AQ22" i="20"/>
  <c r="AQ21" i="20"/>
  <c r="AQ20" i="20"/>
  <c r="AQ19" i="20"/>
  <c r="AQ18" i="20"/>
  <c r="AQ17" i="20"/>
  <c r="AQ16" i="20"/>
  <c r="AQ15" i="20"/>
  <c r="AQ14" i="20"/>
  <c r="AQ13" i="20"/>
  <c r="AQ12" i="20"/>
  <c r="AQ11" i="20"/>
  <c r="AQ10" i="20"/>
  <c r="AQ9" i="20"/>
  <c r="AQ8" i="20"/>
  <c r="AQ7" i="20"/>
  <c r="AQ6" i="20"/>
  <c r="AQ4" i="20"/>
  <c r="AN37" i="20"/>
  <c r="AN36" i="20"/>
  <c r="AN35" i="20"/>
  <c r="AN34" i="20"/>
  <c r="AN33" i="20"/>
  <c r="AN32" i="20"/>
  <c r="AN31" i="20"/>
  <c r="AN30" i="20"/>
  <c r="AN29" i="20"/>
  <c r="AN28" i="20"/>
  <c r="AN27" i="20"/>
  <c r="AN26" i="20"/>
  <c r="AN25" i="20"/>
  <c r="AN24" i="20"/>
  <c r="AN23" i="20"/>
  <c r="AN22" i="20"/>
  <c r="AN21" i="20"/>
  <c r="AN20" i="20"/>
  <c r="AN19" i="20"/>
  <c r="AN18" i="20"/>
  <c r="AN17" i="20"/>
  <c r="AN16" i="20"/>
  <c r="AN15" i="20"/>
  <c r="AN14" i="20"/>
  <c r="AN13" i="20"/>
  <c r="AN12" i="20"/>
  <c r="AN11" i="20"/>
  <c r="AN10" i="20"/>
  <c r="AN9" i="20"/>
  <c r="AN8" i="20"/>
  <c r="AN7" i="20"/>
  <c r="AN6" i="20"/>
  <c r="AN4" i="20"/>
  <c r="AK37" i="20"/>
  <c r="AK36" i="20"/>
  <c r="AK35" i="20"/>
  <c r="AK34" i="20"/>
  <c r="AK33" i="20"/>
  <c r="AK32" i="20"/>
  <c r="AK31" i="20"/>
  <c r="AK30" i="20"/>
  <c r="AK29" i="20"/>
  <c r="AK28" i="20"/>
  <c r="AK27" i="20"/>
  <c r="AK26" i="20"/>
  <c r="AK25" i="20"/>
  <c r="AK24" i="20"/>
  <c r="AK23" i="20"/>
  <c r="AK22" i="20"/>
  <c r="AK21" i="20"/>
  <c r="AK20" i="20"/>
  <c r="AK19" i="20"/>
  <c r="AK18" i="20"/>
  <c r="AK17" i="20"/>
  <c r="AK16" i="20"/>
  <c r="AK15" i="20"/>
  <c r="AK14" i="20"/>
  <c r="AK13" i="20"/>
  <c r="AK12" i="20"/>
  <c r="AK11" i="20"/>
  <c r="AK10" i="20"/>
  <c r="AK9" i="20"/>
  <c r="AK8" i="20"/>
  <c r="AK7" i="20"/>
  <c r="AK6" i="20"/>
  <c r="AK4" i="20"/>
  <c r="AH37" i="20"/>
  <c r="AH36" i="20"/>
  <c r="AH35" i="20"/>
  <c r="AH34" i="20"/>
  <c r="AH33" i="20"/>
  <c r="AH32" i="20"/>
  <c r="AH31" i="20"/>
  <c r="AH30" i="20"/>
  <c r="AH29" i="20"/>
  <c r="AH28" i="20"/>
  <c r="AH27" i="20"/>
  <c r="AH26" i="20"/>
  <c r="AH25" i="20"/>
  <c r="AH24" i="20"/>
  <c r="AH23" i="20"/>
  <c r="AH22" i="20"/>
  <c r="AH21" i="20"/>
  <c r="AH20" i="20"/>
  <c r="AH19" i="20"/>
  <c r="AH18" i="20"/>
  <c r="AH17" i="20"/>
  <c r="AH16" i="20"/>
  <c r="AH15" i="20"/>
  <c r="AH14" i="20"/>
  <c r="AH13" i="20"/>
  <c r="AH12" i="20"/>
  <c r="AH11" i="20"/>
  <c r="AH10" i="20"/>
  <c r="AH9" i="20"/>
  <c r="AH8" i="20"/>
  <c r="AH7" i="20"/>
  <c r="AH6" i="20"/>
  <c r="AH4" i="20"/>
  <c r="AE37" i="20"/>
  <c r="AE36" i="20"/>
  <c r="AE35" i="20"/>
  <c r="AE34" i="20"/>
  <c r="AE33" i="20"/>
  <c r="AE32" i="20"/>
  <c r="AE31" i="20"/>
  <c r="AE30" i="20"/>
  <c r="AE29" i="20"/>
  <c r="AE28" i="20"/>
  <c r="AE27" i="20"/>
  <c r="AE26" i="20"/>
  <c r="AE25" i="20"/>
  <c r="AE24" i="20"/>
  <c r="AE23" i="20"/>
  <c r="AE22" i="20"/>
  <c r="AE21" i="20"/>
  <c r="AE20" i="20"/>
  <c r="AE19" i="20"/>
  <c r="AE18" i="20"/>
  <c r="AE17" i="20"/>
  <c r="AE16" i="20"/>
  <c r="AE15" i="20"/>
  <c r="AE14" i="20"/>
  <c r="AE13" i="20"/>
  <c r="AE12" i="20"/>
  <c r="AE11" i="20"/>
  <c r="AE10" i="20"/>
  <c r="AE9" i="20"/>
  <c r="AE8" i="20"/>
  <c r="AE7" i="20"/>
  <c r="AE6" i="20"/>
  <c r="AE4" i="20"/>
  <c r="AB32" i="20"/>
  <c r="AB27" i="20"/>
  <c r="AB26" i="20"/>
  <c r="AB18" i="20"/>
  <c r="AB16" i="20"/>
  <c r="AB13" i="20"/>
  <c r="AB12" i="20"/>
  <c r="AB11" i="20"/>
  <c r="AB10" i="20"/>
  <c r="AB9" i="20"/>
  <c r="Y37" i="20"/>
  <c r="Y32" i="20"/>
  <c r="Y29" i="20"/>
  <c r="Y27" i="20"/>
  <c r="Y26" i="20"/>
  <c r="Y21" i="20"/>
  <c r="Y16" i="20"/>
  <c r="Y13" i="20"/>
  <c r="Y12" i="20"/>
  <c r="Y11" i="20"/>
  <c r="Y10" i="20"/>
  <c r="Z4" i="20"/>
  <c r="Z7" i="20"/>
  <c r="AB7" i="20" s="1"/>
  <c r="AB8" i="20"/>
  <c r="Z14" i="20"/>
  <c r="AB14" i="20" s="1"/>
  <c r="Z15" i="20"/>
  <c r="AB15" i="20" s="1"/>
  <c r="Z17" i="20"/>
  <c r="AB17" i="20" s="1"/>
  <c r="Z19" i="20"/>
  <c r="AB19" i="20" s="1"/>
  <c r="Z20" i="20"/>
  <c r="AB20" i="20" s="1"/>
  <c r="Z21" i="20"/>
  <c r="Z22" i="20"/>
  <c r="Z23" i="20"/>
  <c r="AB23" i="20" s="1"/>
  <c r="Z24" i="20"/>
  <c r="AB24" i="20" s="1"/>
  <c r="Z25" i="20"/>
  <c r="AB25" i="20" s="1"/>
  <c r="Z28" i="20"/>
  <c r="AB28" i="20" s="1"/>
  <c r="Z29" i="20"/>
  <c r="AB29" i="20" s="1"/>
  <c r="Z30" i="20"/>
  <c r="AB30" i="20" s="1"/>
  <c r="Z31" i="20"/>
  <c r="AB31" i="20" s="1"/>
  <c r="Z33" i="20"/>
  <c r="AB33" i="20" s="1"/>
  <c r="Z34" i="20"/>
  <c r="AB34" i="20" s="1"/>
  <c r="Z35" i="20"/>
  <c r="AB35" i="20" s="1"/>
  <c r="Z36" i="20"/>
  <c r="AB36" i="20" s="1"/>
  <c r="Z37" i="20"/>
  <c r="AB37" i="20" s="1"/>
  <c r="V32" i="20"/>
  <c r="V27" i="20"/>
  <c r="V26" i="20"/>
  <c r="V16" i="20"/>
  <c r="V13" i="20"/>
  <c r="V12" i="20"/>
  <c r="V11" i="20"/>
  <c r="W7" i="20"/>
  <c r="Y7" i="20" s="1"/>
  <c r="W14" i="20"/>
  <c r="W15" i="20"/>
  <c r="Y15" i="20" s="1"/>
  <c r="W17" i="20"/>
  <c r="Y17" i="20" s="1"/>
  <c r="W18" i="20"/>
  <c r="Y18" i="20" s="1"/>
  <c r="W19" i="20"/>
  <c r="Y19" i="20" s="1"/>
  <c r="W20" i="20"/>
  <c r="Y20" i="20" s="1"/>
  <c r="W21" i="20"/>
  <c r="W22" i="20"/>
  <c r="W23" i="20"/>
  <c r="Y23" i="20" s="1"/>
  <c r="W24" i="20"/>
  <c r="Y24" i="20" s="1"/>
  <c r="W25" i="20"/>
  <c r="Y25" i="20" s="1"/>
  <c r="W28" i="20"/>
  <c r="Y28" i="20" s="1"/>
  <c r="W30" i="20"/>
  <c r="Y30" i="20" s="1"/>
  <c r="W31" i="20"/>
  <c r="Y31" i="20" s="1"/>
  <c r="W33" i="20"/>
  <c r="Y33" i="20" s="1"/>
  <c r="W34" i="20"/>
  <c r="Y34" i="20" s="1"/>
  <c r="W35" i="20"/>
  <c r="Y35" i="20" s="1"/>
  <c r="W36" i="20"/>
  <c r="Y36" i="20" s="1"/>
  <c r="W37" i="20"/>
  <c r="S32" i="20"/>
  <c r="S27" i="20"/>
  <c r="S26" i="20"/>
  <c r="S16" i="20"/>
  <c r="S12" i="20"/>
  <c r="S11" i="20"/>
  <c r="S10" i="20"/>
  <c r="S8" i="20"/>
  <c r="P37" i="20"/>
  <c r="P32" i="20"/>
  <c r="P30" i="20"/>
  <c r="P28" i="20"/>
  <c r="P27" i="20"/>
  <c r="P26" i="20"/>
  <c r="P16" i="20"/>
  <c r="P13" i="20"/>
  <c r="P12" i="20"/>
  <c r="P11" i="20"/>
  <c r="P10" i="20"/>
  <c r="P9" i="20"/>
  <c r="P8" i="20"/>
  <c r="P4" i="20"/>
  <c r="M37" i="20"/>
  <c r="M32" i="20"/>
  <c r="M30" i="20"/>
  <c r="M27" i="20"/>
  <c r="M26" i="20"/>
  <c r="M16" i="20"/>
  <c r="M13" i="20"/>
  <c r="M12" i="20"/>
  <c r="M11" i="20"/>
  <c r="M10" i="20"/>
  <c r="M9" i="20"/>
  <c r="M7" i="20"/>
  <c r="M4" i="20"/>
  <c r="J37" i="20"/>
  <c r="J32" i="20"/>
  <c r="J30" i="20"/>
  <c r="J27" i="20"/>
  <c r="J26" i="20"/>
  <c r="J16" i="20"/>
  <c r="J13" i="20"/>
  <c r="J12" i="20"/>
  <c r="J11" i="20"/>
  <c r="J10" i="20"/>
  <c r="J9" i="20"/>
  <c r="J8" i="20"/>
  <c r="J7" i="20"/>
  <c r="E6" i="20"/>
  <c r="E7" i="20"/>
  <c r="E8" i="20"/>
  <c r="E9" i="20"/>
  <c r="E10" i="20"/>
  <c r="E11" i="20"/>
  <c r="E12" i="20"/>
  <c r="E13" i="20"/>
  <c r="E15" i="20"/>
  <c r="E16" i="20"/>
  <c r="E17" i="20"/>
  <c r="E18" i="20"/>
  <c r="E19" i="20"/>
  <c r="E20" i="20"/>
  <c r="E21" i="20"/>
  <c r="E22" i="20"/>
  <c r="E23" i="20"/>
  <c r="E26" i="20"/>
  <c r="E27" i="20"/>
  <c r="E28" i="20"/>
  <c r="E29" i="20"/>
  <c r="E30" i="20"/>
  <c r="E31" i="20"/>
  <c r="E32" i="20"/>
  <c r="E33" i="20"/>
  <c r="E36" i="20"/>
  <c r="E37" i="20"/>
  <c r="E4" i="20"/>
  <c r="AY54" i="1"/>
  <c r="AY53" i="1"/>
  <c r="AY52" i="1"/>
  <c r="AY51" i="1"/>
  <c r="AY50" i="1"/>
  <c r="AY49" i="1"/>
  <c r="AY48" i="1"/>
  <c r="AY47" i="1"/>
  <c r="AY46" i="1"/>
  <c r="AY45" i="1"/>
  <c r="AY44" i="1"/>
  <c r="AY43" i="1"/>
  <c r="AY42" i="1"/>
  <c r="AY41" i="1"/>
  <c r="AY40" i="1"/>
  <c r="AY39" i="1"/>
  <c r="AY38" i="1"/>
  <c r="AY37" i="1"/>
  <c r="AY36" i="1"/>
  <c r="AY35" i="1"/>
  <c r="AY34" i="1"/>
  <c r="AY33" i="1"/>
  <c r="AY32" i="1"/>
  <c r="AY31" i="1"/>
  <c r="AY30" i="1"/>
  <c r="AY29" i="1"/>
  <c r="AY28" i="1"/>
  <c r="AY27" i="1"/>
  <c r="AY26" i="1"/>
  <c r="AY25" i="1"/>
  <c r="AY24" i="1"/>
  <c r="AY23" i="1"/>
  <c r="AY22" i="1"/>
  <c r="AY21" i="1"/>
  <c r="AY20" i="1"/>
  <c r="AY19" i="1"/>
  <c r="AY18" i="1"/>
  <c r="AY17" i="1"/>
  <c r="AY16" i="1"/>
  <c r="AY15" i="1"/>
  <c r="AY14" i="1"/>
  <c r="AY13" i="1"/>
  <c r="AY12" i="1"/>
  <c r="AY11" i="1"/>
  <c r="AY10" i="1"/>
  <c r="AY9" i="1"/>
  <c r="AY8" i="1"/>
  <c r="AY7" i="1"/>
  <c r="AY6" i="1"/>
  <c r="AY5" i="1"/>
  <c r="AY4" i="1"/>
  <c r="AV54" i="1"/>
  <c r="AV53" i="1"/>
  <c r="AV52" i="1"/>
  <c r="AV51" i="1"/>
  <c r="AV50" i="1"/>
  <c r="AV49" i="1"/>
  <c r="AV48" i="1"/>
  <c r="AV47" i="1"/>
  <c r="AV46" i="1"/>
  <c r="AV45" i="1"/>
  <c r="AV44" i="1"/>
  <c r="AV43" i="1"/>
  <c r="AV42" i="1"/>
  <c r="AV41" i="1"/>
  <c r="AV40" i="1"/>
  <c r="AV39" i="1"/>
  <c r="AV38" i="1"/>
  <c r="AV37" i="1"/>
  <c r="AV36" i="1"/>
  <c r="AV35" i="1"/>
  <c r="AV34" i="1"/>
  <c r="AV33" i="1"/>
  <c r="AV32" i="1"/>
  <c r="AV31" i="1"/>
  <c r="AV30" i="1"/>
  <c r="AV29" i="1"/>
  <c r="AV28" i="1"/>
  <c r="AV27" i="1"/>
  <c r="AV26" i="1"/>
  <c r="AV25" i="1"/>
  <c r="AV24" i="1"/>
  <c r="AV23" i="1"/>
  <c r="AV22" i="1"/>
  <c r="AV21" i="1"/>
  <c r="AV20" i="1"/>
  <c r="AV19" i="1"/>
  <c r="AV18" i="1"/>
  <c r="AV17" i="1"/>
  <c r="AV16" i="1"/>
  <c r="AV15" i="1"/>
  <c r="AV14" i="1"/>
  <c r="AV13" i="1"/>
  <c r="AV12" i="1"/>
  <c r="AV11" i="1"/>
  <c r="AV10" i="1"/>
  <c r="AV9" i="1"/>
  <c r="AV8" i="1"/>
  <c r="AV7" i="1"/>
  <c r="AV6" i="1"/>
  <c r="AV5" i="1"/>
  <c r="AV4" i="1"/>
  <c r="AS54" i="1"/>
  <c r="AS53" i="1"/>
  <c r="AS52" i="1"/>
  <c r="AS51" i="1"/>
  <c r="AS50" i="1"/>
  <c r="AS49" i="1"/>
  <c r="AS48" i="1"/>
  <c r="AS47" i="1"/>
  <c r="AS46" i="1"/>
  <c r="AS45" i="1"/>
  <c r="AS44" i="1"/>
  <c r="AS43" i="1"/>
  <c r="AS42" i="1"/>
  <c r="AS41" i="1"/>
  <c r="AS40" i="1"/>
  <c r="AS39" i="1"/>
  <c r="AS38" i="1"/>
  <c r="AS37" i="1"/>
  <c r="AS36" i="1"/>
  <c r="AS35" i="1"/>
  <c r="AS34" i="1"/>
  <c r="AS33" i="1"/>
  <c r="AS32" i="1"/>
  <c r="AS31" i="1"/>
  <c r="AS30" i="1"/>
  <c r="AS29" i="1"/>
  <c r="AS28" i="1"/>
  <c r="AS27" i="1"/>
  <c r="AS26" i="1"/>
  <c r="AS25" i="1"/>
  <c r="AS24" i="1"/>
  <c r="AS23" i="1"/>
  <c r="AS22" i="1"/>
  <c r="AS21" i="1"/>
  <c r="AS20" i="1"/>
  <c r="AS19" i="1"/>
  <c r="AS18" i="1"/>
  <c r="AS17" i="1"/>
  <c r="AS16" i="1"/>
  <c r="AS15" i="1"/>
  <c r="AS14" i="1"/>
  <c r="AS13" i="1"/>
  <c r="AS12" i="1"/>
  <c r="AS11" i="1"/>
  <c r="AS10" i="1"/>
  <c r="AS9" i="1"/>
  <c r="AS8" i="1"/>
  <c r="AS7" i="1"/>
  <c r="AS6" i="1"/>
  <c r="AS5" i="1"/>
  <c r="AS4" i="1"/>
  <c r="AP54" i="1"/>
  <c r="AP53" i="1"/>
  <c r="AP52" i="1"/>
  <c r="AP51" i="1"/>
  <c r="AP50" i="1"/>
  <c r="AP49" i="1"/>
  <c r="AP48" i="1"/>
  <c r="AP47" i="1"/>
  <c r="AP46" i="1"/>
  <c r="AP45" i="1"/>
  <c r="AP44" i="1"/>
  <c r="AP43" i="1"/>
  <c r="AP42" i="1"/>
  <c r="AP41" i="1"/>
  <c r="AP39" i="1"/>
  <c r="AP38" i="1"/>
  <c r="AP37" i="1"/>
  <c r="AP36" i="1"/>
  <c r="AP35" i="1"/>
  <c r="AP34" i="1"/>
  <c r="AP33" i="1"/>
  <c r="AP32" i="1"/>
  <c r="AP30" i="1"/>
  <c r="AP29" i="1"/>
  <c r="AP28" i="1"/>
  <c r="AP27" i="1"/>
  <c r="AP26" i="1"/>
  <c r="AP25" i="1"/>
  <c r="AP24" i="1"/>
  <c r="AP23" i="1"/>
  <c r="AP22" i="1"/>
  <c r="AP21" i="1"/>
  <c r="AP20" i="1"/>
  <c r="AP19" i="1"/>
  <c r="AP18" i="1"/>
  <c r="AP17" i="1"/>
  <c r="AP16" i="1"/>
  <c r="AP15" i="1"/>
  <c r="AP14" i="1"/>
  <c r="AP13" i="1"/>
  <c r="AP12" i="1"/>
  <c r="AP11" i="1"/>
  <c r="AP10" i="1"/>
  <c r="AP9" i="1"/>
  <c r="AP8" i="1"/>
  <c r="AP7" i="1"/>
  <c r="AP6" i="1"/>
  <c r="AP5" i="1"/>
  <c r="AP4" i="1"/>
  <c r="AM54" i="1"/>
  <c r="AM50" i="1"/>
  <c r="AM49" i="1"/>
  <c r="AM48" i="1"/>
  <c r="AM47" i="1"/>
  <c r="AM46" i="1"/>
  <c r="AM45" i="1"/>
  <c r="AM44" i="1"/>
  <c r="AM43" i="1"/>
  <c r="AM42" i="1"/>
  <c r="AM41" i="1"/>
  <c r="AM40" i="1"/>
  <c r="AM39" i="1"/>
  <c r="AM38" i="1"/>
  <c r="AM37" i="1"/>
  <c r="AM36" i="1"/>
  <c r="AM35" i="1"/>
  <c r="AM34" i="1"/>
  <c r="AM33" i="1"/>
  <c r="AM32" i="1"/>
  <c r="AM30" i="1"/>
  <c r="AM29" i="1"/>
  <c r="AM28" i="1"/>
  <c r="AM27" i="1"/>
  <c r="AM26" i="1"/>
  <c r="AM25" i="1"/>
  <c r="AM24" i="1"/>
  <c r="AM23" i="1"/>
  <c r="AM22" i="1"/>
  <c r="AM21" i="1"/>
  <c r="AM20" i="1"/>
  <c r="AM19" i="1"/>
  <c r="AM18" i="1"/>
  <c r="AM17" i="1"/>
  <c r="AM16" i="1"/>
  <c r="AM15" i="1"/>
  <c r="AM14" i="1"/>
  <c r="AM13" i="1"/>
  <c r="AM12" i="1"/>
  <c r="AM11" i="1"/>
  <c r="AM10" i="1"/>
  <c r="AM9" i="1"/>
  <c r="AM8" i="1"/>
  <c r="AM7" i="1"/>
  <c r="AM6" i="1"/>
  <c r="AM5" i="1"/>
  <c r="AM4" i="1"/>
  <c r="AJ54" i="1"/>
  <c r="AJ53" i="1"/>
  <c r="AJ50" i="1"/>
  <c r="AJ49" i="1"/>
  <c r="AJ48" i="1"/>
  <c r="AJ47" i="1"/>
  <c r="AJ46" i="1"/>
  <c r="AJ45" i="1"/>
  <c r="AJ44" i="1"/>
  <c r="AJ43" i="1"/>
  <c r="AJ42" i="1"/>
  <c r="AJ41" i="1"/>
  <c r="AJ40" i="1"/>
  <c r="AJ39" i="1"/>
  <c r="AJ38" i="1"/>
  <c r="AJ37" i="1"/>
  <c r="AJ36" i="1"/>
  <c r="AJ35" i="1"/>
  <c r="AJ34" i="1"/>
  <c r="AJ33" i="1"/>
  <c r="AJ32" i="1"/>
  <c r="AJ30" i="1"/>
  <c r="AJ29" i="1"/>
  <c r="AJ28" i="1"/>
  <c r="AJ27" i="1"/>
  <c r="AJ26" i="1"/>
  <c r="AJ25" i="1"/>
  <c r="AJ24" i="1"/>
  <c r="AJ23" i="1"/>
  <c r="AJ22" i="1"/>
  <c r="AJ21" i="1"/>
  <c r="AJ20" i="1"/>
  <c r="AJ19" i="1"/>
  <c r="AJ18" i="1"/>
  <c r="AJ17" i="1"/>
  <c r="AJ16" i="1"/>
  <c r="AJ15" i="1"/>
  <c r="AJ14" i="1"/>
  <c r="AJ13" i="1"/>
  <c r="AJ12" i="1"/>
  <c r="AJ11" i="1"/>
  <c r="AJ10" i="1"/>
  <c r="AJ9" i="1"/>
  <c r="AJ8" i="1"/>
  <c r="AJ7" i="1"/>
  <c r="AJ6" i="1"/>
  <c r="AJ5" i="1"/>
  <c r="AJ4" i="1"/>
  <c r="AG53" i="1"/>
  <c r="AG43" i="1"/>
  <c r="AG41" i="1"/>
  <c r="AG35" i="1"/>
  <c r="AG32" i="1"/>
  <c r="AG30" i="1"/>
  <c r="AG25" i="1"/>
  <c r="AG22" i="1"/>
  <c r="AG18" i="1"/>
  <c r="AG13" i="1"/>
  <c r="AG12" i="1"/>
  <c r="AG9" i="1"/>
  <c r="AG5" i="1"/>
  <c r="AD50" i="1"/>
  <c r="AD43" i="1"/>
  <c r="AD41" i="1"/>
  <c r="AD37" i="1"/>
  <c r="AD36" i="1"/>
  <c r="AD32" i="1"/>
  <c r="AD25" i="1"/>
  <c r="AD22" i="1"/>
  <c r="AD18" i="1"/>
  <c r="AD12" i="1"/>
  <c r="AD10" i="1"/>
  <c r="AD9" i="1"/>
  <c r="AD8" i="1"/>
  <c r="AD7" i="1"/>
  <c r="AD5" i="1"/>
  <c r="AA41" i="1"/>
  <c r="AA18" i="1"/>
  <c r="AA9" i="1"/>
  <c r="AA8" i="1"/>
  <c r="V50" i="1"/>
  <c r="V41" i="1"/>
  <c r="V38" i="1"/>
  <c r="V32" i="1"/>
  <c r="V24" i="1"/>
  <c r="V18" i="1"/>
  <c r="V8" i="1"/>
  <c r="V5" i="1"/>
  <c r="R47" i="1"/>
  <c r="R41" i="1"/>
  <c r="R38" i="1"/>
  <c r="R37" i="1"/>
  <c r="R36" i="1"/>
  <c r="R35" i="1"/>
  <c r="R32" i="1"/>
  <c r="R28" i="1"/>
  <c r="R25" i="1"/>
  <c r="R24" i="1"/>
  <c r="R22" i="1"/>
  <c r="R18" i="1"/>
  <c r="R15" i="1"/>
  <c r="R10" i="1"/>
  <c r="R9" i="1"/>
  <c r="R8" i="1"/>
  <c r="R7" i="1"/>
  <c r="N15" i="1"/>
  <c r="N18" i="1"/>
  <c r="N24" i="1"/>
  <c r="N25" i="1"/>
  <c r="N28" i="1"/>
  <c r="N32" i="1"/>
  <c r="N33" i="1"/>
  <c r="N35" i="1"/>
  <c r="N36" i="1"/>
  <c r="N37" i="1"/>
  <c r="N41" i="1"/>
  <c r="N47" i="1"/>
  <c r="N7" i="1"/>
  <c r="N8" i="1"/>
  <c r="N9" i="1"/>
  <c r="N10" i="1"/>
  <c r="N12" i="1"/>
  <c r="D73" i="1" l="1"/>
  <c r="C19" i="1" s="1"/>
  <c r="D74" i="1"/>
  <c r="C23" i="1" s="1"/>
  <c r="C35" i="20"/>
  <c r="C24" i="20"/>
  <c r="D58" i="20"/>
  <c r="C25" i="20" s="1"/>
  <c r="D49" i="20"/>
  <c r="I35" i="20" s="1"/>
  <c r="D50" i="20"/>
  <c r="D25" i="20" s="1"/>
  <c r="D64" i="1"/>
  <c r="D9" i="1" s="1"/>
  <c r="C54" i="1"/>
  <c r="D13" i="1"/>
  <c r="H4" i="20"/>
  <c r="H54" i="1"/>
  <c r="H53" i="1"/>
  <c r="H52" i="1"/>
  <c r="H51" i="1"/>
  <c r="H50" i="1"/>
  <c r="H49" i="1"/>
  <c r="H48" i="1"/>
  <c r="H46" i="1"/>
  <c r="H45" i="1"/>
  <c r="I45" i="1" s="1"/>
  <c r="H43" i="1"/>
  <c r="H42" i="1"/>
  <c r="H39" i="1"/>
  <c r="H40" i="1"/>
  <c r="H38" i="1"/>
  <c r="H34" i="1"/>
  <c r="H31" i="1"/>
  <c r="H30" i="1"/>
  <c r="H29" i="1"/>
  <c r="H27" i="1"/>
  <c r="H26" i="1"/>
  <c r="H25" i="1"/>
  <c r="H23" i="1"/>
  <c r="H21" i="1"/>
  <c r="H20" i="1"/>
  <c r="H19" i="1"/>
  <c r="H17" i="1"/>
  <c r="H16" i="1"/>
  <c r="H14" i="1"/>
  <c r="H13" i="1"/>
  <c r="H11" i="1"/>
  <c r="H6" i="1"/>
  <c r="H5" i="1"/>
  <c r="I5" i="1" s="1"/>
  <c r="H33" i="1"/>
  <c r="H4" i="1"/>
  <c r="C29" i="22"/>
  <c r="C28" i="22"/>
  <c r="C27" i="22"/>
  <c r="L36" i="20"/>
  <c r="L35" i="20"/>
  <c r="L34" i="20"/>
  <c r="L15" i="20"/>
  <c r="L31" i="20"/>
  <c r="L29" i="20"/>
  <c r="L25" i="20"/>
  <c r="L24" i="20"/>
  <c r="L23" i="20"/>
  <c r="L22" i="20"/>
  <c r="L21" i="20"/>
  <c r="L20" i="20"/>
  <c r="M20" i="20" s="1"/>
  <c r="L19" i="20"/>
  <c r="L18" i="20"/>
  <c r="L17" i="20"/>
  <c r="L14" i="20"/>
  <c r="L8" i="20"/>
  <c r="L6" i="20"/>
  <c r="M42" i="1"/>
  <c r="M40" i="1"/>
  <c r="M52" i="1"/>
  <c r="M51" i="1"/>
  <c r="M50" i="1"/>
  <c r="M49" i="1"/>
  <c r="M48" i="1"/>
  <c r="M46" i="1"/>
  <c r="M45" i="1"/>
  <c r="M44" i="1"/>
  <c r="M54" i="1"/>
  <c r="M43" i="1"/>
  <c r="N43" i="1" s="1"/>
  <c r="M39" i="1"/>
  <c r="M38" i="1"/>
  <c r="M34" i="1"/>
  <c r="M30" i="1"/>
  <c r="M31" i="1"/>
  <c r="M29" i="1"/>
  <c r="M27" i="1"/>
  <c r="M26" i="1"/>
  <c r="M23" i="1"/>
  <c r="N23" i="1" s="1"/>
  <c r="M22" i="1"/>
  <c r="M21" i="1"/>
  <c r="M20" i="1"/>
  <c r="M19" i="1"/>
  <c r="M17" i="1"/>
  <c r="M16" i="1"/>
  <c r="M14" i="1"/>
  <c r="M13" i="1"/>
  <c r="M11" i="1"/>
  <c r="M6" i="1"/>
  <c r="M5" i="1"/>
  <c r="N5" i="1" s="1"/>
  <c r="M4" i="1"/>
  <c r="O38" i="20"/>
  <c r="O36" i="20"/>
  <c r="O34" i="20"/>
  <c r="O33" i="20"/>
  <c r="O31" i="20"/>
  <c r="O29" i="20"/>
  <c r="O23" i="20"/>
  <c r="O24" i="20"/>
  <c r="O22" i="20"/>
  <c r="O21" i="20"/>
  <c r="O20" i="20"/>
  <c r="P20" i="20" s="1"/>
  <c r="O18" i="20"/>
  <c r="O17" i="20"/>
  <c r="O14" i="20"/>
  <c r="O7" i="20"/>
  <c r="O6" i="20"/>
  <c r="Q55" i="1"/>
  <c r="Q23" i="1"/>
  <c r="R23" i="1" s="1"/>
  <c r="Q33" i="1"/>
  <c r="Q21" i="1"/>
  <c r="Q20" i="1"/>
  <c r="Q31" i="1"/>
  <c r="Q30" i="1"/>
  <c r="Q29" i="1"/>
  <c r="Q27" i="1"/>
  <c r="Q26" i="1"/>
  <c r="Q40" i="1"/>
  <c r="Q39" i="1"/>
  <c r="Q34" i="1"/>
  <c r="Q54" i="1"/>
  <c r="Q53" i="1"/>
  <c r="Q52" i="1"/>
  <c r="Q51" i="1"/>
  <c r="Q50" i="1"/>
  <c r="Q49" i="1"/>
  <c r="Q46" i="1"/>
  <c r="Q45" i="1"/>
  <c r="Q44" i="1"/>
  <c r="Q43" i="1"/>
  <c r="Q42" i="1"/>
  <c r="Q19" i="1"/>
  <c r="Q17" i="1"/>
  <c r="Q16" i="1"/>
  <c r="Q14" i="1"/>
  <c r="Q13" i="1"/>
  <c r="Q12" i="1"/>
  <c r="Q11" i="1"/>
  <c r="Q6" i="1"/>
  <c r="Q5" i="1"/>
  <c r="P5" i="1"/>
  <c r="Q4" i="1"/>
  <c r="R36" i="20"/>
  <c r="R23" i="20"/>
  <c r="R22" i="20"/>
  <c r="S22" i="20" s="1"/>
  <c r="R20" i="20"/>
  <c r="R30" i="20"/>
  <c r="R34" i="20"/>
  <c r="R15" i="20"/>
  <c r="R7" i="20"/>
  <c r="U52" i="1"/>
  <c r="U49" i="1"/>
  <c r="U43" i="1"/>
  <c r="U40" i="1"/>
  <c r="U35" i="1"/>
  <c r="U37" i="1"/>
  <c r="U36" i="1"/>
  <c r="U34" i="1"/>
  <c r="U29" i="1"/>
  <c r="U27" i="1"/>
  <c r="U25" i="1"/>
  <c r="U17" i="1"/>
  <c r="U15" i="1"/>
  <c r="U11" i="1"/>
  <c r="U28" i="1"/>
  <c r="U6" i="1"/>
  <c r="F28" i="22"/>
  <c r="F27" i="22"/>
  <c r="D48" i="22"/>
  <c r="F35" i="22" s="1"/>
  <c r="U38" i="20"/>
  <c r="U36" i="20"/>
  <c r="U34" i="20"/>
  <c r="U29" i="20"/>
  <c r="U22" i="20"/>
  <c r="U18" i="20"/>
  <c r="U15" i="20"/>
  <c r="U10" i="20"/>
  <c r="U7" i="20"/>
  <c r="D54" i="20"/>
  <c r="Q36" i="20" s="1"/>
  <c r="AB53" i="1"/>
  <c r="Z49" i="1"/>
  <c r="Z44" i="1"/>
  <c r="Z40" i="1"/>
  <c r="Z36" i="1"/>
  <c r="Z35" i="1"/>
  <c r="Z33" i="1"/>
  <c r="Z29" i="1"/>
  <c r="Z28" i="1"/>
  <c r="Z27" i="1"/>
  <c r="Z25" i="1"/>
  <c r="Z24" i="1"/>
  <c r="Z17" i="1"/>
  <c r="Z13" i="1"/>
  <c r="Z11" i="1"/>
  <c r="D69" i="1"/>
  <c r="AA5" i="1"/>
  <c r="Z4" i="1"/>
  <c r="AC23" i="1"/>
  <c r="AD23" i="1" s="1"/>
  <c r="AB33" i="1"/>
  <c r="AD33" i="1" s="1"/>
  <c r="AC34" i="1"/>
  <c r="AB34" i="1"/>
  <c r="AB35" i="1"/>
  <c r="AD35" i="1" s="1"/>
  <c r="AC53" i="1"/>
  <c r="AD53" i="1" s="1"/>
  <c r="AB38" i="1"/>
  <c r="AD38" i="1" s="1"/>
  <c r="AC39" i="1"/>
  <c r="AC40" i="1"/>
  <c r="AB40" i="1"/>
  <c r="AB54" i="1"/>
  <c r="AC54" i="1"/>
  <c r="AD54" i="1" s="1"/>
  <c r="AC52" i="1"/>
  <c r="AB52" i="1"/>
  <c r="AC51" i="1"/>
  <c r="AB51" i="1"/>
  <c r="AB19" i="1"/>
  <c r="AD19" i="1" s="1"/>
  <c r="AB17" i="1"/>
  <c r="AD17" i="1" s="1"/>
  <c r="AC16" i="1"/>
  <c r="AB16" i="1"/>
  <c r="AC42" i="1"/>
  <c r="AB42" i="1"/>
  <c r="AB44" i="1"/>
  <c r="AD44" i="1" s="1"/>
  <c r="AB49" i="1"/>
  <c r="AC49" i="1"/>
  <c r="AB48" i="1"/>
  <c r="AD48" i="1" s="1"/>
  <c r="AB45" i="1"/>
  <c r="AD45" i="1" s="1"/>
  <c r="AC31" i="1"/>
  <c r="AB31" i="1"/>
  <c r="AB30" i="1"/>
  <c r="AD30" i="1" s="1"/>
  <c r="AB29" i="1"/>
  <c r="AD29" i="1" s="1"/>
  <c r="AB28" i="1"/>
  <c r="AD28" i="1" s="1"/>
  <c r="AB27" i="1"/>
  <c r="AD27" i="1" s="1"/>
  <c r="AB26" i="1"/>
  <c r="AC26" i="1"/>
  <c r="AC24" i="1"/>
  <c r="AB24" i="1"/>
  <c r="AB21" i="1"/>
  <c r="AD21" i="1" s="1"/>
  <c r="AC20" i="1"/>
  <c r="AB20" i="1"/>
  <c r="AD15" i="1"/>
  <c r="AC14" i="1"/>
  <c r="AD14" i="1" s="1"/>
  <c r="AB13" i="1"/>
  <c r="AD13" i="1" s="1"/>
  <c r="AB11" i="1"/>
  <c r="AD11" i="1" s="1"/>
  <c r="AC6" i="1"/>
  <c r="AB6" i="1"/>
  <c r="AC4" i="1"/>
  <c r="AB4" i="1"/>
  <c r="X22" i="20"/>
  <c r="Y22" i="20" s="1"/>
  <c r="X14" i="20"/>
  <c r="Y14" i="20" s="1"/>
  <c r="Y6" i="20"/>
  <c r="X4" i="20"/>
  <c r="Y4" i="20" s="1"/>
  <c r="AF55" i="1"/>
  <c r="AF54" i="1"/>
  <c r="AG54" i="1" s="1"/>
  <c r="AG52" i="1"/>
  <c r="AF51" i="1"/>
  <c r="AG50" i="1"/>
  <c r="AG49" i="1"/>
  <c r="AG48" i="1"/>
  <c r="AG47" i="1"/>
  <c r="AF46" i="1"/>
  <c r="AG45" i="1"/>
  <c r="AF44" i="1"/>
  <c r="AG44" i="1" s="1"/>
  <c r="AF42" i="1"/>
  <c r="AG42" i="1" s="1"/>
  <c r="AF40" i="1"/>
  <c r="AG40" i="1" s="1"/>
  <c r="AG38" i="1"/>
  <c r="AG39" i="1"/>
  <c r="AG37" i="1"/>
  <c r="AG36" i="1"/>
  <c r="AG34" i="1"/>
  <c r="AG33" i="1"/>
  <c r="AF31" i="1"/>
  <c r="AG31" i="1" s="1"/>
  <c r="AG29" i="1"/>
  <c r="AG28" i="1"/>
  <c r="AG27" i="1"/>
  <c r="AG26" i="1"/>
  <c r="AF24" i="1"/>
  <c r="AG24" i="1" s="1"/>
  <c r="AF23" i="1"/>
  <c r="AG21" i="1"/>
  <c r="AG20" i="1"/>
  <c r="AF19" i="1"/>
  <c r="AG17" i="1"/>
  <c r="AF16" i="1"/>
  <c r="AG10" i="1"/>
  <c r="AG8" i="1"/>
  <c r="AG7" i="1"/>
  <c r="AG15" i="1"/>
  <c r="AG14" i="1"/>
  <c r="AG11" i="1"/>
  <c r="AF6" i="1"/>
  <c r="AG4" i="1"/>
  <c r="AA22" i="20"/>
  <c r="AB22" i="20" s="1"/>
  <c r="AA21" i="20"/>
  <c r="AB21" i="20" s="1"/>
  <c r="AB6" i="20"/>
  <c r="AA4" i="20"/>
  <c r="AB4" i="20" s="1"/>
  <c r="AL53" i="1"/>
  <c r="AM53" i="1" s="1"/>
  <c r="AL52" i="1"/>
  <c r="AI52" i="1"/>
  <c r="AK52" i="1"/>
  <c r="AH52" i="1"/>
  <c r="AL51" i="1"/>
  <c r="AI51" i="1"/>
  <c r="AJ51" i="1" s="1"/>
  <c r="AK51" i="1"/>
  <c r="AH51" i="1"/>
  <c r="AL31" i="1"/>
  <c r="AI31" i="1"/>
  <c r="AJ31" i="1" s="1"/>
  <c r="AK31" i="1"/>
  <c r="AH31" i="1"/>
  <c r="AO40" i="1"/>
  <c r="AP40" i="1" s="1"/>
  <c r="AO31" i="1"/>
  <c r="AN31" i="1"/>
  <c r="AD4" i="1" l="1"/>
  <c r="AD26" i="1"/>
  <c r="AD34" i="1"/>
  <c r="Y49" i="1"/>
  <c r="Y46" i="1"/>
  <c r="Y43" i="1"/>
  <c r="AA43" i="1" s="1"/>
  <c r="Y39" i="1"/>
  <c r="Y38" i="1"/>
  <c r="Y30" i="1"/>
  <c r="Y26" i="1"/>
  <c r="Y22" i="1"/>
  <c r="AA22" i="1" s="1"/>
  <c r="Y20" i="1"/>
  <c r="Y16" i="1"/>
  <c r="Y14" i="1"/>
  <c r="Y12" i="1"/>
  <c r="AA12" i="1" s="1"/>
  <c r="Y53" i="1"/>
  <c r="Y51" i="1"/>
  <c r="T10" i="1"/>
  <c r="V10" i="1" s="1"/>
  <c r="Y10" i="1"/>
  <c r="AA10" i="1" s="1"/>
  <c r="Y48" i="1"/>
  <c r="Y45" i="1"/>
  <c r="Y42" i="1"/>
  <c r="Y37" i="1"/>
  <c r="AA37" i="1" s="1"/>
  <c r="Y34" i="1"/>
  <c r="Y31" i="1"/>
  <c r="Y23" i="1"/>
  <c r="AA23" i="1" s="1"/>
  <c r="Y21" i="1"/>
  <c r="AA21" i="1" s="1"/>
  <c r="Y19" i="1"/>
  <c r="Y15" i="1"/>
  <c r="Y7" i="1"/>
  <c r="AA7" i="1" s="1"/>
  <c r="Y54" i="1"/>
  <c r="AA54" i="1" s="1"/>
  <c r="Y52" i="1"/>
  <c r="Y50" i="1"/>
  <c r="T31" i="1"/>
  <c r="T21" i="1"/>
  <c r="V21" i="1" s="1"/>
  <c r="T19" i="1"/>
  <c r="T14" i="1"/>
  <c r="T13" i="1"/>
  <c r="T4" i="1"/>
  <c r="T53" i="1"/>
  <c r="T45" i="1"/>
  <c r="T33" i="1"/>
  <c r="V33" i="1" s="1"/>
  <c r="T23" i="1"/>
  <c r="V23" i="1" s="1"/>
  <c r="T20" i="1"/>
  <c r="T7" i="1"/>
  <c r="V7" i="1" s="1"/>
  <c r="L53" i="1"/>
  <c r="T54" i="1"/>
  <c r="V54" i="1" s="1"/>
  <c r="T51" i="1"/>
  <c r="T46" i="1"/>
  <c r="T44" i="1"/>
  <c r="T39" i="1"/>
  <c r="T30" i="1"/>
  <c r="T26" i="1"/>
  <c r="G44" i="1"/>
  <c r="L48" i="1"/>
  <c r="N48" i="1" s="1"/>
  <c r="T48" i="1"/>
  <c r="T42" i="1"/>
  <c r="T16" i="1"/>
  <c r="V16" i="1" s="1"/>
  <c r="T12" i="1"/>
  <c r="V12" i="1" s="1"/>
  <c r="P48" i="1"/>
  <c r="AD6" i="1"/>
  <c r="C8" i="22"/>
  <c r="C13" i="22"/>
  <c r="C17" i="22"/>
  <c r="C21" i="22"/>
  <c r="C34" i="22"/>
  <c r="F19" i="22"/>
  <c r="C5" i="22"/>
  <c r="C9" i="22"/>
  <c r="C14" i="22"/>
  <c r="C18" i="22"/>
  <c r="C22" i="22"/>
  <c r="C35" i="22"/>
  <c r="C6" i="22"/>
  <c r="C10" i="22"/>
  <c r="C15" i="22"/>
  <c r="C19" i="22"/>
  <c r="C32" i="22"/>
  <c r="C7" i="22"/>
  <c r="C12" i="22"/>
  <c r="C16" i="22"/>
  <c r="C20" i="22"/>
  <c r="C33" i="22"/>
  <c r="D16" i="1"/>
  <c r="AJ52" i="1"/>
  <c r="AG6" i="1"/>
  <c r="AM31" i="1"/>
  <c r="AM52" i="1"/>
  <c r="AG16" i="1"/>
  <c r="G27" i="1"/>
  <c r="I27" i="1" s="1"/>
  <c r="G6" i="1"/>
  <c r="I6" i="1" s="1"/>
  <c r="C13" i="1"/>
  <c r="E13" i="1" s="1"/>
  <c r="C26" i="1"/>
  <c r="C21" i="1"/>
  <c r="AP31" i="1"/>
  <c r="AM51" i="1"/>
  <c r="AG46" i="1"/>
  <c r="AD16" i="1"/>
  <c r="AD51" i="1"/>
  <c r="AD39" i="1"/>
  <c r="N20" i="1"/>
  <c r="C16" i="1"/>
  <c r="C30" i="1"/>
  <c r="AG19" i="1"/>
  <c r="AG23" i="1"/>
  <c r="AG51" i="1"/>
  <c r="AD20" i="1"/>
  <c r="AD24" i="1"/>
  <c r="AD31" i="1"/>
  <c r="AD49" i="1"/>
  <c r="AD42" i="1"/>
  <c r="AD52" i="1"/>
  <c r="AD40" i="1"/>
  <c r="AA29" i="1"/>
  <c r="AA48" i="1"/>
  <c r="R5" i="1"/>
  <c r="C9" i="1"/>
  <c r="E9" i="1" s="1"/>
  <c r="V4" i="20"/>
  <c r="D14" i="20"/>
  <c r="S4" i="20"/>
  <c r="I18" i="20"/>
  <c r="I24" i="20"/>
  <c r="E14" i="20"/>
  <c r="I33" i="20"/>
  <c r="S36" i="20"/>
  <c r="I14" i="20"/>
  <c r="I28" i="20"/>
  <c r="E25" i="20"/>
  <c r="C34" i="20"/>
  <c r="M17" i="20"/>
  <c r="I20" i="20"/>
  <c r="J20" i="20" s="1"/>
  <c r="M36" i="20"/>
  <c r="I4" i="20"/>
  <c r="J4" i="20" s="1"/>
  <c r="I22" i="20"/>
  <c r="I36" i="20"/>
  <c r="D24" i="20"/>
  <c r="E24" i="20" s="1"/>
  <c r="D21" i="1"/>
  <c r="E21" i="1" s="1"/>
  <c r="D51" i="1"/>
  <c r="E51" i="1" s="1"/>
  <c r="D19" i="1"/>
  <c r="E19" i="1" s="1"/>
  <c r="D26" i="1"/>
  <c r="D30" i="1"/>
  <c r="D54" i="1"/>
  <c r="E54" i="1" s="1"/>
  <c r="D23" i="1"/>
  <c r="E23" i="1" s="1"/>
  <c r="H35" i="20"/>
  <c r="J35" i="20" s="1"/>
  <c r="D34" i="20"/>
  <c r="E34" i="20" s="1"/>
  <c r="K22" i="20"/>
  <c r="M22" i="20" s="1"/>
  <c r="D35" i="20"/>
  <c r="E35" i="20" s="1"/>
  <c r="I17" i="20"/>
  <c r="J17" i="20" s="1"/>
  <c r="I21" i="20"/>
  <c r="I29" i="20"/>
  <c r="I31" i="20"/>
  <c r="I25" i="20"/>
  <c r="J25" i="20" s="1"/>
  <c r="I6" i="20"/>
  <c r="I19" i="20"/>
  <c r="I23" i="20"/>
  <c r="I34" i="20"/>
  <c r="J34" i="20" s="1"/>
  <c r="H33" i="20"/>
  <c r="H22" i="20"/>
  <c r="K35" i="20"/>
  <c r="M35" i="20" s="1"/>
  <c r="H24" i="20"/>
  <c r="J24" i="20" s="1"/>
  <c r="H28" i="20"/>
  <c r="H25" i="20"/>
  <c r="K15" i="20"/>
  <c r="M15" i="20" s="1"/>
  <c r="H14" i="20"/>
  <c r="H18" i="20"/>
  <c r="J18" i="20" s="1"/>
  <c r="K29" i="20"/>
  <c r="M29" i="20" s="1"/>
  <c r="H21" i="20"/>
  <c r="H23" i="20"/>
  <c r="H29" i="20"/>
  <c r="H34" i="20"/>
  <c r="H31" i="20"/>
  <c r="H36" i="20"/>
  <c r="K24" i="20"/>
  <c r="M24" i="20" s="1"/>
  <c r="H17" i="20"/>
  <c r="H19" i="20"/>
  <c r="G52" i="1"/>
  <c r="I52" i="1" s="1"/>
  <c r="G50" i="1"/>
  <c r="I50" i="1" s="1"/>
  <c r="G48" i="1"/>
  <c r="I48" i="1" s="1"/>
  <c r="G40" i="1"/>
  <c r="I40" i="1" s="1"/>
  <c r="G20" i="1"/>
  <c r="I20" i="1" s="1"/>
  <c r="G17" i="1"/>
  <c r="I17" i="1" s="1"/>
  <c r="G14" i="1"/>
  <c r="I14" i="1" s="1"/>
  <c r="G11" i="1"/>
  <c r="I11" i="1" s="1"/>
  <c r="L42" i="1"/>
  <c r="N42" i="1" s="1"/>
  <c r="N53" i="1"/>
  <c r="L51" i="1"/>
  <c r="N51" i="1" s="1"/>
  <c r="L49" i="1"/>
  <c r="N49" i="1" s="1"/>
  <c r="L46" i="1"/>
  <c r="N46" i="1" s="1"/>
  <c r="L44" i="1"/>
  <c r="N44" i="1" s="1"/>
  <c r="L30" i="1"/>
  <c r="N30" i="1" s="1"/>
  <c r="L29" i="1"/>
  <c r="N29" i="1" s="1"/>
  <c r="L21" i="1"/>
  <c r="N21" i="1" s="1"/>
  <c r="L19" i="1"/>
  <c r="N19" i="1" s="1"/>
  <c r="L16" i="1"/>
  <c r="N16" i="1" s="1"/>
  <c r="L13" i="1"/>
  <c r="N13" i="1" s="1"/>
  <c r="L6" i="1"/>
  <c r="N6" i="1" s="1"/>
  <c r="P21" i="1"/>
  <c r="R21" i="1" s="1"/>
  <c r="P31" i="1"/>
  <c r="R31" i="1" s="1"/>
  <c r="P29" i="1"/>
  <c r="R29" i="1" s="1"/>
  <c r="P26" i="1"/>
  <c r="R26" i="1" s="1"/>
  <c r="P39" i="1"/>
  <c r="R39" i="1" s="1"/>
  <c r="P54" i="1"/>
  <c r="R54" i="1" s="1"/>
  <c r="P52" i="1"/>
  <c r="R52" i="1" s="1"/>
  <c r="P50" i="1"/>
  <c r="R50" i="1" s="1"/>
  <c r="R48" i="1"/>
  <c r="P45" i="1"/>
  <c r="R45" i="1" s="1"/>
  <c r="P43" i="1"/>
  <c r="R43" i="1" s="1"/>
  <c r="P19" i="1"/>
  <c r="R19" i="1" s="1"/>
  <c r="P16" i="1"/>
  <c r="R16" i="1" s="1"/>
  <c r="P13" i="1"/>
  <c r="R13" i="1" s="1"/>
  <c r="P11" i="1"/>
  <c r="R11" i="1" s="1"/>
  <c r="G42" i="1"/>
  <c r="I42" i="1" s="1"/>
  <c r="G31" i="1"/>
  <c r="I31" i="1" s="1"/>
  <c r="G29" i="1"/>
  <c r="I29" i="1" s="1"/>
  <c r="G26" i="1"/>
  <c r="I26" i="1" s="1"/>
  <c r="G53" i="1"/>
  <c r="I53" i="1" s="1"/>
  <c r="G51" i="1"/>
  <c r="I51" i="1" s="1"/>
  <c r="G49" i="1"/>
  <c r="I49" i="1" s="1"/>
  <c r="G46" i="1"/>
  <c r="I46" i="1" s="1"/>
  <c r="I44" i="1"/>
  <c r="G38" i="1"/>
  <c r="I38" i="1" s="1"/>
  <c r="G21" i="1"/>
  <c r="I21" i="1" s="1"/>
  <c r="G19" i="1"/>
  <c r="I19" i="1" s="1"/>
  <c r="G16" i="1"/>
  <c r="I16" i="1" s="1"/>
  <c r="G13" i="1"/>
  <c r="I13" i="1" s="1"/>
  <c r="G4" i="1"/>
  <c r="I4" i="1" s="1"/>
  <c r="L40" i="1"/>
  <c r="N40" i="1" s="1"/>
  <c r="L52" i="1"/>
  <c r="N52" i="1" s="1"/>
  <c r="L50" i="1"/>
  <c r="N50" i="1" s="1"/>
  <c r="L45" i="1"/>
  <c r="N45" i="1" s="1"/>
  <c r="L54" i="1"/>
  <c r="N54" i="1" s="1"/>
  <c r="L38" i="1"/>
  <c r="N38" i="1" s="1"/>
  <c r="L22" i="1"/>
  <c r="N22" i="1" s="1"/>
  <c r="L20" i="1"/>
  <c r="L17" i="1"/>
  <c r="N17" i="1" s="1"/>
  <c r="L14" i="1"/>
  <c r="N14" i="1" s="1"/>
  <c r="L11" i="1"/>
  <c r="N11" i="1" s="1"/>
  <c r="P33" i="1"/>
  <c r="R33" i="1" s="1"/>
  <c r="P20" i="1"/>
  <c r="R20" i="1" s="1"/>
  <c r="P30" i="1"/>
  <c r="R30" i="1" s="1"/>
  <c r="P27" i="1"/>
  <c r="R27" i="1" s="1"/>
  <c r="P40" i="1"/>
  <c r="R40" i="1" s="1"/>
  <c r="P34" i="1"/>
  <c r="R34" i="1" s="1"/>
  <c r="P53" i="1"/>
  <c r="R53" i="1" s="1"/>
  <c r="P51" i="1"/>
  <c r="R51" i="1" s="1"/>
  <c r="P49" i="1"/>
  <c r="R49" i="1" s="1"/>
  <c r="P46" i="1"/>
  <c r="R46" i="1" s="1"/>
  <c r="P44" i="1"/>
  <c r="R44" i="1" s="1"/>
  <c r="P42" i="1"/>
  <c r="R42" i="1" s="1"/>
  <c r="P17" i="1"/>
  <c r="R17" i="1" s="1"/>
  <c r="P14" i="1"/>
  <c r="R14" i="1" s="1"/>
  <c r="P12" i="1"/>
  <c r="R12" i="1" s="1"/>
  <c r="P6" i="1"/>
  <c r="R6" i="1" s="1"/>
  <c r="P4" i="1"/>
  <c r="R4" i="1" s="1"/>
  <c r="G30" i="1"/>
  <c r="I30" i="1" s="1"/>
  <c r="G25" i="1"/>
  <c r="I25" i="1" s="1"/>
  <c r="L26" i="1"/>
  <c r="N26" i="1" s="1"/>
  <c r="L4" i="1"/>
  <c r="N4" i="1" s="1"/>
  <c r="N18" i="20"/>
  <c r="P18" i="20" s="1"/>
  <c r="N21" i="20"/>
  <c r="P21" i="20" s="1"/>
  <c r="N24" i="20"/>
  <c r="P24" i="20" s="1"/>
  <c r="N25" i="20"/>
  <c r="P25" i="20" s="1"/>
  <c r="N31" i="20"/>
  <c r="P31" i="20" s="1"/>
  <c r="N34" i="20"/>
  <c r="P34" i="20" s="1"/>
  <c r="N36" i="20"/>
  <c r="P36" i="20" s="1"/>
  <c r="K6" i="20"/>
  <c r="M6" i="20" s="1"/>
  <c r="K14" i="20"/>
  <c r="M14" i="20" s="1"/>
  <c r="K18" i="20"/>
  <c r="M18" i="20" s="1"/>
  <c r="N14" i="20"/>
  <c r="P14" i="20" s="1"/>
  <c r="K21" i="20"/>
  <c r="M21" i="20" s="1"/>
  <c r="K23" i="20"/>
  <c r="M23" i="20" s="1"/>
  <c r="K25" i="20"/>
  <c r="M25" i="20" s="1"/>
  <c r="K31" i="20"/>
  <c r="M31" i="20" s="1"/>
  <c r="K36" i="20"/>
  <c r="N6" i="20"/>
  <c r="P6" i="20" s="1"/>
  <c r="N22" i="20"/>
  <c r="P22" i="20" s="1"/>
  <c r="N23" i="20"/>
  <c r="P23" i="20" s="1"/>
  <c r="N29" i="20"/>
  <c r="P29" i="20" s="1"/>
  <c r="N33" i="20"/>
  <c r="P33" i="20" s="1"/>
  <c r="N35" i="20"/>
  <c r="P35" i="20" s="1"/>
  <c r="K8" i="20"/>
  <c r="M8" i="20" s="1"/>
  <c r="K17" i="20"/>
  <c r="K19" i="20"/>
  <c r="M19" i="20" s="1"/>
  <c r="K34" i="20"/>
  <c r="M34" i="20" s="1"/>
  <c r="L27" i="1"/>
  <c r="N27" i="1" s="1"/>
  <c r="L31" i="1"/>
  <c r="N31" i="1" s="1"/>
  <c r="L34" i="1"/>
  <c r="N34" i="1" s="1"/>
  <c r="L39" i="1"/>
  <c r="N39" i="1" s="1"/>
  <c r="N7" i="20"/>
  <c r="P7" i="20" s="1"/>
  <c r="N17" i="20"/>
  <c r="P17" i="20" s="1"/>
  <c r="N19" i="20"/>
  <c r="P19" i="20" s="1"/>
  <c r="S6" i="20"/>
  <c r="S9" i="20"/>
  <c r="Q15" i="20"/>
  <c r="S15" i="20" s="1"/>
  <c r="S37" i="20"/>
  <c r="S18" i="20"/>
  <c r="Q20" i="20"/>
  <c r="S20" i="20" s="1"/>
  <c r="T7" i="20"/>
  <c r="V7" i="20" s="1"/>
  <c r="V9" i="20"/>
  <c r="V14" i="20"/>
  <c r="V17" i="20"/>
  <c r="V19" i="20"/>
  <c r="V21" i="20"/>
  <c r="V23" i="20"/>
  <c r="V25" i="20"/>
  <c r="T29" i="20"/>
  <c r="V29" i="20" s="1"/>
  <c r="V31" i="20"/>
  <c r="V34" i="20"/>
  <c r="T36" i="20"/>
  <c r="V36" i="20" s="1"/>
  <c r="S30" i="20"/>
  <c r="Q23" i="20"/>
  <c r="S23" i="20" s="1"/>
  <c r="S25" i="20"/>
  <c r="S31" i="20"/>
  <c r="S35" i="20"/>
  <c r="Q7" i="20"/>
  <c r="S7" i="20" s="1"/>
  <c r="S14" i="20"/>
  <c r="Q34" i="20"/>
  <c r="S34" i="20" s="1"/>
  <c r="S29" i="20"/>
  <c r="S17" i="20"/>
  <c r="S19" i="20"/>
  <c r="S21" i="20"/>
  <c r="V6" i="20"/>
  <c r="T10" i="20"/>
  <c r="V10" i="20" s="1"/>
  <c r="T15" i="20"/>
  <c r="V15" i="20" s="1"/>
  <c r="T18" i="20"/>
  <c r="V18" i="20" s="1"/>
  <c r="V20" i="20"/>
  <c r="T22" i="20"/>
  <c r="V22" i="20" s="1"/>
  <c r="V24" i="20"/>
  <c r="V28" i="20"/>
  <c r="V30" i="20"/>
  <c r="V33" i="20"/>
  <c r="V35" i="20"/>
  <c r="V37" i="20"/>
  <c r="S24" i="20"/>
  <c r="S28" i="20"/>
  <c r="S33" i="20"/>
  <c r="Y13" i="1"/>
  <c r="AA13" i="1" s="1"/>
  <c r="Y29" i="1"/>
  <c r="AA39" i="1"/>
  <c r="V26" i="1"/>
  <c r="V31" i="1"/>
  <c r="T34" i="1"/>
  <c r="V34" i="1" s="1"/>
  <c r="T37" i="1"/>
  <c r="V37" i="1" s="1"/>
  <c r="V42" i="1"/>
  <c r="V44" i="1"/>
  <c r="V46" i="1"/>
  <c r="V48" i="1"/>
  <c r="V51" i="1"/>
  <c r="Y11" i="1"/>
  <c r="AA11" i="1" s="1"/>
  <c r="AA19" i="1"/>
  <c r="Y27" i="1"/>
  <c r="AA27" i="1" s="1"/>
  <c r="Y36" i="1"/>
  <c r="AA36" i="1" s="1"/>
  <c r="AA46" i="1"/>
  <c r="V4" i="1"/>
  <c r="V13" i="1"/>
  <c r="T15" i="1"/>
  <c r="V15" i="1" s="1"/>
  <c r="T17" i="1"/>
  <c r="V17" i="1" s="1"/>
  <c r="V20" i="1"/>
  <c r="T29" i="1"/>
  <c r="V29" i="1" s="1"/>
  <c r="V39" i="1"/>
  <c r="V53" i="1"/>
  <c r="AA16" i="1"/>
  <c r="Y25" i="1"/>
  <c r="AA25" i="1" s="1"/>
  <c r="AA34" i="1"/>
  <c r="Y44" i="1"/>
  <c r="AA44" i="1" s="1"/>
  <c r="AA52" i="1"/>
  <c r="T25" i="1"/>
  <c r="V25" i="1" s="1"/>
  <c r="T27" i="1"/>
  <c r="V27" i="1" s="1"/>
  <c r="V30" i="1"/>
  <c r="T36" i="1"/>
  <c r="V36" i="1" s="1"/>
  <c r="T35" i="1"/>
  <c r="V35" i="1" s="1"/>
  <c r="T40" i="1"/>
  <c r="V40" i="1" s="1"/>
  <c r="T43" i="1"/>
  <c r="V43" i="1" s="1"/>
  <c r="V45" i="1"/>
  <c r="V47" i="1"/>
  <c r="T49" i="1"/>
  <c r="V49" i="1" s="1"/>
  <c r="T52" i="1"/>
  <c r="V52" i="1" s="1"/>
  <c r="AA14" i="1"/>
  <c r="AA31" i="1"/>
  <c r="AA42" i="1"/>
  <c r="AA50" i="1"/>
  <c r="T6" i="1"/>
  <c r="V6" i="1" s="1"/>
  <c r="T28" i="1"/>
  <c r="V28" i="1" s="1"/>
  <c r="T11" i="1"/>
  <c r="V11" i="1" s="1"/>
  <c r="V14" i="1"/>
  <c r="V19" i="1"/>
  <c r="Y4" i="1"/>
  <c r="AA4" i="1" s="1"/>
  <c r="AA15" i="1"/>
  <c r="Y17" i="1"/>
  <c r="AA17" i="1" s="1"/>
  <c r="AA20" i="1"/>
  <c r="Y24" i="1"/>
  <c r="AA24" i="1" s="1"/>
  <c r="AA26" i="1"/>
  <c r="Y28" i="1"/>
  <c r="AA28" i="1" s="1"/>
  <c r="AA30" i="1"/>
  <c r="Y33" i="1"/>
  <c r="AA33" i="1" s="1"/>
  <c r="Y35" i="1"/>
  <c r="AA35" i="1" s="1"/>
  <c r="AA38" i="1"/>
  <c r="Y40" i="1"/>
  <c r="AA40" i="1" s="1"/>
  <c r="AA45" i="1"/>
  <c r="AA49" i="1"/>
  <c r="AA51" i="1"/>
  <c r="AA53" i="1"/>
  <c r="Y6" i="1"/>
  <c r="AA6" i="1" s="1"/>
  <c r="F18" i="22"/>
  <c r="F10" i="22"/>
  <c r="F6" i="22"/>
  <c r="F15" i="22"/>
  <c r="F7" i="22"/>
  <c r="F32" i="22"/>
  <c r="F22" i="22"/>
  <c r="F14" i="22"/>
  <c r="F33" i="22"/>
  <c r="F21" i="22"/>
  <c r="F17" i="22"/>
  <c r="F13" i="22"/>
  <c r="F9" i="22"/>
  <c r="D49" i="22"/>
  <c r="F34" i="22"/>
  <c r="F5" i="22"/>
  <c r="F20" i="22"/>
  <c r="F16" i="22"/>
  <c r="F12" i="22"/>
  <c r="F8" i="22"/>
  <c r="E26" i="1" l="1"/>
  <c r="F11" i="22"/>
  <c r="C11" i="22"/>
  <c r="C24" i="22"/>
  <c r="C31" i="22"/>
  <c r="C26" i="22"/>
  <c r="C30" i="22"/>
  <c r="C25" i="22"/>
  <c r="E30" i="1"/>
  <c r="E16" i="1"/>
  <c r="J6" i="20"/>
  <c r="J21" i="20"/>
  <c r="J28" i="20"/>
  <c r="J33" i="20"/>
  <c r="J23" i="20"/>
  <c r="J31" i="20"/>
  <c r="J36" i="20"/>
  <c r="J14" i="20"/>
  <c r="J19" i="20"/>
  <c r="J29" i="20"/>
  <c r="J22" i="20"/>
  <c r="F31" i="22"/>
  <c r="F24" i="22"/>
  <c r="F25" i="22"/>
  <c r="F30" i="22"/>
  <c r="F26" i="22"/>
</calcChain>
</file>

<file path=xl/comments1.xml><?xml version="1.0" encoding="utf-8"?>
<comments xmlns="http://schemas.openxmlformats.org/spreadsheetml/2006/main">
  <authors>
    <author>Author</author>
  </authors>
  <commentList>
    <comment ref="B9" authorId="0" shapeId="0">
      <text>
        <r>
          <rPr>
            <b/>
            <sz val="9"/>
            <color indexed="81"/>
            <rFont val="Tahoma"/>
            <family val="2"/>
          </rPr>
          <t>Author:</t>
        </r>
        <r>
          <rPr>
            <sz val="9"/>
            <color indexed="81"/>
            <rFont val="Tahoma"/>
            <family val="2"/>
          </rPr>
          <t xml:space="preserve">
Prices are unusually high for a few commodities; the quantities are converted from loads, might be useful to find an alternate conversion.</t>
        </r>
      </text>
    </comment>
    <comment ref="AM15" authorId="0" shapeId="0">
      <text>
        <r>
          <rPr>
            <b/>
            <sz val="9"/>
            <color indexed="81"/>
            <rFont val="Tahoma"/>
            <family val="2"/>
          </rPr>
          <t>Author:</t>
        </r>
        <r>
          <rPr>
            <sz val="9"/>
            <color indexed="81"/>
            <rFont val="Tahoma"/>
            <family val="2"/>
          </rPr>
          <t xml:space="preserve">
Includes tissues of wool as well as wool mixed with cotton.
</t>
        </r>
      </text>
    </comment>
    <comment ref="B16" authorId="0" shapeId="0">
      <text>
        <r>
          <rPr>
            <b/>
            <sz val="9"/>
            <color indexed="81"/>
            <rFont val="Tahoma"/>
            <family val="2"/>
          </rPr>
          <t>Author:</t>
        </r>
        <r>
          <rPr>
            <sz val="9"/>
            <color indexed="81"/>
            <rFont val="Tahoma"/>
            <family val="2"/>
          </rPr>
          <t xml:space="preserve">
Prices are unusually high; the quantities were also taken to be misreported and taken in Man instead of Lbs., however many prices still do not coher with those in preceding years, hence the original quantities have been kept intact.</t>
        </r>
      </text>
    </comment>
    <comment ref="C16" authorId="0" shapeId="0">
      <text>
        <r>
          <rPr>
            <b/>
            <sz val="9"/>
            <color indexed="81"/>
            <rFont val="Tahoma"/>
            <family val="2"/>
          </rPr>
          <t>Author:</t>
        </r>
        <r>
          <rPr>
            <sz val="9"/>
            <color indexed="81"/>
            <rFont val="Tahoma"/>
            <family val="2"/>
          </rPr>
          <t xml:space="preserve">
Double-checked for data entry errors from the report; the value is unusually high </t>
        </r>
      </text>
    </comment>
  </commentList>
</comments>
</file>

<file path=xl/comments2.xml><?xml version="1.0" encoding="utf-8"?>
<comments xmlns="http://schemas.openxmlformats.org/spreadsheetml/2006/main">
  <authors>
    <author>Author</author>
  </authors>
  <commentList>
    <comment ref="M6" authorId="0" shapeId="0">
      <text>
        <r>
          <rPr>
            <b/>
            <sz val="9"/>
            <color indexed="81"/>
            <rFont val="Tahoma"/>
            <family val="2"/>
          </rPr>
          <t>Author:</t>
        </r>
        <r>
          <rPr>
            <sz val="9"/>
            <color indexed="81"/>
            <rFont val="Tahoma"/>
            <family val="2"/>
          </rPr>
          <t xml:space="preserve">
Fruits primarily comprise of nuts.</t>
        </r>
      </text>
    </comment>
    <comment ref="B15" authorId="0" shapeId="0">
      <text>
        <r>
          <rPr>
            <b/>
            <sz val="9"/>
            <color indexed="81"/>
            <rFont val="Tahoma"/>
            <family val="2"/>
          </rPr>
          <t>Author:</t>
        </r>
        <r>
          <rPr>
            <sz val="9"/>
            <color indexed="81"/>
            <rFont val="Tahoma"/>
            <family val="2"/>
          </rPr>
          <t xml:space="preserve">
Prices are unusually high; the quantities were also taken to be misreported and taken in Man instead of Lbs., however many prices still do not coher with those in preceding years, hence the original quantities have been kept intact.</t>
        </r>
      </text>
    </comment>
  </commentList>
</comments>
</file>

<file path=xl/comments3.xml><?xml version="1.0" encoding="utf-8"?>
<comments xmlns="http://schemas.openxmlformats.org/spreadsheetml/2006/main">
  <authors>
    <author>Author</author>
  </authors>
  <commentList>
    <comment ref="AB2" authorId="0" shapeId="0">
      <text>
        <r>
          <rPr>
            <b/>
            <sz val="9"/>
            <color indexed="81"/>
            <rFont val="Tahoma"/>
            <family val="2"/>
          </rPr>
          <t>Author:</t>
        </r>
        <r>
          <rPr>
            <sz val="9"/>
            <color indexed="81"/>
            <rFont val="Tahoma"/>
            <family val="2"/>
          </rPr>
          <t xml:space="preserve">
Includes values for UK, India, Europre and other countries.
Values were originally in Lbs. and then converted; they are slightly incoherent compared to previous years' values in Cwts</t>
        </r>
      </text>
    </comment>
    <comment ref="AE2" authorId="0" shapeId="0">
      <text>
        <r>
          <rPr>
            <b/>
            <sz val="9"/>
            <color indexed="81"/>
            <rFont val="Tahoma"/>
            <family val="2"/>
          </rPr>
          <t>Author:</t>
        </r>
        <r>
          <rPr>
            <sz val="9"/>
            <color indexed="81"/>
            <rFont val="Tahoma"/>
            <family val="2"/>
          </rPr>
          <t xml:space="preserve">
Includes values for UK, India, Europre and other countries.
Values were originally in Lbs. and then converted; they are slightly incoherent compared to previous years' values in Cwts</t>
        </r>
      </text>
    </comment>
    <comment ref="AE3" authorId="0" shapeId="0">
      <text>
        <r>
          <rPr>
            <b/>
            <sz val="9"/>
            <color indexed="81"/>
            <rFont val="Tahoma"/>
            <family val="2"/>
          </rPr>
          <t>Author:</t>
        </r>
        <r>
          <rPr>
            <sz val="9"/>
            <color indexed="81"/>
            <rFont val="Tahoma"/>
            <family val="2"/>
          </rPr>
          <t xml:space="preserve">
Prices are unusually high; the quantities were also taken to be misreported and taken in Man instead of Lbs., however many prices still do not coher with those in preceding years, hence the original quantities have been kept intact.</t>
        </r>
      </text>
    </comment>
    <comment ref="V6" authorId="0" shapeId="0">
      <text>
        <r>
          <rPr>
            <b/>
            <sz val="9"/>
            <color indexed="81"/>
            <rFont val="Tahoma"/>
            <family val="2"/>
          </rPr>
          <t>Author:</t>
        </r>
        <r>
          <rPr>
            <sz val="9"/>
            <color indexed="81"/>
            <rFont val="Tahoma"/>
            <family val="2"/>
          </rPr>
          <t xml:space="preserve">
This increase is due to rather expensive Alcohols and Spirits of Wine &amp; Brandies from Turkey costing 9212 Krans for 907 Batmans.</t>
        </r>
      </text>
    </comment>
    <comment ref="A17" authorId="0" shapeId="0">
      <text>
        <r>
          <rPr>
            <b/>
            <sz val="9"/>
            <color indexed="81"/>
            <rFont val="Tahoma"/>
            <family val="2"/>
          </rPr>
          <t>Author:</t>
        </r>
        <r>
          <rPr>
            <sz val="9"/>
            <color indexed="81"/>
            <rFont val="Tahoma"/>
            <family val="2"/>
          </rPr>
          <t xml:space="preserve">
Quoted as sugar, crystals.</t>
        </r>
      </text>
    </comment>
    <comment ref="L39" authorId="0" shapeId="0">
      <text>
        <r>
          <rPr>
            <b/>
            <sz val="9"/>
            <color indexed="81"/>
            <rFont val="Tahoma"/>
            <family val="2"/>
          </rPr>
          <t>Author:</t>
        </r>
        <r>
          <rPr>
            <sz val="9"/>
            <color indexed="81"/>
            <rFont val="Tahoma"/>
            <family val="2"/>
          </rPr>
          <t xml:space="preserve">
Includes all woollen goods.</t>
        </r>
      </text>
    </comment>
    <comment ref="AH49" authorId="0" shapeId="0">
      <text>
        <r>
          <rPr>
            <b/>
            <sz val="9"/>
            <color indexed="81"/>
            <rFont val="Tahoma"/>
            <family val="2"/>
          </rPr>
          <t>Author:</t>
        </r>
        <r>
          <rPr>
            <sz val="9"/>
            <color indexed="81"/>
            <rFont val="Tahoma"/>
            <family val="2"/>
          </rPr>
          <t xml:space="preserve">
Removed a suspectedly repeating 2 at the end.</t>
        </r>
      </text>
    </comment>
    <comment ref="AT53" authorId="0" shapeId="0">
      <text>
        <r>
          <rPr>
            <b/>
            <sz val="9"/>
            <color indexed="81"/>
            <rFont val="Tahoma"/>
            <family val="2"/>
          </rPr>
          <t>Author:</t>
        </r>
        <r>
          <rPr>
            <sz val="9"/>
            <color indexed="81"/>
            <rFont val="Tahoma"/>
            <family val="2"/>
          </rPr>
          <t xml:space="preserve">
Added the suspectedly missing 0 at the end.</t>
        </r>
      </text>
    </comment>
    <comment ref="D132" authorId="0" shapeId="0">
      <text>
        <r>
          <rPr>
            <b/>
            <sz val="9"/>
            <color indexed="81"/>
            <rFont val="Tahoma"/>
            <family val="2"/>
          </rPr>
          <t>Author:</t>
        </r>
        <r>
          <rPr>
            <sz val="9"/>
            <color indexed="81"/>
            <rFont val="Tahoma"/>
            <family val="2"/>
          </rPr>
          <t xml:space="preserve">
Sourced from 1912-13 where both units and equivalent cwts. are listed.</t>
        </r>
      </text>
    </comment>
    <comment ref="D133" authorId="0" shapeId="0">
      <text>
        <r>
          <rPr>
            <b/>
            <sz val="9"/>
            <color indexed="81"/>
            <rFont val="Tahoma"/>
            <family val="2"/>
          </rPr>
          <t>Author:</t>
        </r>
        <r>
          <rPr>
            <sz val="9"/>
            <color indexed="81"/>
            <rFont val="Tahoma"/>
            <family val="2"/>
          </rPr>
          <t xml:space="preserve">
Sourced from 1912-13 where both units and equivalent cwts. are listed.</t>
        </r>
      </text>
    </comment>
    <comment ref="D134" authorId="0" shapeId="0">
      <text>
        <r>
          <rPr>
            <b/>
            <sz val="9"/>
            <color indexed="81"/>
            <rFont val="Tahoma"/>
            <family val="2"/>
          </rPr>
          <t>Author:</t>
        </r>
        <r>
          <rPr>
            <sz val="9"/>
            <color indexed="81"/>
            <rFont val="Tahoma"/>
            <family val="2"/>
          </rPr>
          <t xml:space="preserve">
Sourced from 1912-13 where both units and equivalent cwts. are listed.</t>
        </r>
      </text>
    </comment>
    <comment ref="D135" authorId="0" shapeId="0">
      <text>
        <r>
          <rPr>
            <b/>
            <sz val="9"/>
            <color indexed="81"/>
            <rFont val="Tahoma"/>
            <family val="2"/>
          </rPr>
          <t>Author:</t>
        </r>
        <r>
          <rPr>
            <sz val="9"/>
            <color indexed="81"/>
            <rFont val="Tahoma"/>
            <family val="2"/>
          </rPr>
          <t xml:space="preserve">
Sourced from 1912-13 where both units and equivalent cwts. are listed.</t>
        </r>
      </text>
    </comment>
  </commentList>
</comments>
</file>

<file path=xl/comments4.xml><?xml version="1.0" encoding="utf-8"?>
<comments xmlns="http://schemas.openxmlformats.org/spreadsheetml/2006/main">
  <authors>
    <author>Author</author>
  </authors>
  <commentList>
    <comment ref="W3" authorId="0" shapeId="0">
      <text>
        <r>
          <rPr>
            <b/>
            <sz val="9"/>
            <color indexed="81"/>
            <rFont val="Tahoma"/>
            <family val="2"/>
          </rPr>
          <t>Author:</t>
        </r>
        <r>
          <rPr>
            <sz val="9"/>
            <color indexed="81"/>
            <rFont val="Tahoma"/>
            <family val="2"/>
          </rPr>
          <t xml:space="preserve">
Values were originally given in Lbs., when converted to Cwts, they are not in coherence with following years' values in Cwts.</t>
        </r>
      </text>
    </comment>
    <comment ref="Z3" authorId="0" shapeId="0">
      <text>
        <r>
          <rPr>
            <b/>
            <sz val="9"/>
            <color indexed="81"/>
            <rFont val="Tahoma"/>
            <family val="2"/>
          </rPr>
          <t>Author:</t>
        </r>
        <r>
          <rPr>
            <sz val="9"/>
            <color indexed="81"/>
            <rFont val="Tahoma"/>
            <family val="2"/>
          </rPr>
          <t xml:space="preserve">
Prices are unusually high; the quantities were also taken to be misreported and taken in Man instead of Lbs., however many prices still do not coher with those in preceding years, hence the original quantities have been kept intact.</t>
        </r>
      </text>
    </comment>
    <comment ref="T4" authorId="0" shapeId="0">
      <text>
        <r>
          <rPr>
            <b/>
            <sz val="9"/>
            <color indexed="81"/>
            <rFont val="Tahoma"/>
            <family val="2"/>
          </rPr>
          <t>Author:</t>
        </r>
        <r>
          <rPr>
            <sz val="9"/>
            <color indexed="81"/>
            <rFont val="Tahoma"/>
            <family val="2"/>
          </rPr>
          <t xml:space="preserve">
Corrected 2515 to 251 for Sheeps, Lambs and Goats.</t>
        </r>
      </text>
    </comment>
    <comment ref="A14" authorId="0" shapeId="0">
      <text>
        <r>
          <rPr>
            <b/>
            <sz val="9"/>
            <color indexed="81"/>
            <rFont val="Tahoma"/>
            <family val="2"/>
          </rPr>
          <t>Author:</t>
        </r>
        <r>
          <rPr>
            <sz val="9"/>
            <color indexed="81"/>
            <rFont val="Tahoma"/>
            <family val="2"/>
          </rPr>
          <t xml:space="preserve">
Fruits primarily comprise of nuts.</t>
        </r>
      </text>
    </comment>
    <comment ref="A22" authorId="0" shapeId="0">
      <text>
        <r>
          <rPr>
            <b/>
            <sz val="9"/>
            <color indexed="81"/>
            <rFont val="Tahoma"/>
            <family val="2"/>
          </rPr>
          <t>Author:</t>
        </r>
        <r>
          <rPr>
            <sz val="9"/>
            <color indexed="81"/>
            <rFont val="Tahoma"/>
            <family val="2"/>
          </rPr>
          <t xml:space="preserve">
These include stones, worked, polished or carved.</t>
        </r>
      </text>
    </comment>
    <comment ref="D127" authorId="0" shapeId="0">
      <text>
        <r>
          <rPr>
            <b/>
            <sz val="9"/>
            <color indexed="81"/>
            <rFont val="Tahoma"/>
            <family val="2"/>
          </rPr>
          <t>Author:</t>
        </r>
        <r>
          <rPr>
            <sz val="9"/>
            <color indexed="81"/>
            <rFont val="Tahoma"/>
            <family val="2"/>
          </rPr>
          <t xml:space="preserve">
Sourced from 1912-13 where both units and equivalent cwts. are listed.</t>
        </r>
      </text>
    </comment>
    <comment ref="D128" authorId="0" shapeId="0">
      <text>
        <r>
          <rPr>
            <b/>
            <sz val="9"/>
            <color indexed="81"/>
            <rFont val="Tahoma"/>
            <family val="2"/>
          </rPr>
          <t>Author:</t>
        </r>
        <r>
          <rPr>
            <sz val="9"/>
            <color indexed="81"/>
            <rFont val="Tahoma"/>
            <family val="2"/>
          </rPr>
          <t xml:space="preserve">
Sourced from 1912-13 where both units and equivalent cwts. are listed.</t>
        </r>
      </text>
    </comment>
    <comment ref="D129" authorId="0" shapeId="0">
      <text>
        <r>
          <rPr>
            <b/>
            <sz val="9"/>
            <color indexed="81"/>
            <rFont val="Tahoma"/>
            <family val="2"/>
          </rPr>
          <t>Author:</t>
        </r>
        <r>
          <rPr>
            <sz val="9"/>
            <color indexed="81"/>
            <rFont val="Tahoma"/>
            <family val="2"/>
          </rPr>
          <t xml:space="preserve">
Sourced from 1912-13 where both units and equivalent cwts. are listed.</t>
        </r>
      </text>
    </comment>
    <comment ref="D130" authorId="0" shapeId="0">
      <text>
        <r>
          <rPr>
            <b/>
            <sz val="9"/>
            <color indexed="81"/>
            <rFont val="Tahoma"/>
            <family val="2"/>
          </rPr>
          <t>Author:</t>
        </r>
        <r>
          <rPr>
            <sz val="9"/>
            <color indexed="81"/>
            <rFont val="Tahoma"/>
            <family val="2"/>
          </rPr>
          <t xml:space="preserve">
Sourced from 1912-13 where both units and equivalent cwts. are listed.</t>
        </r>
      </text>
    </comment>
  </commentList>
</comments>
</file>

<file path=xl/comments5.xml><?xml version="1.0" encoding="utf-8"?>
<comments xmlns="http://schemas.openxmlformats.org/spreadsheetml/2006/main">
  <authors>
    <author>Author</author>
  </authors>
  <commentList>
    <comment ref="C2" authorId="0" shapeId="0">
      <text>
        <r>
          <rPr>
            <b/>
            <sz val="9"/>
            <color indexed="81"/>
            <rFont val="Tahoma"/>
            <family val="2"/>
          </rPr>
          <t>Author:</t>
        </r>
        <r>
          <rPr>
            <sz val="9"/>
            <color indexed="81"/>
            <rFont val="Tahoma"/>
            <family val="2"/>
          </rPr>
          <t xml:space="preserve">
This is average price</t>
        </r>
      </text>
    </comment>
    <comment ref="F2" authorId="0" shapeId="0">
      <text>
        <r>
          <rPr>
            <b/>
            <sz val="9"/>
            <color indexed="81"/>
            <rFont val="Tahoma"/>
            <family val="2"/>
          </rPr>
          <t>Author:</t>
        </r>
        <r>
          <rPr>
            <sz val="9"/>
            <color indexed="81"/>
            <rFont val="Tahoma"/>
            <family val="2"/>
          </rPr>
          <t xml:space="preserve">
This is average price</t>
        </r>
      </text>
    </comment>
    <comment ref="A23" authorId="0" shapeId="0">
      <text>
        <r>
          <rPr>
            <b/>
            <sz val="9"/>
            <color indexed="81"/>
            <rFont val="Tahoma"/>
            <family val="2"/>
          </rPr>
          <t>Author:</t>
        </r>
        <r>
          <rPr>
            <sz val="9"/>
            <color indexed="81"/>
            <rFont val="Tahoma"/>
            <family val="2"/>
          </rPr>
          <t xml:space="preserve">
1 case has 30 packets of 6 candles each (pg. 13 of 'Ispahan and Yezd, 1905-06')</t>
        </r>
      </text>
    </comment>
  </commentList>
</comments>
</file>

<file path=xl/sharedStrings.xml><?xml version="1.0" encoding="utf-8"?>
<sst xmlns="http://schemas.openxmlformats.org/spreadsheetml/2006/main" count="1892" uniqueCount="282">
  <si>
    <t>Articles</t>
  </si>
  <si>
    <t>Units</t>
  </si>
  <si>
    <t>Quantity</t>
  </si>
  <si>
    <t>Number</t>
  </si>
  <si>
    <t>Total (from regions)</t>
  </si>
  <si>
    <t>Coffee</t>
  </si>
  <si>
    <t>Wheat</t>
  </si>
  <si>
    <t>Barley</t>
  </si>
  <si>
    <t>Value (Sterling)</t>
  </si>
  <si>
    <t>Price (Sterling)</t>
  </si>
  <si>
    <t>Units (Price)</t>
  </si>
  <si>
    <t>Matches</t>
  </si>
  <si>
    <t>Sugar, loaf</t>
  </si>
  <si>
    <t>Sugar, moist</t>
  </si>
  <si>
    <t>Units of conversion</t>
  </si>
  <si>
    <t>l.</t>
  </si>
  <si>
    <t>krans</t>
  </si>
  <si>
    <t>man</t>
  </si>
  <si>
    <t>lbs.</t>
  </si>
  <si>
    <t>ForEx - 1901-02</t>
  </si>
  <si>
    <t>ForEx - 1902-03</t>
  </si>
  <si>
    <t>kran</t>
  </si>
  <si>
    <t>shahi</t>
  </si>
  <si>
    <t>Soap</t>
  </si>
  <si>
    <t>Charcoal</t>
  </si>
  <si>
    <t>Eggs</t>
  </si>
  <si>
    <t>shah man</t>
  </si>
  <si>
    <t>shiraz man</t>
  </si>
  <si>
    <t>ForEx - 1896-97</t>
  </si>
  <si>
    <t>Straw</t>
  </si>
  <si>
    <t>Potatoes</t>
  </si>
  <si>
    <t>Milk</t>
  </si>
  <si>
    <t>kharvar</t>
  </si>
  <si>
    <t>Rice</t>
  </si>
  <si>
    <t>ForEx - 1904-05</t>
  </si>
  <si>
    <t>box</t>
  </si>
  <si>
    <t>Oil</t>
  </si>
  <si>
    <t>tin</t>
  </si>
  <si>
    <t>ForEx - 1903-04</t>
  </si>
  <si>
    <r>
      <rPr>
        <i/>
        <sz val="12"/>
        <color theme="1"/>
        <rFont val="Calibri"/>
        <family val="2"/>
        <scheme val="minor"/>
      </rPr>
      <t>into</t>
    </r>
    <r>
      <rPr>
        <sz val="12"/>
        <color theme="1"/>
        <rFont val="Calibri"/>
        <family val="2"/>
        <scheme val="minor"/>
      </rPr>
      <t xml:space="preserve"> Kermanshah </t>
    </r>
    <r>
      <rPr>
        <i/>
        <sz val="12"/>
        <color theme="1"/>
        <rFont val="Calibri"/>
        <family val="2"/>
        <scheme val="minor"/>
      </rPr>
      <t>via</t>
    </r>
    <r>
      <rPr>
        <sz val="12"/>
        <color theme="1"/>
        <rFont val="Calibri"/>
        <family val="2"/>
        <scheme val="minor"/>
      </rPr>
      <t xml:space="preserve"> Turkey, 1912-13</t>
    </r>
  </si>
  <si>
    <r>
      <rPr>
        <i/>
        <sz val="12"/>
        <color theme="1"/>
        <rFont val="Calibri"/>
        <family val="2"/>
        <scheme val="minor"/>
      </rPr>
      <t>into</t>
    </r>
    <r>
      <rPr>
        <sz val="12"/>
        <color theme="1"/>
        <rFont val="Calibri"/>
        <family val="2"/>
        <scheme val="minor"/>
      </rPr>
      <t xml:space="preserve"> Kermanshah </t>
    </r>
    <r>
      <rPr>
        <i/>
        <sz val="12"/>
        <color theme="1"/>
        <rFont val="Calibri"/>
        <family val="2"/>
        <scheme val="minor"/>
      </rPr>
      <t>via</t>
    </r>
    <r>
      <rPr>
        <sz val="12"/>
        <color theme="1"/>
        <rFont val="Calibri"/>
        <family val="2"/>
        <scheme val="minor"/>
      </rPr>
      <t xml:space="preserve"> Turkey, 1910-11</t>
    </r>
  </si>
  <si>
    <r>
      <rPr>
        <i/>
        <sz val="12"/>
        <color theme="1"/>
        <rFont val="Calibri"/>
        <family val="2"/>
        <scheme val="minor"/>
      </rPr>
      <t>into</t>
    </r>
    <r>
      <rPr>
        <sz val="12"/>
        <color theme="1"/>
        <rFont val="Calibri"/>
        <family val="2"/>
        <scheme val="minor"/>
      </rPr>
      <t xml:space="preserve"> Kermanshah </t>
    </r>
    <r>
      <rPr>
        <i/>
        <sz val="12"/>
        <color theme="1"/>
        <rFont val="Calibri"/>
        <family val="2"/>
        <scheme val="minor"/>
      </rPr>
      <t>via</t>
    </r>
    <r>
      <rPr>
        <sz val="12"/>
        <color theme="1"/>
        <rFont val="Calibri"/>
        <family val="2"/>
        <scheme val="minor"/>
      </rPr>
      <t xml:space="preserve"> Turkey, 1911-12</t>
    </r>
  </si>
  <si>
    <t>Cwts</t>
  </si>
  <si>
    <t>Candles</t>
  </si>
  <si>
    <t>Butter</t>
  </si>
  <si>
    <t>Fruits and berries</t>
  </si>
  <si>
    <t>Tea</t>
  </si>
  <si>
    <t>Drugs</t>
  </si>
  <si>
    <r>
      <t>Spices</t>
    </r>
    <r>
      <rPr>
        <sz val="11.5"/>
        <rFont val="Times New Roman"/>
        <family val="1"/>
      </rPr>
      <t/>
    </r>
  </si>
  <si>
    <t>Gum</t>
  </si>
  <si>
    <t>Clothing</t>
  </si>
  <si>
    <t>Kerosene oil</t>
  </si>
  <si>
    <t>Iron and steel</t>
  </si>
  <si>
    <t>Tin, lead, zinc</t>
  </si>
  <si>
    <t>Copper and nickel</t>
  </si>
  <si>
    <t>Coins</t>
  </si>
  <si>
    <t>Cotton, tissues</t>
  </si>
  <si>
    <t>Wool, tissues</t>
  </si>
  <si>
    <t>Silk, tissues</t>
  </si>
  <si>
    <t>Mercery and hardware</t>
  </si>
  <si>
    <t>Paperware</t>
  </si>
  <si>
    <r>
      <t xml:space="preserve">Other </t>
    </r>
    <r>
      <rPr>
        <sz val="11"/>
        <rFont val="Calibri"/>
        <family val="2"/>
        <scheme val="minor"/>
      </rPr>
      <t>textiles</t>
    </r>
  </si>
  <si>
    <r>
      <t xml:space="preserve">Other </t>
    </r>
    <r>
      <rPr>
        <sz val="11"/>
        <rFont val="Calibri"/>
        <family val="2"/>
        <scheme val="minor"/>
      </rPr>
      <t>skins</t>
    </r>
  </si>
  <si>
    <t>Chemicals</t>
  </si>
  <si>
    <t>Resin and bitumen</t>
  </si>
  <si>
    <t>Indigo</t>
  </si>
  <si>
    <t>Glassware</t>
  </si>
  <si>
    <t>Leatherware</t>
  </si>
  <si>
    <r>
      <rPr>
        <i/>
        <sz val="12"/>
        <color theme="1"/>
        <rFont val="Calibri"/>
        <family val="2"/>
        <scheme val="minor"/>
      </rPr>
      <t xml:space="preserve">from </t>
    </r>
    <r>
      <rPr>
        <sz val="12"/>
        <color theme="1"/>
        <rFont val="Calibri"/>
        <family val="2"/>
        <scheme val="minor"/>
      </rPr>
      <t xml:space="preserve">Kermanshah </t>
    </r>
    <r>
      <rPr>
        <i/>
        <sz val="12"/>
        <color theme="1"/>
        <rFont val="Calibri"/>
        <family val="2"/>
        <scheme val="minor"/>
      </rPr>
      <t>via</t>
    </r>
    <r>
      <rPr>
        <sz val="12"/>
        <color theme="1"/>
        <rFont val="Calibri"/>
        <family val="2"/>
        <scheme val="minor"/>
      </rPr>
      <t xml:space="preserve"> Turkey, 1910-11</t>
    </r>
  </si>
  <si>
    <r>
      <rPr>
        <i/>
        <sz val="12"/>
        <color theme="1"/>
        <rFont val="Calibri"/>
        <family val="2"/>
        <scheme val="minor"/>
      </rPr>
      <t xml:space="preserve">from </t>
    </r>
    <r>
      <rPr>
        <sz val="12"/>
        <color theme="1"/>
        <rFont val="Calibri"/>
        <family val="2"/>
        <scheme val="minor"/>
      </rPr>
      <t xml:space="preserve">Kermanshah </t>
    </r>
    <r>
      <rPr>
        <i/>
        <sz val="12"/>
        <color theme="1"/>
        <rFont val="Calibri"/>
        <family val="2"/>
        <scheme val="minor"/>
      </rPr>
      <t>via</t>
    </r>
    <r>
      <rPr>
        <sz val="12"/>
        <color theme="1"/>
        <rFont val="Calibri"/>
        <family val="2"/>
        <scheme val="minor"/>
      </rPr>
      <t xml:space="preserve"> Turkey, 1911-12</t>
    </r>
  </si>
  <si>
    <r>
      <rPr>
        <i/>
        <sz val="12"/>
        <color theme="1"/>
        <rFont val="Calibri"/>
        <family val="2"/>
        <scheme val="minor"/>
      </rPr>
      <t xml:space="preserve">from </t>
    </r>
    <r>
      <rPr>
        <sz val="12"/>
        <color theme="1"/>
        <rFont val="Calibri"/>
        <family val="2"/>
        <scheme val="minor"/>
      </rPr>
      <t xml:space="preserve">Kermanshah </t>
    </r>
    <r>
      <rPr>
        <i/>
        <sz val="12"/>
        <color theme="1"/>
        <rFont val="Calibri"/>
        <family val="2"/>
        <scheme val="minor"/>
      </rPr>
      <t>via</t>
    </r>
    <r>
      <rPr>
        <sz val="12"/>
        <color theme="1"/>
        <rFont val="Calibri"/>
        <family val="2"/>
        <scheme val="minor"/>
      </rPr>
      <t xml:space="preserve"> Turkey, 1912-13</t>
    </r>
  </si>
  <si>
    <r>
      <t>Animals</t>
    </r>
    <r>
      <rPr>
        <sz val="11.5"/>
        <rFont val="Times New Roman"/>
        <family val="1"/>
      </rPr>
      <t/>
    </r>
  </si>
  <si>
    <t>Wood</t>
  </si>
  <si>
    <t>Nuts and walnuts</t>
  </si>
  <si>
    <t>Almonds and pistachios</t>
  </si>
  <si>
    <t>Raisins</t>
  </si>
  <si>
    <t>Other edibles</t>
  </si>
  <si>
    <r>
      <t>Spices</t>
    </r>
    <r>
      <rPr>
        <sz val="11.5"/>
        <rFont val="Times New Roman"/>
        <family val="1"/>
      </rPr>
      <t/>
    </r>
  </si>
  <si>
    <t>Millstones</t>
  </si>
  <si>
    <t>Carpets, wool</t>
  </si>
  <si>
    <t>Carpets, wool and cotton</t>
  </si>
  <si>
    <t>Carpets, aniline dyed</t>
  </si>
  <si>
    <t>Silk, cocoons</t>
  </si>
  <si>
    <t>Silk, raw</t>
  </si>
  <si>
    <t>Other textiles</t>
  </si>
  <si>
    <r>
      <t>Opium</t>
    </r>
    <r>
      <rPr>
        <sz val="11.5"/>
        <rFont val="Times New Roman"/>
        <family val="1"/>
      </rPr>
      <t/>
    </r>
  </si>
  <si>
    <r>
      <t>Skins, raw</t>
    </r>
    <r>
      <rPr>
        <sz val="11.5"/>
        <rFont val="Times New Roman"/>
        <family val="1"/>
      </rPr>
      <t/>
    </r>
  </si>
  <si>
    <t>Tobacco</t>
  </si>
  <si>
    <r>
      <rPr>
        <i/>
        <sz val="12"/>
        <color theme="1"/>
        <rFont val="Calibri"/>
        <family val="2"/>
        <scheme val="minor"/>
      </rPr>
      <t>into</t>
    </r>
    <r>
      <rPr>
        <sz val="12"/>
        <color theme="1"/>
        <rFont val="Calibri"/>
        <family val="2"/>
        <scheme val="minor"/>
      </rPr>
      <t xml:space="preserve"> Kermanshah </t>
    </r>
    <r>
      <rPr>
        <i/>
        <sz val="12"/>
        <color theme="1"/>
        <rFont val="Calibri"/>
        <family val="2"/>
        <scheme val="minor"/>
      </rPr>
      <t>via</t>
    </r>
    <r>
      <rPr>
        <sz val="12"/>
        <color theme="1"/>
        <rFont val="Calibri"/>
        <family val="2"/>
        <scheme val="minor"/>
      </rPr>
      <t xml:space="preserve"> Turkey, 1909-10</t>
    </r>
  </si>
  <si>
    <t>Furniture</t>
  </si>
  <si>
    <r>
      <rPr>
        <i/>
        <sz val="12"/>
        <color theme="1"/>
        <rFont val="Calibri"/>
        <family val="2"/>
        <scheme val="minor"/>
      </rPr>
      <t xml:space="preserve">from </t>
    </r>
    <r>
      <rPr>
        <sz val="12"/>
        <color theme="1"/>
        <rFont val="Calibri"/>
        <family val="2"/>
        <scheme val="minor"/>
      </rPr>
      <t xml:space="preserve">Kermanshah </t>
    </r>
    <r>
      <rPr>
        <i/>
        <sz val="12"/>
        <color theme="1"/>
        <rFont val="Calibri"/>
        <family val="2"/>
        <scheme val="minor"/>
      </rPr>
      <t>via</t>
    </r>
    <r>
      <rPr>
        <sz val="12"/>
        <color theme="1"/>
        <rFont val="Calibri"/>
        <family val="2"/>
        <scheme val="minor"/>
      </rPr>
      <t xml:space="preserve"> Turkey, 1909-10</t>
    </r>
  </si>
  <si>
    <t>Wheat and barley</t>
  </si>
  <si>
    <t>Mineral products</t>
  </si>
  <si>
    <r>
      <rPr>
        <i/>
        <sz val="12"/>
        <color theme="1"/>
        <rFont val="Calibri"/>
        <family val="2"/>
        <scheme val="minor"/>
      </rPr>
      <t>into</t>
    </r>
    <r>
      <rPr>
        <sz val="12"/>
        <color theme="1"/>
        <rFont val="Calibri"/>
        <family val="2"/>
        <scheme val="minor"/>
      </rPr>
      <t xml:space="preserve"> Kermanshah </t>
    </r>
    <r>
      <rPr>
        <i/>
        <sz val="12"/>
        <color theme="1"/>
        <rFont val="Calibri"/>
        <family val="2"/>
        <scheme val="minor"/>
      </rPr>
      <t>via</t>
    </r>
    <r>
      <rPr>
        <sz val="12"/>
        <color theme="1"/>
        <rFont val="Calibri"/>
        <family val="2"/>
        <scheme val="minor"/>
      </rPr>
      <t xml:space="preserve"> Turkey, 1907-08</t>
    </r>
  </si>
  <si>
    <r>
      <rPr>
        <i/>
        <sz val="12"/>
        <color theme="1"/>
        <rFont val="Calibri"/>
        <family val="2"/>
        <scheme val="minor"/>
      </rPr>
      <t>into</t>
    </r>
    <r>
      <rPr>
        <sz val="12"/>
        <color theme="1"/>
        <rFont val="Calibri"/>
        <family val="2"/>
        <scheme val="minor"/>
      </rPr>
      <t xml:space="preserve"> Kermanshah </t>
    </r>
    <r>
      <rPr>
        <i/>
        <sz val="12"/>
        <color theme="1"/>
        <rFont val="Calibri"/>
        <family val="2"/>
        <scheme val="minor"/>
      </rPr>
      <t>via</t>
    </r>
    <r>
      <rPr>
        <sz val="12"/>
        <color theme="1"/>
        <rFont val="Calibri"/>
        <family val="2"/>
        <scheme val="minor"/>
      </rPr>
      <t xml:space="preserve"> Turkey, 1908-09</t>
    </r>
  </si>
  <si>
    <t>Animals</t>
  </si>
  <si>
    <t>Beverages</t>
  </si>
  <si>
    <t>Vegetables</t>
  </si>
  <si>
    <t>Sweetmeats</t>
  </si>
  <si>
    <t>Wool, raw</t>
  </si>
  <si>
    <r>
      <rPr>
        <i/>
        <sz val="12"/>
        <color theme="1"/>
        <rFont val="Calibri"/>
        <family val="2"/>
        <scheme val="minor"/>
      </rPr>
      <t xml:space="preserve">from </t>
    </r>
    <r>
      <rPr>
        <sz val="12"/>
        <color theme="1"/>
        <rFont val="Calibri"/>
        <family val="2"/>
        <scheme val="minor"/>
      </rPr>
      <t xml:space="preserve">Kermanshah </t>
    </r>
    <r>
      <rPr>
        <i/>
        <sz val="12"/>
        <color theme="1"/>
        <rFont val="Calibri"/>
        <family val="2"/>
        <scheme val="minor"/>
      </rPr>
      <t>via</t>
    </r>
    <r>
      <rPr>
        <sz val="12"/>
        <color theme="1"/>
        <rFont val="Calibri"/>
        <family val="2"/>
        <scheme val="minor"/>
      </rPr>
      <t xml:space="preserve"> Turkey, 1907-08</t>
    </r>
  </si>
  <si>
    <r>
      <rPr>
        <i/>
        <sz val="12"/>
        <color theme="1"/>
        <rFont val="Calibri"/>
        <family val="2"/>
        <scheme val="minor"/>
      </rPr>
      <t xml:space="preserve">from </t>
    </r>
    <r>
      <rPr>
        <sz val="12"/>
        <color theme="1"/>
        <rFont val="Calibri"/>
        <family val="2"/>
        <scheme val="minor"/>
      </rPr>
      <t xml:space="preserve">Kermanshah </t>
    </r>
    <r>
      <rPr>
        <i/>
        <sz val="12"/>
        <color theme="1"/>
        <rFont val="Calibri"/>
        <family val="2"/>
        <scheme val="minor"/>
      </rPr>
      <t>via</t>
    </r>
    <r>
      <rPr>
        <sz val="12"/>
        <color theme="1"/>
        <rFont val="Calibri"/>
        <family val="2"/>
        <scheme val="minor"/>
      </rPr>
      <t xml:space="preserve"> Turkey, 1908-09</t>
    </r>
  </si>
  <si>
    <t>Butter and edible grease</t>
  </si>
  <si>
    <r>
      <rPr>
        <i/>
        <sz val="12"/>
        <color theme="1"/>
        <rFont val="Calibri"/>
        <family val="2"/>
        <scheme val="minor"/>
      </rPr>
      <t xml:space="preserve">from </t>
    </r>
    <r>
      <rPr>
        <sz val="12"/>
        <color theme="1"/>
        <rFont val="Calibri"/>
        <family val="2"/>
        <scheme val="minor"/>
      </rPr>
      <t xml:space="preserve">Kermanshah </t>
    </r>
    <r>
      <rPr>
        <i/>
        <sz val="12"/>
        <color theme="1"/>
        <rFont val="Calibri"/>
        <family val="2"/>
        <scheme val="minor"/>
      </rPr>
      <t>via</t>
    </r>
    <r>
      <rPr>
        <sz val="12"/>
        <color theme="1"/>
        <rFont val="Calibri"/>
        <family val="2"/>
        <scheme val="minor"/>
      </rPr>
      <t xml:space="preserve"> Turkey, 1906-07</t>
    </r>
  </si>
  <si>
    <t>cwt</t>
  </si>
  <si>
    <r>
      <rPr>
        <i/>
        <sz val="12"/>
        <color theme="1"/>
        <rFont val="Calibri"/>
        <family val="2"/>
        <scheme val="minor"/>
      </rPr>
      <t>into</t>
    </r>
    <r>
      <rPr>
        <sz val="12"/>
        <color theme="1"/>
        <rFont val="Calibri"/>
        <family val="2"/>
        <scheme val="minor"/>
      </rPr>
      <t xml:space="preserve"> Kermanshah </t>
    </r>
    <r>
      <rPr>
        <i/>
        <sz val="12"/>
        <color theme="1"/>
        <rFont val="Calibri"/>
        <family val="2"/>
        <scheme val="minor"/>
      </rPr>
      <t>via</t>
    </r>
    <r>
      <rPr>
        <sz val="12"/>
        <color theme="1"/>
        <rFont val="Calibri"/>
        <family val="2"/>
        <scheme val="minor"/>
      </rPr>
      <t xml:space="preserve"> Turkey, 1906-07</t>
    </r>
  </si>
  <si>
    <t>lbs</t>
  </si>
  <si>
    <t>Flour</t>
  </si>
  <si>
    <t>Gums</t>
  </si>
  <si>
    <t>Fruits</t>
  </si>
  <si>
    <r>
      <rPr>
        <i/>
        <sz val="12"/>
        <color theme="1"/>
        <rFont val="Calibri"/>
        <family val="2"/>
        <scheme val="minor"/>
      </rPr>
      <t xml:space="preserve">from </t>
    </r>
    <r>
      <rPr>
        <sz val="12"/>
        <color theme="1"/>
        <rFont val="Calibri"/>
        <family val="2"/>
        <scheme val="minor"/>
      </rPr>
      <t xml:space="preserve">Kermanshah </t>
    </r>
    <r>
      <rPr>
        <i/>
        <sz val="12"/>
        <color theme="1"/>
        <rFont val="Calibri"/>
        <family val="2"/>
        <scheme val="minor"/>
      </rPr>
      <t>via</t>
    </r>
    <r>
      <rPr>
        <sz val="12"/>
        <color theme="1"/>
        <rFont val="Calibri"/>
        <family val="2"/>
        <scheme val="minor"/>
      </rPr>
      <t xml:space="preserve"> Turkey, 1905-06</t>
    </r>
  </si>
  <si>
    <r>
      <rPr>
        <i/>
        <sz val="12"/>
        <color theme="1"/>
        <rFont val="Calibri"/>
        <family val="2"/>
        <scheme val="minor"/>
      </rPr>
      <t>into</t>
    </r>
    <r>
      <rPr>
        <sz val="12"/>
        <color theme="1"/>
        <rFont val="Calibri"/>
        <family val="2"/>
        <scheme val="minor"/>
      </rPr>
      <t xml:space="preserve"> Kermanshah </t>
    </r>
    <r>
      <rPr>
        <i/>
        <sz val="12"/>
        <color theme="1"/>
        <rFont val="Calibri"/>
        <family val="2"/>
        <scheme val="minor"/>
      </rPr>
      <t>via</t>
    </r>
    <r>
      <rPr>
        <sz val="12"/>
        <color theme="1"/>
        <rFont val="Calibri"/>
        <family val="2"/>
        <scheme val="minor"/>
      </rPr>
      <t xml:space="preserve"> Turkey, 1905-06</t>
    </r>
  </si>
  <si>
    <r>
      <rPr>
        <i/>
        <sz val="12"/>
        <color theme="1"/>
        <rFont val="Calibri"/>
        <family val="2"/>
        <scheme val="minor"/>
      </rPr>
      <t>into</t>
    </r>
    <r>
      <rPr>
        <sz val="12"/>
        <color theme="1"/>
        <rFont val="Calibri"/>
        <family val="2"/>
        <scheme val="minor"/>
      </rPr>
      <t xml:space="preserve"> Kermanshah </t>
    </r>
    <r>
      <rPr>
        <i/>
        <sz val="12"/>
        <color theme="1"/>
        <rFont val="Calibri"/>
        <family val="2"/>
        <scheme val="minor"/>
      </rPr>
      <t>via</t>
    </r>
    <r>
      <rPr>
        <sz val="12"/>
        <color theme="1"/>
        <rFont val="Calibri"/>
        <family val="2"/>
        <scheme val="minor"/>
      </rPr>
      <t xml:space="preserve"> Turkey, 1904-05</t>
    </r>
  </si>
  <si>
    <t>Naptha oil</t>
  </si>
  <si>
    <r>
      <rPr>
        <i/>
        <sz val="12"/>
        <color theme="1"/>
        <rFont val="Calibri"/>
        <family val="2"/>
        <scheme val="minor"/>
      </rPr>
      <t xml:space="preserve">from </t>
    </r>
    <r>
      <rPr>
        <sz val="12"/>
        <color theme="1"/>
        <rFont val="Calibri"/>
        <family val="2"/>
        <scheme val="minor"/>
      </rPr>
      <t xml:space="preserve">Kermanshah </t>
    </r>
    <r>
      <rPr>
        <i/>
        <sz val="12"/>
        <color theme="1"/>
        <rFont val="Calibri"/>
        <family val="2"/>
        <scheme val="minor"/>
      </rPr>
      <t>via</t>
    </r>
    <r>
      <rPr>
        <sz val="12"/>
        <color theme="1"/>
        <rFont val="Calibri"/>
        <family val="2"/>
        <scheme val="minor"/>
      </rPr>
      <t xml:space="preserve"> Turkey, 1904-05</t>
    </r>
  </si>
  <si>
    <t>Rice, husked</t>
  </si>
  <si>
    <t>Rice, unhusked</t>
  </si>
  <si>
    <t>Kermanshah, 1904-05</t>
  </si>
  <si>
    <t>£/Cwt</t>
  </si>
  <si>
    <t>Fuel</t>
  </si>
  <si>
    <t>Naphtha oil</t>
  </si>
  <si>
    <t>Ice</t>
  </si>
  <si>
    <t>Meat</t>
  </si>
  <si>
    <t>Bread</t>
  </si>
  <si>
    <t>Cheese</t>
  </si>
  <si>
    <t>Onions</t>
  </si>
  <si>
    <t>Roghan</t>
  </si>
  <si>
    <t>Rice, first quality</t>
  </si>
  <si>
    <t>Rice, second quality</t>
  </si>
  <si>
    <t>Peas, native</t>
  </si>
  <si>
    <t>Sugar</t>
  </si>
  <si>
    <t>Curds</t>
  </si>
  <si>
    <r>
      <t>S</t>
    </r>
    <r>
      <rPr>
        <sz val="11.5"/>
        <rFont val="Times New Roman"/>
        <family val="1"/>
      </rPr>
      <t>oap</t>
    </r>
  </si>
  <si>
    <t>Vinegar</t>
  </si>
  <si>
    <t>Clover</t>
  </si>
  <si>
    <t>Fowls</t>
  </si>
  <si>
    <t>Dates</t>
  </si>
  <si>
    <t>Grapes</t>
  </si>
  <si>
    <t>Lowest (Krans)</t>
  </si>
  <si>
    <t>Highest (Krans)</t>
  </si>
  <si>
    <t>£/Load</t>
  </si>
  <si>
    <t>£/Number</t>
  </si>
  <si>
    <t>Pairs</t>
  </si>
  <si>
    <r>
      <rPr>
        <i/>
        <sz val="12"/>
        <color theme="1"/>
        <rFont val="Calibri"/>
        <family val="2"/>
        <scheme val="minor"/>
      </rPr>
      <t xml:space="preserve">from </t>
    </r>
    <r>
      <rPr>
        <sz val="12"/>
        <color theme="1"/>
        <rFont val="Calibri"/>
        <family val="2"/>
        <scheme val="minor"/>
      </rPr>
      <t xml:space="preserve">Kermanshah </t>
    </r>
    <r>
      <rPr>
        <i/>
        <sz val="12"/>
        <color theme="1"/>
        <rFont val="Calibri"/>
        <family val="2"/>
        <scheme val="minor"/>
      </rPr>
      <t>via</t>
    </r>
    <r>
      <rPr>
        <sz val="12"/>
        <color theme="1"/>
        <rFont val="Calibri"/>
        <family val="2"/>
        <scheme val="minor"/>
      </rPr>
      <t xml:space="preserve"> Turkey, 1903-04</t>
    </r>
  </si>
  <si>
    <r>
      <rPr>
        <i/>
        <sz val="12"/>
        <color theme="1"/>
        <rFont val="Calibri"/>
        <family val="2"/>
        <scheme val="minor"/>
      </rPr>
      <t>into</t>
    </r>
    <r>
      <rPr>
        <sz val="12"/>
        <color theme="1"/>
        <rFont val="Calibri"/>
        <family val="2"/>
        <scheme val="minor"/>
      </rPr>
      <t xml:space="preserve"> Kermanshah </t>
    </r>
    <r>
      <rPr>
        <i/>
        <sz val="12"/>
        <color theme="1"/>
        <rFont val="Calibri"/>
        <family val="2"/>
        <scheme val="minor"/>
      </rPr>
      <t>via</t>
    </r>
    <r>
      <rPr>
        <sz val="12"/>
        <color theme="1"/>
        <rFont val="Calibri"/>
        <family val="2"/>
        <scheme val="minor"/>
      </rPr>
      <t xml:space="preserve"> Turkey, 1902-03</t>
    </r>
  </si>
  <si>
    <r>
      <rPr>
        <i/>
        <sz val="12"/>
        <color theme="1"/>
        <rFont val="Calibri"/>
        <family val="2"/>
        <scheme val="minor"/>
      </rPr>
      <t xml:space="preserve">from </t>
    </r>
    <r>
      <rPr>
        <sz val="12"/>
        <color theme="1"/>
        <rFont val="Calibri"/>
        <family val="2"/>
        <scheme val="minor"/>
      </rPr>
      <t xml:space="preserve">Kermanshah </t>
    </r>
    <r>
      <rPr>
        <i/>
        <sz val="12"/>
        <color theme="1"/>
        <rFont val="Calibri"/>
        <family val="2"/>
        <scheme val="minor"/>
      </rPr>
      <t>via</t>
    </r>
    <r>
      <rPr>
        <sz val="12"/>
        <color theme="1"/>
        <rFont val="Calibri"/>
        <family val="2"/>
        <scheme val="minor"/>
      </rPr>
      <t xml:space="preserve"> Turkey, 1902-03</t>
    </r>
  </si>
  <si>
    <r>
      <rPr>
        <i/>
        <sz val="12"/>
        <color theme="1"/>
        <rFont val="Calibri"/>
        <family val="2"/>
        <scheme val="minor"/>
      </rPr>
      <t>into</t>
    </r>
    <r>
      <rPr>
        <sz val="12"/>
        <color theme="1"/>
        <rFont val="Calibri"/>
        <family val="2"/>
        <scheme val="minor"/>
      </rPr>
      <t xml:space="preserve"> Kermanshah </t>
    </r>
    <r>
      <rPr>
        <i/>
        <sz val="12"/>
        <color theme="1"/>
        <rFont val="Calibri"/>
        <family val="2"/>
        <scheme val="minor"/>
      </rPr>
      <t>via</t>
    </r>
    <r>
      <rPr>
        <sz val="12"/>
        <color theme="1"/>
        <rFont val="Calibri"/>
        <family val="2"/>
        <scheme val="minor"/>
      </rPr>
      <t xml:space="preserve"> Turkey, 1901-02</t>
    </r>
  </si>
  <si>
    <r>
      <rPr>
        <i/>
        <sz val="12"/>
        <color theme="1"/>
        <rFont val="Calibri"/>
        <family val="2"/>
        <scheme val="minor"/>
      </rPr>
      <t xml:space="preserve">from </t>
    </r>
    <r>
      <rPr>
        <sz val="12"/>
        <color theme="1"/>
        <rFont val="Calibri"/>
        <family val="2"/>
        <scheme val="minor"/>
      </rPr>
      <t xml:space="preserve">Kermanshah </t>
    </r>
    <r>
      <rPr>
        <i/>
        <sz val="12"/>
        <color theme="1"/>
        <rFont val="Calibri"/>
        <family val="2"/>
        <scheme val="minor"/>
      </rPr>
      <t>via</t>
    </r>
    <r>
      <rPr>
        <sz val="12"/>
        <color theme="1"/>
        <rFont val="Calibri"/>
        <family val="2"/>
        <scheme val="minor"/>
      </rPr>
      <t xml:space="preserve"> Turkey, 1901-02</t>
    </r>
  </si>
  <si>
    <t>Kermanshah, 1902-03</t>
  </si>
  <si>
    <r>
      <rPr>
        <i/>
        <sz val="12"/>
        <color theme="1"/>
        <rFont val="Calibri"/>
        <family val="2"/>
        <scheme val="minor"/>
      </rPr>
      <t>into</t>
    </r>
    <r>
      <rPr>
        <sz val="12"/>
        <color theme="1"/>
        <rFont val="Calibri"/>
        <family val="2"/>
        <scheme val="minor"/>
      </rPr>
      <t xml:space="preserve"> Kermanshah &amp; Kurdistan </t>
    </r>
    <r>
      <rPr>
        <i/>
        <sz val="12"/>
        <color theme="1"/>
        <rFont val="Calibri"/>
        <family val="2"/>
        <scheme val="minor"/>
      </rPr>
      <t>via</t>
    </r>
    <r>
      <rPr>
        <sz val="12"/>
        <color theme="1"/>
        <rFont val="Calibri"/>
        <family val="2"/>
        <scheme val="minor"/>
      </rPr>
      <t xml:space="preserve"> Turkey, 1900-01</t>
    </r>
  </si>
  <si>
    <t>ForEx - 1900-01</t>
  </si>
  <si>
    <r>
      <rPr>
        <i/>
        <sz val="12"/>
        <color theme="1"/>
        <rFont val="Calibri"/>
        <family val="2"/>
        <scheme val="minor"/>
      </rPr>
      <t xml:space="preserve">from </t>
    </r>
    <r>
      <rPr>
        <sz val="12"/>
        <color theme="1"/>
        <rFont val="Calibri"/>
        <family val="2"/>
        <scheme val="minor"/>
      </rPr>
      <t xml:space="preserve">Kermanshah </t>
    </r>
    <r>
      <rPr>
        <i/>
        <sz val="12"/>
        <color theme="1"/>
        <rFont val="Calibri"/>
        <family val="2"/>
        <scheme val="minor"/>
      </rPr>
      <t>via</t>
    </r>
    <r>
      <rPr>
        <sz val="12"/>
        <color theme="1"/>
        <rFont val="Calibri"/>
        <family val="2"/>
        <scheme val="minor"/>
      </rPr>
      <t xml:space="preserve"> Turkey, 1896-97</t>
    </r>
  </si>
  <si>
    <r>
      <rPr>
        <i/>
        <sz val="12"/>
        <color theme="1"/>
        <rFont val="Calibri"/>
        <family val="2"/>
        <scheme val="minor"/>
      </rPr>
      <t>into</t>
    </r>
    <r>
      <rPr>
        <sz val="12"/>
        <color theme="1"/>
        <rFont val="Calibri"/>
        <family val="2"/>
        <scheme val="minor"/>
      </rPr>
      <t xml:space="preserve"> Kermanshah</t>
    </r>
    <r>
      <rPr>
        <i/>
        <sz val="12"/>
        <color theme="1"/>
        <rFont val="Calibri"/>
        <family val="2"/>
        <scheme val="minor"/>
      </rPr>
      <t xml:space="preserve"> from </t>
    </r>
    <r>
      <rPr>
        <sz val="12"/>
        <color theme="1"/>
        <rFont val="Calibri"/>
        <family val="2"/>
        <scheme val="minor"/>
      </rPr>
      <t>Baghdad, 1896-97</t>
    </r>
  </si>
  <si>
    <t>box, bale, halfload</t>
  </si>
  <si>
    <t>load</t>
  </si>
  <si>
    <t>Prices and Wages in London &amp; Southern England, 1259-1914</t>
  </si>
  <si>
    <t>A1) Original Prices</t>
  </si>
  <si>
    <t>Source</t>
  </si>
  <si>
    <t>Currency/units</t>
  </si>
  <si>
    <t>£/Case</t>
  </si>
  <si>
    <t>Comment</t>
  </si>
  <si>
    <t>Place of Origin</t>
  </si>
  <si>
    <t>Good</t>
  </si>
  <si>
    <t>Year</t>
  </si>
  <si>
    <t>1905-06</t>
  </si>
  <si>
    <t>1906-07</t>
  </si>
  <si>
    <t>1907-08</t>
  </si>
  <si>
    <t>1908-09</t>
  </si>
  <si>
    <t>1909-10</t>
  </si>
  <si>
    <t>1910-11</t>
  </si>
  <si>
    <t>1911-12</t>
  </si>
  <si>
    <t>1912-13</t>
  </si>
  <si>
    <t>1902-03</t>
  </si>
  <si>
    <t>1903-04</t>
  </si>
  <si>
    <t>1904-05</t>
  </si>
  <si>
    <t>`</t>
  </si>
  <si>
    <t/>
  </si>
  <si>
    <t>Price (Units)</t>
  </si>
  <si>
    <t>£/Cwts</t>
  </si>
  <si>
    <t>1896-97</t>
  </si>
  <si>
    <r>
      <rPr>
        <i/>
        <sz val="12"/>
        <color theme="1"/>
        <rFont val="Calibri"/>
        <family val="2"/>
        <scheme val="minor"/>
      </rPr>
      <t xml:space="preserve">from </t>
    </r>
    <r>
      <rPr>
        <sz val="12"/>
        <color theme="1"/>
        <rFont val="Calibri"/>
        <family val="2"/>
        <scheme val="minor"/>
      </rPr>
      <t>Kermanshah and Kurdisan</t>
    </r>
    <r>
      <rPr>
        <i/>
        <sz val="12"/>
        <color theme="1"/>
        <rFont val="Calibri"/>
        <family val="2"/>
        <scheme val="minor"/>
      </rPr>
      <t>via</t>
    </r>
    <r>
      <rPr>
        <sz val="12"/>
        <color theme="1"/>
        <rFont val="Calibri"/>
        <family val="2"/>
        <scheme val="minor"/>
      </rPr>
      <t xml:space="preserve"> Turkey, 1900-01</t>
    </r>
  </si>
  <si>
    <t>1900-01</t>
  </si>
  <si>
    <t>1901-02</t>
  </si>
  <si>
    <t>Arms and ammunition</t>
  </si>
  <si>
    <t>case</t>
  </si>
  <si>
    <t>Almonds</t>
  </si>
  <si>
    <t>bag</t>
  </si>
  <si>
    <t>Date</t>
  </si>
  <si>
    <t>Opium</t>
  </si>
  <si>
    <t>Salt</t>
  </si>
  <si>
    <t>bahr</t>
  </si>
  <si>
    <t>Carpets</t>
  </si>
  <si>
    <t>bale</t>
  </si>
  <si>
    <t>Cotton</t>
  </si>
  <si>
    <t>Cloth</t>
  </si>
  <si>
    <t>Ghee</t>
  </si>
  <si>
    <t>Box/Dubba/Tin</t>
  </si>
  <si>
    <t>gallon</t>
  </si>
  <si>
    <t>Oil of all kinds</t>
  </si>
  <si>
    <t>Box/Dubba</t>
  </si>
  <si>
    <t>Gunpowder</t>
  </si>
  <si>
    <t>Maund</t>
  </si>
  <si>
    <t>Grain, Flour</t>
  </si>
  <si>
    <t>Oil seeds</t>
  </si>
  <si>
    <t>Wine</t>
  </si>
  <si>
    <t>Case/Cask</t>
  </si>
  <si>
    <t>Twist and yarn</t>
  </si>
  <si>
    <t>Bale</t>
  </si>
  <si>
    <t>Package</t>
  </si>
  <si>
    <t>Bundle</t>
  </si>
  <si>
    <t>cwt.</t>
  </si>
  <si>
    <t>Skins</t>
  </si>
  <si>
    <t>bundle</t>
  </si>
  <si>
    <t>piece</t>
  </si>
  <si>
    <t>chest</t>
  </si>
  <si>
    <t>Seeds</t>
  </si>
  <si>
    <t>Silk (all relevant)</t>
  </si>
  <si>
    <t>Silk, goods</t>
  </si>
  <si>
    <t>package</t>
  </si>
  <si>
    <t>Wool</t>
  </si>
  <si>
    <t>Cotton, piece-goods</t>
  </si>
  <si>
    <t>Glass and wares</t>
  </si>
  <si>
    <t>Paper</t>
  </si>
  <si>
    <t>cwts.</t>
  </si>
  <si>
    <r>
      <rPr>
        <sz val="11"/>
        <rFont val="Calibri"/>
        <family val="2"/>
        <scheme val="minor"/>
      </rPr>
      <t xml:space="preserve">Kerosene oil </t>
    </r>
  </si>
  <si>
    <t>drum / tin</t>
  </si>
  <si>
    <t>Spices</t>
  </si>
  <si>
    <t>Wool. cloth</t>
  </si>
  <si>
    <t>Case</t>
  </si>
  <si>
    <t>=(154570Batmans+5916DozSkein)</t>
  </si>
  <si>
    <t>=(632399Batmans+545630Pieces)</t>
  </si>
  <si>
    <t>=(1692Batmans+54Pieces)</t>
  </si>
  <si>
    <t>=(3970+4474+980)Batmans+(338Cases)</t>
  </si>
  <si>
    <t>Other skins</t>
  </si>
  <si>
    <t>Middle East, Imports and Exports, 1824-1913</t>
  </si>
  <si>
    <t>This spreadsheet was put together by Robert Allen in April, 2018.</t>
  </si>
  <si>
    <r>
      <t xml:space="preserve">Prices and values are in </t>
    </r>
    <r>
      <rPr>
        <b/>
        <i/>
        <sz val="10"/>
        <rFont val="Arial"/>
        <family val="2"/>
      </rPr>
      <t>pounds sterling</t>
    </r>
    <r>
      <rPr>
        <sz val="10"/>
        <rFont val="Arial"/>
        <family val="2"/>
      </rPr>
      <t>.</t>
    </r>
  </si>
  <si>
    <t>There are important issues regarding the accuracy of the returns in view of their provencance and the incentives to underreport values and evade taxation.</t>
  </si>
  <si>
    <t>Some errors were detected in the process and corrected. Please note that observations not recorded for some of the years listed above were not available in the source reports.</t>
  </si>
  <si>
    <t>Sheets:</t>
  </si>
  <si>
    <t>- reduces the adjusted data on imports to prices in single series for each commodity.</t>
  </si>
  <si>
    <t>- reduces the adjusted data on exports to prices in single series for each commodity.</t>
  </si>
  <si>
    <t>- rearranges the adjusted data on bazaar (local) prices in single series for each commodity.</t>
  </si>
  <si>
    <t>Imports - Data (Raw &amp; Adjusted)</t>
  </si>
  <si>
    <t>Exports - Data (Raw &amp; Adjusted)</t>
  </si>
  <si>
    <t>- contains the raw and adjusted data on prices from bazaar (local) taken directly from the sources described below.</t>
  </si>
  <si>
    <t>Sources:</t>
  </si>
  <si>
    <t>Reports of British consuls published in: the British House of Commons papers in the diplomatic &amp; consular reports on trade and finance.</t>
  </si>
  <si>
    <t>Robert White Stevens, On the Stowage of Ships and their Cargoes, London, Longmans, Green, &amp; Co., 7th edition, 1894.</t>
  </si>
  <si>
    <t xml:space="preserve"> </t>
  </si>
  <si>
    <r>
      <t xml:space="preserve">This spreadsheet lists the </t>
    </r>
    <r>
      <rPr>
        <b/>
        <i/>
        <sz val="10"/>
        <rFont val="Arial"/>
        <family val="2"/>
      </rPr>
      <t>prices, quantities</t>
    </r>
    <r>
      <rPr>
        <sz val="10"/>
        <rFont val="Arial"/>
        <family val="2"/>
      </rPr>
      <t xml:space="preserve"> and </t>
    </r>
    <r>
      <rPr>
        <b/>
        <i/>
        <sz val="10"/>
        <rFont val="Arial"/>
        <family val="2"/>
      </rPr>
      <t>values</t>
    </r>
    <r>
      <rPr>
        <sz val="10"/>
        <rFont val="Arial"/>
        <family val="2"/>
      </rPr>
      <t xml:space="preserve"> of </t>
    </r>
    <r>
      <rPr>
        <b/>
        <i/>
        <sz val="10"/>
        <rFont val="Arial"/>
        <family val="2"/>
      </rPr>
      <t xml:space="preserve">imports </t>
    </r>
    <r>
      <rPr>
        <sz val="10"/>
        <rFont val="Arial"/>
        <family val="2"/>
      </rPr>
      <t xml:space="preserve">and </t>
    </r>
    <r>
      <rPr>
        <b/>
        <i/>
        <sz val="10"/>
        <rFont val="Arial"/>
        <family val="2"/>
      </rPr>
      <t xml:space="preserve">exports </t>
    </r>
    <r>
      <rPr>
        <sz val="10"/>
        <rFont val="Arial"/>
        <family val="2"/>
      </rPr>
      <t xml:space="preserve">in the city of </t>
    </r>
    <r>
      <rPr>
        <b/>
        <i/>
        <sz val="10"/>
        <rFont val="Arial"/>
        <family val="2"/>
      </rPr>
      <t xml:space="preserve">Kermanshah </t>
    </r>
    <r>
      <rPr>
        <sz val="10"/>
        <rFont val="Arial"/>
        <family val="2"/>
      </rPr>
      <t>from</t>
    </r>
    <r>
      <rPr>
        <b/>
        <i/>
        <sz val="10"/>
        <rFont val="Arial"/>
        <family val="2"/>
      </rPr>
      <t xml:space="preserve"> 1896-97 </t>
    </r>
    <r>
      <rPr>
        <sz val="10"/>
        <rFont val="Arial"/>
        <family val="2"/>
      </rPr>
      <t>to</t>
    </r>
    <r>
      <rPr>
        <b/>
        <i/>
        <sz val="10"/>
        <rFont val="Arial"/>
        <family val="2"/>
      </rPr>
      <t xml:space="preserve"> 1912-13</t>
    </r>
    <r>
      <rPr>
        <sz val="10"/>
        <rFont val="Arial"/>
        <family val="2"/>
      </rPr>
      <t>.  The data were compiled by British consuls.</t>
    </r>
  </si>
  <si>
    <t xml:space="preserve">Kermanshah - Prices (Imports) </t>
  </si>
  <si>
    <t xml:space="preserve">Kermanshah - Prices (Exports) </t>
  </si>
  <si>
    <t>packet</t>
  </si>
  <si>
    <t>number</t>
  </si>
  <si>
    <t>Wood, manufactured</t>
  </si>
  <si>
    <r>
      <rPr>
        <i/>
        <sz val="12"/>
        <color theme="1"/>
        <rFont val="Calibri"/>
        <family val="2"/>
        <scheme val="minor"/>
      </rPr>
      <t>into</t>
    </r>
    <r>
      <rPr>
        <sz val="12"/>
        <color theme="1"/>
        <rFont val="Calibri"/>
        <family val="2"/>
        <scheme val="minor"/>
      </rPr>
      <t xml:space="preserve"> Kermanshah </t>
    </r>
    <r>
      <rPr>
        <i/>
        <sz val="12"/>
        <color theme="1"/>
        <rFont val="Calibri"/>
        <family val="2"/>
        <scheme val="minor"/>
      </rPr>
      <t>via</t>
    </r>
    <r>
      <rPr>
        <sz val="12"/>
        <color theme="1"/>
        <rFont val="Calibri"/>
        <family val="2"/>
        <scheme val="minor"/>
      </rPr>
      <t xml:space="preserve"> Turkey, 1903-04</t>
    </r>
  </si>
  <si>
    <t xml:space="preserve">Leatherware </t>
  </si>
  <si>
    <t>Change in unit of quantity</t>
  </si>
  <si>
    <t>Color Legend</t>
  </si>
  <si>
    <t>- mentions reason for colors of highlighted cells.</t>
  </si>
  <si>
    <t>Suspected data entries or invalid / unavailable conversion units</t>
  </si>
  <si>
    <t>Kermanshah - Prices (Bazaar-Local)</t>
  </si>
  <si>
    <t>Bazaar (Local) - Prices (Raw &amp; Adjusted)</t>
  </si>
  <si>
    <t>- contains the raw and adjusted units for commodities and currencies of prices, quantities and values of imports taken from the sources described below.</t>
  </si>
  <si>
    <t>- contains the raw and adjusted units for commodities and currencies of prices, quantities and values of exports taken from the sources described below.</t>
  </si>
  <si>
    <t>Metalwares</t>
  </si>
  <si>
    <t>Skins, lamb</t>
  </si>
  <si>
    <t>Metals, enamelled</t>
  </si>
  <si>
    <t>Tin, in plates</t>
  </si>
  <si>
    <t>Cotton, yarns</t>
  </si>
  <si>
    <t>Tulles</t>
  </si>
  <si>
    <t>Velvets and plushes</t>
  </si>
  <si>
    <t>Textiles, embroidered</t>
  </si>
  <si>
    <t xml:space="preserve">Skins, prepared (leather) </t>
  </si>
  <si>
    <t>Colours, dyes and varnishes (including paints)</t>
  </si>
  <si>
    <t>Tobacco, tumbeki</t>
  </si>
  <si>
    <t>Tin, lead and zinc</t>
  </si>
  <si>
    <t>Tobacco, Tumbeki</t>
  </si>
  <si>
    <t>half load</t>
  </si>
  <si>
    <t>long ton</t>
  </si>
  <si>
    <t>metric ton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</si>
</sst>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_(* #,##0_);_(* \(#,##0\);_(* &quot;-&quot;??_);_(@_)"/>
    <numFmt numFmtId="165" formatCode="0.0000"/>
    <numFmt numFmtId="166" formatCode="_(* #,##0.0000_);_(* \(#,##0.0000\);_(* &quot;-&quot;??_);_(@_)"/>
    <numFmt numFmtId="167" formatCode="0.000"/>
    <numFmt numFmtId="168" formatCode="0.0"/>
  </numFmts>
  <fonts count="28" x14ac:knownFonts="1">
    <font>
      <sz val="11"/>
      <color theme="1"/>
      <name val="Calibri"/>
      <family val="2"/>
      <scheme val="minor"/>
    </font>
    <font>
      <sz val="12"/>
      <color theme="1"/>
      <name val="Calibri"/>
      <family val="2"/>
    </font>
    <font>
      <b/>
      <sz val="11"/>
      <color theme="1"/>
      <name val="Calibri"/>
      <family val="2"/>
      <scheme val="minor"/>
    </font>
    <font>
      <i/>
      <sz val="11"/>
      <color theme="1"/>
      <name val="Calibri"/>
      <family val="2"/>
      <scheme val="minor"/>
    </font>
    <font>
      <sz val="11"/>
      <name val="Calibri"/>
      <family val="2"/>
      <scheme val="minor"/>
    </font>
    <font>
      <sz val="11"/>
      <color theme="1"/>
      <name val="Calibri"/>
      <family val="2"/>
      <charset val="204"/>
      <scheme val="minor"/>
    </font>
    <font>
      <sz val="11"/>
      <color theme="1"/>
      <name val="Calibri"/>
      <family val="2"/>
      <scheme val="minor"/>
    </font>
    <font>
      <sz val="12"/>
      <color theme="1"/>
      <name val="Calibri"/>
      <family val="2"/>
      <scheme val="minor"/>
    </font>
    <font>
      <sz val="12"/>
      <color rgb="FF000000"/>
      <name val="Calibri"/>
      <family val="2"/>
      <scheme val="minor"/>
    </font>
    <font>
      <sz val="11"/>
      <color rgb="FF000000"/>
      <name val="Calibri"/>
      <family val="2"/>
    </font>
    <font>
      <sz val="11.5"/>
      <name val="Times New Roman"/>
      <family val="1"/>
    </font>
    <font>
      <b/>
      <sz val="11"/>
      <color rgb="FF000000"/>
      <name val="Calibri"/>
      <family val="2"/>
      <scheme val="minor"/>
    </font>
    <font>
      <sz val="9"/>
      <color indexed="81"/>
      <name val="Tahoma"/>
      <family val="2"/>
    </font>
    <font>
      <b/>
      <sz val="9"/>
      <color indexed="81"/>
      <name val="Tahoma"/>
      <family val="2"/>
    </font>
    <font>
      <i/>
      <sz val="11"/>
      <color rgb="FF000000"/>
      <name val="Calibri"/>
      <family val="2"/>
      <scheme val="minor"/>
    </font>
    <font>
      <i/>
      <sz val="12"/>
      <color theme="1"/>
      <name val="Calibri"/>
      <family val="2"/>
      <scheme val="minor"/>
    </font>
    <font>
      <sz val="10"/>
      <name val="Courier"/>
    </font>
    <font>
      <b/>
      <u/>
      <sz val="10"/>
      <color indexed="9"/>
      <name val="Arial"/>
      <family val="2"/>
    </font>
    <font>
      <sz val="10"/>
      <color indexed="9"/>
      <name val="Courier"/>
    </font>
    <font>
      <b/>
      <u/>
      <sz val="8"/>
      <name val="Arial"/>
      <family val="2"/>
    </font>
    <font>
      <sz val="8"/>
      <color indexed="9"/>
      <name val="Arial"/>
      <family val="2"/>
    </font>
    <font>
      <i/>
      <sz val="8"/>
      <color indexed="9"/>
      <name val="Arial"/>
      <family val="2"/>
    </font>
    <font>
      <b/>
      <i/>
      <sz val="8"/>
      <color indexed="9"/>
      <name val="Arial"/>
      <family val="2"/>
    </font>
    <font>
      <i/>
      <sz val="8"/>
      <name val="Arial"/>
      <family val="2"/>
    </font>
    <font>
      <sz val="8"/>
      <name val="Arial"/>
      <family val="2"/>
    </font>
    <font>
      <sz val="10"/>
      <name val="Arial"/>
      <family val="2"/>
    </font>
    <font>
      <b/>
      <i/>
      <sz val="10"/>
      <name val="Arial"/>
      <family val="2"/>
    </font>
    <font>
      <i/>
      <sz val="10"/>
      <name val="Arial"/>
      <family val="2"/>
    </font>
  </fonts>
  <fills count="5">
    <fill>
      <patternFill patternType="none"/>
    </fill>
    <fill>
      <patternFill patternType="gray125"/>
    </fill>
    <fill>
      <patternFill patternType="solid">
        <fgColor theme="6" tint="0.39997558519241921"/>
        <bgColor indexed="64"/>
      </patternFill>
    </fill>
    <fill>
      <patternFill patternType="solid">
        <fgColor indexed="58"/>
      </patternFill>
    </fill>
    <fill>
      <patternFill patternType="solid">
        <fgColor rgb="FFFFFF00"/>
        <bgColor indexed="64"/>
      </patternFill>
    </fill>
  </fills>
  <borders count="1">
    <border>
      <left/>
      <right/>
      <top/>
      <bottom/>
      <diagonal/>
    </border>
  </borders>
  <cellStyleXfs count="5">
    <xf numFmtId="0" fontId="0" fillId="0" borderId="0"/>
    <xf numFmtId="43" fontId="6" fillId="0" borderId="0" applyFont="0" applyFill="0" applyBorder="0" applyAlignment="0" applyProtection="0"/>
    <xf numFmtId="0" fontId="9" fillId="0" borderId="0"/>
    <xf numFmtId="0" fontId="16" fillId="0" borderId="0">
      <alignment vertical="top"/>
    </xf>
    <xf numFmtId="0" fontId="25" fillId="0" borderId="0">
      <alignment vertical="top"/>
    </xf>
  </cellStyleXfs>
  <cellXfs count="115">
    <xf numFmtId="0" fontId="0" fillId="0" borderId="0" xfId="0"/>
    <xf numFmtId="3" fontId="0" fillId="0" borderId="0" xfId="0" applyNumberFormat="1"/>
    <xf numFmtId="3" fontId="0" fillId="0" borderId="0" xfId="0" applyNumberFormat="1" applyFill="1"/>
    <xf numFmtId="0" fontId="0" fillId="0" borderId="0" xfId="0" applyFill="1"/>
    <xf numFmtId="0" fontId="3" fillId="0" borderId="0" xfId="0" applyFont="1"/>
    <xf numFmtId="0" fontId="0" fillId="0" borderId="0" xfId="0" applyFont="1"/>
    <xf numFmtId="2" fontId="0" fillId="0" borderId="0" xfId="0" applyNumberFormat="1"/>
    <xf numFmtId="0" fontId="7" fillId="0" borderId="0" xfId="0" applyFont="1"/>
    <xf numFmtId="0" fontId="8" fillId="0" borderId="0" xfId="0" applyFont="1"/>
    <xf numFmtId="0" fontId="8" fillId="0" borderId="0" xfId="0" applyFont="1" applyFill="1" applyAlignment="1">
      <alignment horizontal="center"/>
    </xf>
    <xf numFmtId="164" fontId="8" fillId="0" borderId="0" xfId="1" applyNumberFormat="1" applyFont="1" applyFill="1" applyAlignment="1">
      <alignment horizontal="center"/>
    </xf>
    <xf numFmtId="164" fontId="0" fillId="0" borderId="0" xfId="1" applyNumberFormat="1" applyFont="1" applyFill="1"/>
    <xf numFmtId="164" fontId="1" fillId="0" borderId="0" xfId="1" applyNumberFormat="1" applyFont="1" applyFill="1" applyBorder="1"/>
    <xf numFmtId="164" fontId="5" fillId="0" borderId="0" xfId="1" applyNumberFormat="1" applyFont="1" applyFill="1"/>
    <xf numFmtId="0" fontId="2" fillId="0" borderId="0" xfId="0" applyFont="1" applyFill="1"/>
    <xf numFmtId="0" fontId="0" fillId="0" borderId="0" xfId="0" applyFont="1" applyFill="1"/>
    <xf numFmtId="0" fontId="0" fillId="0" borderId="0" xfId="0" applyFont="1" applyFill="1" applyBorder="1"/>
    <xf numFmtId="0" fontId="11" fillId="0" borderId="0" xfId="0" applyFont="1" applyFill="1" applyBorder="1" applyAlignment="1">
      <alignment horizontal="center" vertical="center"/>
    </xf>
    <xf numFmtId="164" fontId="4" fillId="0" borderId="0" xfId="1" applyNumberFormat="1" applyFont="1" applyBorder="1" applyAlignment="1">
      <alignment horizontal="right" vertical="center" wrapText="1"/>
    </xf>
    <xf numFmtId="0" fontId="0" fillId="0" borderId="0" xfId="0" applyFill="1" applyAlignment="1">
      <alignment horizontal="left"/>
    </xf>
    <xf numFmtId="164" fontId="4" fillId="0" borderId="0" xfId="1" applyNumberFormat="1" applyFont="1" applyBorder="1" applyAlignment="1">
      <alignment horizontal="left" vertical="center" wrapText="1"/>
    </xf>
    <xf numFmtId="0" fontId="10" fillId="0" borderId="0" xfId="0" applyFont="1" applyBorder="1" applyAlignment="1">
      <alignment horizontal="left" vertical="top"/>
    </xf>
    <xf numFmtId="0" fontId="7" fillId="0" borderId="0" xfId="0" applyFont="1" applyAlignment="1"/>
    <xf numFmtId="164" fontId="7" fillId="0" borderId="0" xfId="1" applyNumberFormat="1" applyFont="1" applyAlignment="1"/>
    <xf numFmtId="164" fontId="7" fillId="0" borderId="0" xfId="1" applyNumberFormat="1" applyFont="1" applyFill="1" applyBorder="1" applyAlignment="1">
      <alignment vertical="center" wrapText="1"/>
    </xf>
    <xf numFmtId="164" fontId="14" fillId="0" borderId="0" xfId="1" applyNumberFormat="1" applyFont="1" applyFill="1" applyAlignment="1">
      <alignment horizontal="left"/>
    </xf>
    <xf numFmtId="1" fontId="0" fillId="0" borderId="0" xfId="0" applyNumberFormat="1"/>
    <xf numFmtId="164" fontId="0" fillId="0" borderId="0" xfId="1" applyNumberFormat="1" applyFont="1" applyFill="1" applyBorder="1" applyAlignment="1">
      <alignment vertical="center" wrapText="1"/>
    </xf>
    <xf numFmtId="0" fontId="7" fillId="0" borderId="0" xfId="0" applyFont="1" applyFill="1" applyBorder="1" applyAlignment="1">
      <alignment vertical="center"/>
    </xf>
    <xf numFmtId="1" fontId="10" fillId="0" borderId="0" xfId="0" applyNumberFormat="1" applyFont="1" applyBorder="1" applyAlignment="1">
      <alignment horizontal="left" vertical="top"/>
    </xf>
    <xf numFmtId="164" fontId="4" fillId="0" borderId="0" xfId="1" applyNumberFormat="1" applyFont="1" applyFill="1" applyBorder="1" applyAlignment="1">
      <alignment horizontal="left" vertical="center" wrapText="1"/>
    </xf>
    <xf numFmtId="0" fontId="3" fillId="0" borderId="0" xfId="0" applyFont="1" applyFill="1"/>
    <xf numFmtId="0" fontId="7" fillId="0" borderId="0" xfId="0" applyFont="1" applyAlignment="1">
      <alignment horizontal="center"/>
    </xf>
    <xf numFmtId="0" fontId="7" fillId="0" borderId="0" xfId="0" applyFont="1" applyFill="1"/>
    <xf numFmtId="164" fontId="4" fillId="0" borderId="0" xfId="1" applyNumberFormat="1" applyFont="1" applyFill="1" applyBorder="1" applyAlignment="1">
      <alignment horizontal="right" vertical="center" wrapText="1"/>
    </xf>
    <xf numFmtId="0" fontId="10" fillId="0" borderId="0" xfId="0" applyFont="1" applyBorder="1" applyAlignment="1">
      <alignment horizontal="right" vertical="top"/>
    </xf>
    <xf numFmtId="1" fontId="10" fillId="0" borderId="0" xfId="0" applyNumberFormat="1" applyFont="1" applyBorder="1" applyAlignment="1">
      <alignment horizontal="right" vertical="top"/>
    </xf>
    <xf numFmtId="3" fontId="10" fillId="0" borderId="0" xfId="0" applyNumberFormat="1" applyFont="1" applyBorder="1" applyAlignment="1">
      <alignment horizontal="right" vertical="top"/>
    </xf>
    <xf numFmtId="0" fontId="0" fillId="0" borderId="0" xfId="0" applyFill="1" applyBorder="1"/>
    <xf numFmtId="1" fontId="0" fillId="0" borderId="0" xfId="0" applyNumberFormat="1" applyFont="1" applyFill="1"/>
    <xf numFmtId="0" fontId="0" fillId="2" borderId="0" xfId="0" applyFont="1" applyFill="1"/>
    <xf numFmtId="2" fontId="0" fillId="0" borderId="0" xfId="0" applyNumberFormat="1" applyFont="1"/>
    <xf numFmtId="165" fontId="5" fillId="0" borderId="0" xfId="1" applyNumberFormat="1" applyFont="1" applyFill="1"/>
    <xf numFmtId="2" fontId="5" fillId="0" borderId="0" xfId="1" applyNumberFormat="1" applyFont="1" applyFill="1"/>
    <xf numFmtId="164" fontId="4" fillId="0" borderId="0" xfId="1" quotePrefix="1" applyNumberFormat="1" applyFont="1" applyFill="1" applyBorder="1" applyAlignment="1">
      <alignment horizontal="right" wrapText="1"/>
    </xf>
    <xf numFmtId="0" fontId="3" fillId="0" borderId="0" xfId="0" applyFont="1" applyFill="1" applyAlignment="1">
      <alignment horizontal="left" vertical="center"/>
    </xf>
    <xf numFmtId="2" fontId="0" fillId="0" borderId="0" xfId="0" applyNumberFormat="1" applyFill="1" applyAlignment="1">
      <alignment horizontal="right" vertical="center"/>
    </xf>
    <xf numFmtId="0" fontId="17" fillId="0" borderId="0" xfId="3" applyFont="1" applyBorder="1" applyAlignment="1">
      <alignment horizontal="left" vertical="center"/>
    </xf>
    <xf numFmtId="0" fontId="16" fillId="0" borderId="0" xfId="3" applyAlignment="1"/>
    <xf numFmtId="0" fontId="18" fillId="0" borderId="0" xfId="3" applyFont="1" applyAlignment="1"/>
    <xf numFmtId="0" fontId="19" fillId="0" borderId="0" xfId="3" applyFont="1" applyFill="1" applyBorder="1" applyAlignment="1">
      <alignment horizontal="left" vertical="center"/>
    </xf>
    <xf numFmtId="0" fontId="20" fillId="0" borderId="0" xfId="3" applyFont="1" applyBorder="1" applyAlignment="1">
      <alignment horizontal="right"/>
    </xf>
    <xf numFmtId="0" fontId="21" fillId="3" borderId="0" xfId="3" applyFont="1" applyFill="1" applyBorder="1" applyAlignment="1">
      <alignment horizontal="left"/>
    </xf>
    <xf numFmtId="0" fontId="20" fillId="3" borderId="0" xfId="3" applyFont="1" applyFill="1" applyBorder="1" applyAlignment="1">
      <alignment horizontal="center"/>
    </xf>
    <xf numFmtId="0" fontId="20" fillId="0" borderId="0" xfId="3" applyFont="1" applyBorder="1" applyAlignment="1">
      <alignment horizontal="center"/>
    </xf>
    <xf numFmtId="0" fontId="21" fillId="3" borderId="0" xfId="3" applyFont="1" applyFill="1" applyBorder="1" applyAlignment="1">
      <alignment horizontal="left" wrapText="1"/>
    </xf>
    <xf numFmtId="0" fontId="20" fillId="0" borderId="0" xfId="3" applyFont="1" applyBorder="1" applyAlignment="1">
      <alignment horizontal="left"/>
    </xf>
    <xf numFmtId="0" fontId="20" fillId="3" borderId="0" xfId="3" applyFont="1" applyFill="1" applyBorder="1" applyAlignment="1">
      <alignment horizontal="left"/>
    </xf>
    <xf numFmtId="0" fontId="18" fillId="0" borderId="0" xfId="3" applyFont="1" applyAlignment="1">
      <alignment horizontal="left"/>
    </xf>
    <xf numFmtId="0" fontId="21" fillId="3" borderId="0" xfId="3" applyFont="1" applyFill="1" applyBorder="1" applyAlignment="1">
      <alignment horizontal="right"/>
    </xf>
    <xf numFmtId="0" fontId="23" fillId="0" borderId="0" xfId="3" applyFont="1" applyBorder="1" applyAlignment="1">
      <alignment horizontal="right"/>
    </xf>
    <xf numFmtId="0" fontId="24" fillId="0" borderId="0" xfId="3" applyFont="1" applyBorder="1" applyAlignment="1">
      <alignment horizontal="center"/>
    </xf>
    <xf numFmtId="0" fontId="20" fillId="3" borderId="0" xfId="3" applyFont="1" applyFill="1" applyBorder="1" applyAlignment="1" applyProtection="1">
      <alignment horizontal="right"/>
    </xf>
    <xf numFmtId="165" fontId="24" fillId="0" borderId="0" xfId="3" applyNumberFormat="1" applyFont="1" applyBorder="1" applyAlignment="1" applyProtection="1">
      <alignment horizontal="center"/>
    </xf>
    <xf numFmtId="2" fontId="24" fillId="0" borderId="0" xfId="3" applyNumberFormat="1" applyFont="1" applyBorder="1" applyAlignment="1" applyProtection="1">
      <alignment horizontal="center"/>
    </xf>
    <xf numFmtId="0" fontId="16" fillId="0" borderId="0" xfId="3" applyAlignment="1" applyProtection="1"/>
    <xf numFmtId="0" fontId="24" fillId="0" borderId="0" xfId="3" applyFont="1" applyBorder="1" applyAlignment="1" applyProtection="1">
      <alignment horizontal="center"/>
    </xf>
    <xf numFmtId="166" fontId="4" fillId="0" borderId="0" xfId="1" applyNumberFormat="1" applyFont="1" applyFill="1" applyBorder="1" applyAlignment="1">
      <alignment horizontal="right" vertical="center" wrapText="1"/>
    </xf>
    <xf numFmtId="0" fontId="0" fillId="4" borderId="0" xfId="0" applyFont="1" applyFill="1"/>
    <xf numFmtId="0" fontId="16" fillId="4" borderId="0" xfId="3" applyFill="1" applyAlignment="1"/>
    <xf numFmtId="165" fontId="0" fillId="0" borderId="0" xfId="0" applyNumberFormat="1"/>
    <xf numFmtId="165" fontId="0" fillId="0" borderId="0" xfId="0" applyNumberFormat="1" applyFill="1"/>
    <xf numFmtId="2" fontId="0" fillId="0" borderId="0" xfId="0" applyNumberFormat="1" applyFill="1"/>
    <xf numFmtId="0" fontId="0" fillId="0" borderId="0" xfId="0" applyFill="1" applyAlignment="1">
      <alignment vertical="center"/>
    </xf>
    <xf numFmtId="4" fontId="0" fillId="0" borderId="0" xfId="0" applyNumberFormat="1" applyFill="1"/>
    <xf numFmtId="164" fontId="4" fillId="0" borderId="0" xfId="1" quotePrefix="1" applyNumberFormat="1" applyFont="1" applyFill="1" applyBorder="1" applyAlignment="1">
      <alignment horizontal="left" wrapText="1"/>
    </xf>
    <xf numFmtId="164" fontId="4" fillId="0" borderId="0" xfId="1" quotePrefix="1" applyNumberFormat="1" applyFont="1" applyFill="1" applyBorder="1" applyAlignment="1">
      <alignment horizontal="left"/>
    </xf>
    <xf numFmtId="0" fontId="8" fillId="0" borderId="0" xfId="0" applyFont="1" applyFill="1"/>
    <xf numFmtId="1" fontId="4" fillId="0" borderId="0" xfId="1" applyNumberFormat="1" applyFont="1" applyFill="1" applyBorder="1" applyAlignment="1">
      <alignment horizontal="left" vertical="center" wrapText="1"/>
    </xf>
    <xf numFmtId="2" fontId="0" fillId="0" borderId="0" xfId="0" applyNumberFormat="1" applyFill="1" applyAlignment="1">
      <alignment horizontal="right" vertical="center"/>
    </xf>
    <xf numFmtId="0" fontId="21" fillId="0" borderId="0" xfId="3" applyFont="1" applyBorder="1" applyAlignment="1">
      <alignment horizontal="left" wrapText="1"/>
    </xf>
    <xf numFmtId="0" fontId="22" fillId="3" borderId="0" xfId="3" applyFont="1" applyFill="1" applyBorder="1" applyAlignment="1">
      <alignment horizontal="left" wrapText="1"/>
    </xf>
    <xf numFmtId="0" fontId="22" fillId="0" borderId="0" xfId="3" applyFont="1" applyBorder="1" applyAlignment="1">
      <alignment horizontal="left" wrapText="1"/>
    </xf>
    <xf numFmtId="0" fontId="21" fillId="0" borderId="0" xfId="3" applyFont="1" applyAlignment="1">
      <alignment horizontal="left" wrapText="1"/>
    </xf>
    <xf numFmtId="165" fontId="24" fillId="0" borderId="0" xfId="3" applyNumberFormat="1" applyFont="1" applyFill="1" applyBorder="1" applyAlignment="1" applyProtection="1">
      <alignment horizontal="center"/>
    </xf>
    <xf numFmtId="0" fontId="8" fillId="4" borderId="0" xfId="0" applyFont="1" applyFill="1"/>
    <xf numFmtId="43" fontId="4" fillId="0" borderId="0" xfId="1" applyNumberFormat="1" applyFont="1" applyFill="1" applyBorder="1" applyAlignment="1">
      <alignment horizontal="right" vertical="center" wrapText="1"/>
    </xf>
    <xf numFmtId="0" fontId="25" fillId="0" borderId="0" xfId="4" applyFont="1" applyAlignment="1"/>
    <xf numFmtId="0" fontId="25" fillId="0" borderId="0" xfId="4" applyAlignment="1"/>
    <xf numFmtId="0" fontId="25" fillId="0" borderId="0" xfId="4" applyFont="1" applyBorder="1" applyAlignment="1"/>
    <xf numFmtId="0" fontId="25" fillId="0" borderId="0" xfId="4" applyBorder="1" applyAlignment="1"/>
    <xf numFmtId="0" fontId="27" fillId="0" borderId="0" xfId="4" applyFont="1" applyAlignment="1"/>
    <xf numFmtId="0" fontId="25" fillId="0" borderId="0" xfId="4" quotePrefix="1" applyFont="1" applyAlignment="1"/>
    <xf numFmtId="0" fontId="25" fillId="0" borderId="0" xfId="4" applyFont="1" applyAlignment="1">
      <alignment horizontal="left"/>
    </xf>
    <xf numFmtId="167" fontId="0" fillId="0" borderId="0" xfId="0" applyNumberFormat="1" applyFont="1" applyFill="1"/>
    <xf numFmtId="0" fontId="4" fillId="2" borderId="0" xfId="0" applyFont="1" applyFill="1" applyBorder="1" applyAlignment="1">
      <alignment horizontal="left" vertical="top"/>
    </xf>
    <xf numFmtId="0" fontId="4" fillId="4" borderId="0" xfId="0" applyFont="1" applyFill="1" applyBorder="1" applyAlignment="1">
      <alignment horizontal="left" vertical="top"/>
    </xf>
    <xf numFmtId="0" fontId="21" fillId="0" borderId="0" xfId="3" applyFont="1" applyBorder="1" applyAlignment="1">
      <alignment horizontal="right" wrapText="1"/>
    </xf>
    <xf numFmtId="0" fontId="22" fillId="3" borderId="0" xfId="3" applyFont="1" applyFill="1" applyBorder="1" applyAlignment="1">
      <alignment horizontal="center" wrapText="1"/>
    </xf>
    <xf numFmtId="0" fontId="22" fillId="0" borderId="0" xfId="3" applyFont="1" applyBorder="1" applyAlignment="1">
      <alignment horizontal="center" wrapText="1"/>
    </xf>
    <xf numFmtId="0" fontId="21" fillId="0" borderId="0" xfId="3" applyFont="1" applyBorder="1" applyAlignment="1">
      <alignment horizontal="center" wrapText="1"/>
    </xf>
    <xf numFmtId="0" fontId="21" fillId="0" borderId="0" xfId="3" applyFont="1" applyAlignment="1">
      <alignment wrapText="1"/>
    </xf>
    <xf numFmtId="168" fontId="0" fillId="0" borderId="0" xfId="0" applyNumberFormat="1"/>
    <xf numFmtId="0" fontId="25" fillId="0" borderId="0" xfId="4" applyFont="1" applyAlignment="1">
      <alignment horizontal="left" vertical="top" wrapText="1"/>
    </xf>
    <xf numFmtId="0" fontId="25" fillId="0" borderId="0" xfId="4" applyFont="1" applyAlignment="1">
      <alignment horizontal="left"/>
    </xf>
    <xf numFmtId="0" fontId="0" fillId="0" borderId="0" xfId="0" applyFill="1" applyAlignment="1">
      <alignment horizontal="left" vertical="center"/>
    </xf>
    <xf numFmtId="0" fontId="0" fillId="0" borderId="0" xfId="0" applyAlignment="1">
      <alignment horizontal="left" vertical="center"/>
    </xf>
    <xf numFmtId="0" fontId="7" fillId="0" borderId="0" xfId="0" applyFont="1" applyAlignment="1">
      <alignment horizontal="center"/>
    </xf>
    <xf numFmtId="0" fontId="0" fillId="0" borderId="0" xfId="0" applyFont="1" applyFill="1" applyAlignment="1">
      <alignment horizontal="left" vertical="center"/>
    </xf>
    <xf numFmtId="0" fontId="0" fillId="0" borderId="0" xfId="0" applyFont="1" applyFill="1" applyAlignment="1">
      <alignment horizontal="right" vertical="center"/>
    </xf>
    <xf numFmtId="0" fontId="3" fillId="0" borderId="0" xfId="0" applyFont="1" applyFill="1" applyAlignment="1">
      <alignment horizontal="left" vertical="center" wrapText="1"/>
    </xf>
    <xf numFmtId="2" fontId="0" fillId="0" borderId="0" xfId="0" applyNumberFormat="1" applyFill="1" applyAlignment="1">
      <alignment horizontal="right" vertical="center"/>
    </xf>
    <xf numFmtId="0" fontId="3" fillId="0" borderId="0" xfId="0" applyFont="1" applyFill="1" applyAlignment="1">
      <alignment horizontal="left" vertical="center"/>
    </xf>
    <xf numFmtId="0" fontId="0" fillId="0" borderId="0" xfId="0" applyFill="1" applyAlignment="1">
      <alignment horizontal="right" vertical="center"/>
    </xf>
    <xf numFmtId="0" fontId="7" fillId="0" borderId="0" xfId="0" applyFont="1" applyFill="1" applyBorder="1" applyAlignment="1">
      <alignment horizontal="left" vertical="center"/>
    </xf>
  </cellXfs>
  <cellStyles count="5">
    <cellStyle name="Comma" xfId="1" builtinId="3"/>
    <cellStyle name="Normal" xfId="0" builtinId="0"/>
    <cellStyle name="Normal 2" xfId="2"/>
    <cellStyle name="Normal 3" xfId="3"/>
    <cellStyle name="Normal 4"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tabSelected="1" workbookViewId="0">
      <selection activeCell="A20" sqref="A20:P20"/>
    </sheetView>
  </sheetViews>
  <sheetFormatPr defaultRowHeight="13.2" x14ac:dyDescent="0.25"/>
  <cols>
    <col min="1" max="2" width="8.88671875" style="88"/>
    <col min="3" max="3" width="17.109375" style="88" customWidth="1"/>
    <col min="4" max="16384" width="8.88671875" style="88"/>
  </cols>
  <sheetData>
    <row r="1" spans="1:4" x14ac:dyDescent="0.25">
      <c r="A1" s="87" t="s">
        <v>234</v>
      </c>
    </row>
    <row r="2" spans="1:4" x14ac:dyDescent="0.25">
      <c r="A2" s="87" t="s">
        <v>235</v>
      </c>
    </row>
    <row r="4" spans="1:4" x14ac:dyDescent="0.25">
      <c r="A4" s="87" t="s">
        <v>250</v>
      </c>
    </row>
    <row r="5" spans="1:4" x14ac:dyDescent="0.25">
      <c r="A5" s="87" t="s">
        <v>236</v>
      </c>
    </row>
    <row r="6" spans="1:4" s="90" customFormat="1" x14ac:dyDescent="0.25">
      <c r="A6" s="89"/>
    </row>
    <row r="7" spans="1:4" x14ac:dyDescent="0.25">
      <c r="A7" s="87" t="s">
        <v>237</v>
      </c>
    </row>
    <row r="8" spans="1:4" x14ac:dyDescent="0.25">
      <c r="A8" s="87" t="s">
        <v>238</v>
      </c>
    </row>
    <row r="9" spans="1:4" x14ac:dyDescent="0.25">
      <c r="A9" s="87"/>
    </row>
    <row r="10" spans="1:4" x14ac:dyDescent="0.25">
      <c r="A10" s="91" t="s">
        <v>239</v>
      </c>
    </row>
    <row r="11" spans="1:4" x14ac:dyDescent="0.25">
      <c r="A11" s="104" t="s">
        <v>251</v>
      </c>
      <c r="B11" s="104"/>
      <c r="C11" s="104"/>
      <c r="D11" s="92" t="s">
        <v>240</v>
      </c>
    </row>
    <row r="12" spans="1:4" x14ac:dyDescent="0.25">
      <c r="A12" s="104" t="s">
        <v>252</v>
      </c>
      <c r="B12" s="104"/>
      <c r="C12" s="104"/>
      <c r="D12" s="92" t="s">
        <v>241</v>
      </c>
    </row>
    <row r="13" spans="1:4" x14ac:dyDescent="0.25">
      <c r="A13" s="104" t="s">
        <v>262</v>
      </c>
      <c r="B13" s="104"/>
      <c r="C13" s="104"/>
      <c r="D13" s="92" t="s">
        <v>242</v>
      </c>
    </row>
    <row r="14" spans="1:4" x14ac:dyDescent="0.25">
      <c r="A14" s="104" t="s">
        <v>243</v>
      </c>
      <c r="B14" s="104"/>
      <c r="C14" s="104"/>
      <c r="D14" s="92" t="s">
        <v>264</v>
      </c>
    </row>
    <row r="15" spans="1:4" x14ac:dyDescent="0.25">
      <c r="A15" s="104" t="s">
        <v>244</v>
      </c>
      <c r="B15" s="104"/>
      <c r="C15" s="104"/>
      <c r="D15" s="92" t="s">
        <v>265</v>
      </c>
    </row>
    <row r="16" spans="1:4" x14ac:dyDescent="0.25">
      <c r="A16" s="93" t="s">
        <v>263</v>
      </c>
      <c r="B16" s="93"/>
      <c r="C16" s="93"/>
      <c r="D16" s="92" t="s">
        <v>245</v>
      </c>
    </row>
    <row r="17" spans="1:16" x14ac:dyDescent="0.25">
      <c r="A17" s="93" t="s">
        <v>259</v>
      </c>
      <c r="B17" s="93"/>
      <c r="C17" s="93"/>
      <c r="D17" s="92" t="s">
        <v>260</v>
      </c>
    </row>
    <row r="19" spans="1:16" x14ac:dyDescent="0.25">
      <c r="A19" s="91" t="s">
        <v>246</v>
      </c>
    </row>
    <row r="20" spans="1:16" x14ac:dyDescent="0.25">
      <c r="A20" s="103" t="s">
        <v>247</v>
      </c>
      <c r="B20" s="103"/>
      <c r="C20" s="103"/>
      <c r="D20" s="103"/>
      <c r="E20" s="103"/>
      <c r="F20" s="103"/>
      <c r="G20" s="103"/>
      <c r="H20" s="103"/>
      <c r="I20" s="103"/>
      <c r="J20" s="103"/>
      <c r="K20" s="103"/>
      <c r="L20" s="103"/>
      <c r="M20" s="103"/>
      <c r="N20" s="103"/>
      <c r="O20" s="103"/>
      <c r="P20" s="103"/>
    </row>
    <row r="21" spans="1:16" x14ac:dyDescent="0.25">
      <c r="A21" s="88" t="s">
        <v>248</v>
      </c>
    </row>
    <row r="22" spans="1:16" x14ac:dyDescent="0.25">
      <c r="C22" s="87" t="s">
        <v>249</v>
      </c>
    </row>
  </sheetData>
  <mergeCells count="6">
    <mergeCell ref="A20:P20"/>
    <mergeCell ref="A11:C11"/>
    <mergeCell ref="A12:C12"/>
    <mergeCell ref="A13:C13"/>
    <mergeCell ref="A14:C14"/>
    <mergeCell ref="A15:C15"/>
  </mergeCells>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O22"/>
  <sheetViews>
    <sheetView workbookViewId="0">
      <pane xSplit="2" ySplit="8" topLeftCell="C9" activePane="bottomRight" state="frozenSplit"/>
      <selection activeCell="AK6" sqref="AK6"/>
      <selection pane="topRight" activeCell="AK6" sqref="AK6"/>
      <selection pane="bottomLeft" activeCell="AK6" sqref="AK6"/>
      <selection pane="bottomRight" activeCell="L9" sqref="L9"/>
    </sheetView>
  </sheetViews>
  <sheetFormatPr defaultColWidth="9.6640625" defaultRowHeight="12" x14ac:dyDescent="0.2"/>
  <cols>
    <col min="1" max="1" width="6.44140625" style="49" customWidth="1"/>
    <col min="2" max="2" width="13.88671875" style="48" customWidth="1"/>
    <col min="3" max="3" width="7.44140625" style="48" customWidth="1"/>
    <col min="4" max="4" width="12.5546875" style="48" customWidth="1"/>
    <col min="5" max="5" width="12.109375" style="48" customWidth="1"/>
    <col min="6" max="6" width="13.6640625" style="48" customWidth="1"/>
    <col min="7" max="7" width="9.88671875" style="48" customWidth="1"/>
    <col min="8" max="8" width="12.109375" style="48" bestFit="1" customWidth="1"/>
    <col min="9" max="9" width="8.21875" style="48" customWidth="1"/>
    <col min="10" max="10" width="11.44140625" style="48" customWidth="1"/>
    <col min="11" max="11" width="12.88671875" style="48" customWidth="1"/>
    <col min="12" max="12" width="14" style="48" customWidth="1"/>
    <col min="13" max="13" width="12" style="48" customWidth="1"/>
    <col min="14" max="15" width="9.6640625" style="48"/>
    <col min="16" max="16" width="12.109375" style="48" customWidth="1"/>
    <col min="17" max="20" width="9.6640625" style="48"/>
    <col min="21" max="21" width="12" style="48" customWidth="1"/>
    <col min="22" max="22" width="11.109375" style="48" customWidth="1"/>
    <col min="23" max="23" width="12" style="48" customWidth="1"/>
    <col min="24" max="24" width="9.6640625" style="48"/>
    <col min="25" max="25" width="15.33203125" style="48" customWidth="1"/>
    <col min="26" max="26" width="15.21875" style="48" customWidth="1"/>
    <col min="27" max="27" width="13.77734375" style="48" customWidth="1"/>
    <col min="28" max="30" width="9.6640625" style="48"/>
    <col min="31" max="31" width="13.109375" style="48" customWidth="1"/>
    <col min="32" max="32" width="13.88671875" style="48" customWidth="1"/>
    <col min="33" max="34" width="9.6640625" style="48"/>
    <col min="35" max="35" width="13" style="48" customWidth="1"/>
    <col min="36" max="38" width="9.6640625" style="48"/>
    <col min="39" max="39" width="11.44140625" style="48" customWidth="1"/>
    <col min="40" max="40" width="11.109375" style="48" customWidth="1"/>
    <col min="41" max="43" width="9.6640625" style="48"/>
    <col min="44" max="44" width="8.77734375" style="48" customWidth="1"/>
    <col min="45" max="45" width="9.109375" style="48" customWidth="1"/>
    <col min="46" max="46" width="13.33203125" style="48" customWidth="1"/>
    <col min="47" max="47" width="13.88671875" style="48" customWidth="1"/>
    <col min="48" max="48" width="16" style="48" customWidth="1"/>
    <col min="49" max="49" width="11.5546875" style="48" customWidth="1"/>
    <col min="50" max="50" width="10.21875" style="48" customWidth="1"/>
    <col min="51" max="51" width="15.21875" style="48" customWidth="1"/>
    <col min="52" max="52" width="11.21875" style="48" customWidth="1"/>
    <col min="53" max="53" width="18.33203125" style="48" customWidth="1"/>
    <col min="54" max="54" width="19.21875" style="48" customWidth="1"/>
    <col min="55" max="56" width="13.21875" style="48" customWidth="1"/>
    <col min="57" max="57" width="10.88671875" style="48" customWidth="1"/>
    <col min="58" max="58" width="11.109375" style="48" customWidth="1"/>
    <col min="59" max="59" width="15.21875" style="48" customWidth="1"/>
    <col min="60" max="60" width="9.6640625" style="48"/>
    <col min="61" max="61" width="11" style="48" customWidth="1"/>
    <col min="62" max="62" width="10.77734375" style="48" customWidth="1"/>
    <col min="63" max="63" width="11.44140625" style="48" customWidth="1"/>
    <col min="64" max="64" width="10.44140625" style="48" customWidth="1"/>
    <col min="65" max="65" width="15.33203125" style="48" customWidth="1"/>
    <col min="66" max="255" width="9.6640625" style="48"/>
    <col min="256" max="256" width="6.44140625" style="48" customWidth="1"/>
    <col min="257" max="257" width="13.88671875" style="48" customWidth="1"/>
    <col min="258" max="258" width="14.33203125" style="48" customWidth="1"/>
    <col min="259" max="275" width="9.6640625" style="48"/>
    <col min="276" max="276" width="12" style="48" customWidth="1"/>
    <col min="277" max="277" width="12.77734375" style="48" customWidth="1"/>
    <col min="278" max="278" width="11.109375" style="48" customWidth="1"/>
    <col min="279" max="279" width="12" style="48" customWidth="1"/>
    <col min="280" max="280" width="9.6640625" style="48"/>
    <col min="281" max="281" width="15.33203125" style="48" customWidth="1"/>
    <col min="282" max="282" width="15.21875" style="48" customWidth="1"/>
    <col min="283" max="283" width="21.44140625" style="48" customWidth="1"/>
    <col min="284" max="299" width="9.6640625" style="48"/>
    <col min="300" max="301" width="13.44140625" style="48" customWidth="1"/>
    <col min="302" max="302" width="9.6640625" style="48"/>
    <col min="303" max="303" width="13.88671875" style="48" customWidth="1"/>
    <col min="304" max="304" width="10.6640625" style="48" customWidth="1"/>
    <col min="305" max="305" width="17.33203125" style="48" customWidth="1"/>
    <col min="306" max="307" width="12.6640625" style="48" customWidth="1"/>
    <col min="308" max="308" width="11.21875" style="48" customWidth="1"/>
    <col min="309" max="309" width="18.33203125" style="48" customWidth="1"/>
    <col min="310" max="310" width="12.88671875" style="48" customWidth="1"/>
    <col min="311" max="312" width="13.21875" style="48" customWidth="1"/>
    <col min="313" max="313" width="10.88671875" style="48" customWidth="1"/>
    <col min="314" max="314" width="11.109375" style="48" customWidth="1"/>
    <col min="315" max="315" width="15.21875" style="48" customWidth="1"/>
    <col min="316" max="316" width="9.6640625" style="48"/>
    <col min="317" max="317" width="11" style="48" customWidth="1"/>
    <col min="318" max="318" width="10.77734375" style="48" customWidth="1"/>
    <col min="319" max="319" width="11.44140625" style="48" customWidth="1"/>
    <col min="320" max="320" width="4" style="48" customWidth="1"/>
    <col min="321" max="511" width="9.6640625" style="48"/>
    <col min="512" max="512" width="6.44140625" style="48" customWidth="1"/>
    <col min="513" max="513" width="13.88671875" style="48" customWidth="1"/>
    <col min="514" max="514" width="14.33203125" style="48" customWidth="1"/>
    <col min="515" max="531" width="9.6640625" style="48"/>
    <col min="532" max="532" width="12" style="48" customWidth="1"/>
    <col min="533" max="533" width="12.77734375" style="48" customWidth="1"/>
    <col min="534" max="534" width="11.109375" style="48" customWidth="1"/>
    <col min="535" max="535" width="12" style="48" customWidth="1"/>
    <col min="536" max="536" width="9.6640625" style="48"/>
    <col min="537" max="537" width="15.33203125" style="48" customWidth="1"/>
    <col min="538" max="538" width="15.21875" style="48" customWidth="1"/>
    <col min="539" max="539" width="21.44140625" style="48" customWidth="1"/>
    <col min="540" max="555" width="9.6640625" style="48"/>
    <col min="556" max="557" width="13.44140625" style="48" customWidth="1"/>
    <col min="558" max="558" width="9.6640625" style="48"/>
    <col min="559" max="559" width="13.88671875" style="48" customWidth="1"/>
    <col min="560" max="560" width="10.6640625" style="48" customWidth="1"/>
    <col min="561" max="561" width="17.33203125" style="48" customWidth="1"/>
    <col min="562" max="563" width="12.6640625" style="48" customWidth="1"/>
    <col min="564" max="564" width="11.21875" style="48" customWidth="1"/>
    <col min="565" max="565" width="18.33203125" style="48" customWidth="1"/>
    <col min="566" max="566" width="12.88671875" style="48" customWidth="1"/>
    <col min="567" max="568" width="13.21875" style="48" customWidth="1"/>
    <col min="569" max="569" width="10.88671875" style="48" customWidth="1"/>
    <col min="570" max="570" width="11.109375" style="48" customWidth="1"/>
    <col min="571" max="571" width="15.21875" style="48" customWidth="1"/>
    <col min="572" max="572" width="9.6640625" style="48"/>
    <col min="573" max="573" width="11" style="48" customWidth="1"/>
    <col min="574" max="574" width="10.77734375" style="48" customWidth="1"/>
    <col min="575" max="575" width="11.44140625" style="48" customWidth="1"/>
    <col min="576" max="576" width="4" style="48" customWidth="1"/>
    <col min="577" max="767" width="9.6640625" style="48"/>
    <col min="768" max="768" width="6.44140625" style="48" customWidth="1"/>
    <col min="769" max="769" width="13.88671875" style="48" customWidth="1"/>
    <col min="770" max="770" width="14.33203125" style="48" customWidth="1"/>
    <col min="771" max="787" width="9.6640625" style="48"/>
    <col min="788" max="788" width="12" style="48" customWidth="1"/>
    <col min="789" max="789" width="12.77734375" style="48" customWidth="1"/>
    <col min="790" max="790" width="11.109375" style="48" customWidth="1"/>
    <col min="791" max="791" width="12" style="48" customWidth="1"/>
    <col min="792" max="792" width="9.6640625" style="48"/>
    <col min="793" max="793" width="15.33203125" style="48" customWidth="1"/>
    <col min="794" max="794" width="15.21875" style="48" customWidth="1"/>
    <col min="795" max="795" width="21.44140625" style="48" customWidth="1"/>
    <col min="796" max="811" width="9.6640625" style="48"/>
    <col min="812" max="813" width="13.44140625" style="48" customWidth="1"/>
    <col min="814" max="814" width="9.6640625" style="48"/>
    <col min="815" max="815" width="13.88671875" style="48" customWidth="1"/>
    <col min="816" max="816" width="10.6640625" style="48" customWidth="1"/>
    <col min="817" max="817" width="17.33203125" style="48" customWidth="1"/>
    <col min="818" max="819" width="12.6640625" style="48" customWidth="1"/>
    <col min="820" max="820" width="11.21875" style="48" customWidth="1"/>
    <col min="821" max="821" width="18.33203125" style="48" customWidth="1"/>
    <col min="822" max="822" width="12.88671875" style="48" customWidth="1"/>
    <col min="823" max="824" width="13.21875" style="48" customWidth="1"/>
    <col min="825" max="825" width="10.88671875" style="48" customWidth="1"/>
    <col min="826" max="826" width="11.109375" style="48" customWidth="1"/>
    <col min="827" max="827" width="15.21875" style="48" customWidth="1"/>
    <col min="828" max="828" width="9.6640625" style="48"/>
    <col min="829" max="829" width="11" style="48" customWidth="1"/>
    <col min="830" max="830" width="10.77734375" style="48" customWidth="1"/>
    <col min="831" max="831" width="11.44140625" style="48" customWidth="1"/>
    <col min="832" max="832" width="4" style="48" customWidth="1"/>
    <col min="833" max="1023" width="9.6640625" style="48"/>
    <col min="1024" max="1024" width="6.44140625" style="48" customWidth="1"/>
    <col min="1025" max="1025" width="13.88671875" style="48" customWidth="1"/>
    <col min="1026" max="1026" width="14.33203125" style="48" customWidth="1"/>
    <col min="1027" max="1043" width="9.6640625" style="48"/>
    <col min="1044" max="1044" width="12" style="48" customWidth="1"/>
    <col min="1045" max="1045" width="12.77734375" style="48" customWidth="1"/>
    <col min="1046" max="1046" width="11.109375" style="48" customWidth="1"/>
    <col min="1047" max="1047" width="12" style="48" customWidth="1"/>
    <col min="1048" max="1048" width="9.6640625" style="48"/>
    <col min="1049" max="1049" width="15.33203125" style="48" customWidth="1"/>
    <col min="1050" max="1050" width="15.21875" style="48" customWidth="1"/>
    <col min="1051" max="1051" width="21.44140625" style="48" customWidth="1"/>
    <col min="1052" max="1067" width="9.6640625" style="48"/>
    <col min="1068" max="1069" width="13.44140625" style="48" customWidth="1"/>
    <col min="1070" max="1070" width="9.6640625" style="48"/>
    <col min="1071" max="1071" width="13.88671875" style="48" customWidth="1"/>
    <col min="1072" max="1072" width="10.6640625" style="48" customWidth="1"/>
    <col min="1073" max="1073" width="17.33203125" style="48" customWidth="1"/>
    <col min="1074" max="1075" width="12.6640625" style="48" customWidth="1"/>
    <col min="1076" max="1076" width="11.21875" style="48" customWidth="1"/>
    <col min="1077" max="1077" width="18.33203125" style="48" customWidth="1"/>
    <col min="1078" max="1078" width="12.88671875" style="48" customWidth="1"/>
    <col min="1079" max="1080" width="13.21875" style="48" customWidth="1"/>
    <col min="1081" max="1081" width="10.88671875" style="48" customWidth="1"/>
    <col min="1082" max="1082" width="11.109375" style="48" customWidth="1"/>
    <col min="1083" max="1083" width="15.21875" style="48" customWidth="1"/>
    <col min="1084" max="1084" width="9.6640625" style="48"/>
    <col min="1085" max="1085" width="11" style="48" customWidth="1"/>
    <col min="1086" max="1086" width="10.77734375" style="48" customWidth="1"/>
    <col min="1087" max="1087" width="11.44140625" style="48" customWidth="1"/>
    <col min="1088" max="1088" width="4" style="48" customWidth="1"/>
    <col min="1089" max="1279" width="9.6640625" style="48"/>
    <col min="1280" max="1280" width="6.44140625" style="48" customWidth="1"/>
    <col min="1281" max="1281" width="13.88671875" style="48" customWidth="1"/>
    <col min="1282" max="1282" width="14.33203125" style="48" customWidth="1"/>
    <col min="1283" max="1299" width="9.6640625" style="48"/>
    <col min="1300" max="1300" width="12" style="48" customWidth="1"/>
    <col min="1301" max="1301" width="12.77734375" style="48" customWidth="1"/>
    <col min="1302" max="1302" width="11.109375" style="48" customWidth="1"/>
    <col min="1303" max="1303" width="12" style="48" customWidth="1"/>
    <col min="1304" max="1304" width="9.6640625" style="48"/>
    <col min="1305" max="1305" width="15.33203125" style="48" customWidth="1"/>
    <col min="1306" max="1306" width="15.21875" style="48" customWidth="1"/>
    <col min="1307" max="1307" width="21.44140625" style="48" customWidth="1"/>
    <col min="1308" max="1323" width="9.6640625" style="48"/>
    <col min="1324" max="1325" width="13.44140625" style="48" customWidth="1"/>
    <col min="1326" max="1326" width="9.6640625" style="48"/>
    <col min="1327" max="1327" width="13.88671875" style="48" customWidth="1"/>
    <col min="1328" max="1328" width="10.6640625" style="48" customWidth="1"/>
    <col min="1329" max="1329" width="17.33203125" style="48" customWidth="1"/>
    <col min="1330" max="1331" width="12.6640625" style="48" customWidth="1"/>
    <col min="1332" max="1332" width="11.21875" style="48" customWidth="1"/>
    <col min="1333" max="1333" width="18.33203125" style="48" customWidth="1"/>
    <col min="1334" max="1334" width="12.88671875" style="48" customWidth="1"/>
    <col min="1335" max="1336" width="13.21875" style="48" customWidth="1"/>
    <col min="1337" max="1337" width="10.88671875" style="48" customWidth="1"/>
    <col min="1338" max="1338" width="11.109375" style="48" customWidth="1"/>
    <col min="1339" max="1339" width="15.21875" style="48" customWidth="1"/>
    <col min="1340" max="1340" width="9.6640625" style="48"/>
    <col min="1341" max="1341" width="11" style="48" customWidth="1"/>
    <col min="1342" max="1342" width="10.77734375" style="48" customWidth="1"/>
    <col min="1343" max="1343" width="11.44140625" style="48" customWidth="1"/>
    <col min="1344" max="1344" width="4" style="48" customWidth="1"/>
    <col min="1345" max="1535" width="9.6640625" style="48"/>
    <col min="1536" max="1536" width="6.44140625" style="48" customWidth="1"/>
    <col min="1537" max="1537" width="13.88671875" style="48" customWidth="1"/>
    <col min="1538" max="1538" width="14.33203125" style="48" customWidth="1"/>
    <col min="1539" max="1555" width="9.6640625" style="48"/>
    <col min="1556" max="1556" width="12" style="48" customWidth="1"/>
    <col min="1557" max="1557" width="12.77734375" style="48" customWidth="1"/>
    <col min="1558" max="1558" width="11.109375" style="48" customWidth="1"/>
    <col min="1559" max="1559" width="12" style="48" customWidth="1"/>
    <col min="1560" max="1560" width="9.6640625" style="48"/>
    <col min="1561" max="1561" width="15.33203125" style="48" customWidth="1"/>
    <col min="1562" max="1562" width="15.21875" style="48" customWidth="1"/>
    <col min="1563" max="1563" width="21.44140625" style="48" customWidth="1"/>
    <col min="1564" max="1579" width="9.6640625" style="48"/>
    <col min="1580" max="1581" width="13.44140625" style="48" customWidth="1"/>
    <col min="1582" max="1582" width="9.6640625" style="48"/>
    <col min="1583" max="1583" width="13.88671875" style="48" customWidth="1"/>
    <col min="1584" max="1584" width="10.6640625" style="48" customWidth="1"/>
    <col min="1585" max="1585" width="17.33203125" style="48" customWidth="1"/>
    <col min="1586" max="1587" width="12.6640625" style="48" customWidth="1"/>
    <col min="1588" max="1588" width="11.21875" style="48" customWidth="1"/>
    <col min="1589" max="1589" width="18.33203125" style="48" customWidth="1"/>
    <col min="1590" max="1590" width="12.88671875" style="48" customWidth="1"/>
    <col min="1591" max="1592" width="13.21875" style="48" customWidth="1"/>
    <col min="1593" max="1593" width="10.88671875" style="48" customWidth="1"/>
    <col min="1594" max="1594" width="11.109375" style="48" customWidth="1"/>
    <col min="1595" max="1595" width="15.21875" style="48" customWidth="1"/>
    <col min="1596" max="1596" width="9.6640625" style="48"/>
    <col min="1597" max="1597" width="11" style="48" customWidth="1"/>
    <col min="1598" max="1598" width="10.77734375" style="48" customWidth="1"/>
    <col min="1599" max="1599" width="11.44140625" style="48" customWidth="1"/>
    <col min="1600" max="1600" width="4" style="48" customWidth="1"/>
    <col min="1601" max="1791" width="9.6640625" style="48"/>
    <col min="1792" max="1792" width="6.44140625" style="48" customWidth="1"/>
    <col min="1793" max="1793" width="13.88671875" style="48" customWidth="1"/>
    <col min="1794" max="1794" width="14.33203125" style="48" customWidth="1"/>
    <col min="1795" max="1811" width="9.6640625" style="48"/>
    <col min="1812" max="1812" width="12" style="48" customWidth="1"/>
    <col min="1813" max="1813" width="12.77734375" style="48" customWidth="1"/>
    <col min="1814" max="1814" width="11.109375" style="48" customWidth="1"/>
    <col min="1815" max="1815" width="12" style="48" customWidth="1"/>
    <col min="1816" max="1816" width="9.6640625" style="48"/>
    <col min="1817" max="1817" width="15.33203125" style="48" customWidth="1"/>
    <col min="1818" max="1818" width="15.21875" style="48" customWidth="1"/>
    <col min="1819" max="1819" width="21.44140625" style="48" customWidth="1"/>
    <col min="1820" max="1835" width="9.6640625" style="48"/>
    <col min="1836" max="1837" width="13.44140625" style="48" customWidth="1"/>
    <col min="1838" max="1838" width="9.6640625" style="48"/>
    <col min="1839" max="1839" width="13.88671875" style="48" customWidth="1"/>
    <col min="1840" max="1840" width="10.6640625" style="48" customWidth="1"/>
    <col min="1841" max="1841" width="17.33203125" style="48" customWidth="1"/>
    <col min="1842" max="1843" width="12.6640625" style="48" customWidth="1"/>
    <col min="1844" max="1844" width="11.21875" style="48" customWidth="1"/>
    <col min="1845" max="1845" width="18.33203125" style="48" customWidth="1"/>
    <col min="1846" max="1846" width="12.88671875" style="48" customWidth="1"/>
    <col min="1847" max="1848" width="13.21875" style="48" customWidth="1"/>
    <col min="1849" max="1849" width="10.88671875" style="48" customWidth="1"/>
    <col min="1850" max="1850" width="11.109375" style="48" customWidth="1"/>
    <col min="1851" max="1851" width="15.21875" style="48" customWidth="1"/>
    <col min="1852" max="1852" width="9.6640625" style="48"/>
    <col min="1853" max="1853" width="11" style="48" customWidth="1"/>
    <col min="1854" max="1854" width="10.77734375" style="48" customWidth="1"/>
    <col min="1855" max="1855" width="11.44140625" style="48" customWidth="1"/>
    <col min="1856" max="1856" width="4" style="48" customWidth="1"/>
    <col min="1857" max="2047" width="9.6640625" style="48"/>
    <col min="2048" max="2048" width="6.44140625" style="48" customWidth="1"/>
    <col min="2049" max="2049" width="13.88671875" style="48" customWidth="1"/>
    <col min="2050" max="2050" width="14.33203125" style="48" customWidth="1"/>
    <col min="2051" max="2067" width="9.6640625" style="48"/>
    <col min="2068" max="2068" width="12" style="48" customWidth="1"/>
    <col min="2069" max="2069" width="12.77734375" style="48" customWidth="1"/>
    <col min="2070" max="2070" width="11.109375" style="48" customWidth="1"/>
    <col min="2071" max="2071" width="12" style="48" customWidth="1"/>
    <col min="2072" max="2072" width="9.6640625" style="48"/>
    <col min="2073" max="2073" width="15.33203125" style="48" customWidth="1"/>
    <col min="2074" max="2074" width="15.21875" style="48" customWidth="1"/>
    <col min="2075" max="2075" width="21.44140625" style="48" customWidth="1"/>
    <col min="2076" max="2091" width="9.6640625" style="48"/>
    <col min="2092" max="2093" width="13.44140625" style="48" customWidth="1"/>
    <col min="2094" max="2094" width="9.6640625" style="48"/>
    <col min="2095" max="2095" width="13.88671875" style="48" customWidth="1"/>
    <col min="2096" max="2096" width="10.6640625" style="48" customWidth="1"/>
    <col min="2097" max="2097" width="17.33203125" style="48" customWidth="1"/>
    <col min="2098" max="2099" width="12.6640625" style="48" customWidth="1"/>
    <col min="2100" max="2100" width="11.21875" style="48" customWidth="1"/>
    <col min="2101" max="2101" width="18.33203125" style="48" customWidth="1"/>
    <col min="2102" max="2102" width="12.88671875" style="48" customWidth="1"/>
    <col min="2103" max="2104" width="13.21875" style="48" customWidth="1"/>
    <col min="2105" max="2105" width="10.88671875" style="48" customWidth="1"/>
    <col min="2106" max="2106" width="11.109375" style="48" customWidth="1"/>
    <col min="2107" max="2107" width="15.21875" style="48" customWidth="1"/>
    <col min="2108" max="2108" width="9.6640625" style="48"/>
    <col min="2109" max="2109" width="11" style="48" customWidth="1"/>
    <col min="2110" max="2110" width="10.77734375" style="48" customWidth="1"/>
    <col min="2111" max="2111" width="11.44140625" style="48" customWidth="1"/>
    <col min="2112" max="2112" width="4" style="48" customWidth="1"/>
    <col min="2113" max="2303" width="9.6640625" style="48"/>
    <col min="2304" max="2304" width="6.44140625" style="48" customWidth="1"/>
    <col min="2305" max="2305" width="13.88671875" style="48" customWidth="1"/>
    <col min="2306" max="2306" width="14.33203125" style="48" customWidth="1"/>
    <col min="2307" max="2323" width="9.6640625" style="48"/>
    <col min="2324" max="2324" width="12" style="48" customWidth="1"/>
    <col min="2325" max="2325" width="12.77734375" style="48" customWidth="1"/>
    <col min="2326" max="2326" width="11.109375" style="48" customWidth="1"/>
    <col min="2327" max="2327" width="12" style="48" customWidth="1"/>
    <col min="2328" max="2328" width="9.6640625" style="48"/>
    <col min="2329" max="2329" width="15.33203125" style="48" customWidth="1"/>
    <col min="2330" max="2330" width="15.21875" style="48" customWidth="1"/>
    <col min="2331" max="2331" width="21.44140625" style="48" customWidth="1"/>
    <col min="2332" max="2347" width="9.6640625" style="48"/>
    <col min="2348" max="2349" width="13.44140625" style="48" customWidth="1"/>
    <col min="2350" max="2350" width="9.6640625" style="48"/>
    <col min="2351" max="2351" width="13.88671875" style="48" customWidth="1"/>
    <col min="2352" max="2352" width="10.6640625" style="48" customWidth="1"/>
    <col min="2353" max="2353" width="17.33203125" style="48" customWidth="1"/>
    <col min="2354" max="2355" width="12.6640625" style="48" customWidth="1"/>
    <col min="2356" max="2356" width="11.21875" style="48" customWidth="1"/>
    <col min="2357" max="2357" width="18.33203125" style="48" customWidth="1"/>
    <col min="2358" max="2358" width="12.88671875" style="48" customWidth="1"/>
    <col min="2359" max="2360" width="13.21875" style="48" customWidth="1"/>
    <col min="2361" max="2361" width="10.88671875" style="48" customWidth="1"/>
    <col min="2362" max="2362" width="11.109375" style="48" customWidth="1"/>
    <col min="2363" max="2363" width="15.21875" style="48" customWidth="1"/>
    <col min="2364" max="2364" width="9.6640625" style="48"/>
    <col min="2365" max="2365" width="11" style="48" customWidth="1"/>
    <col min="2366" max="2366" width="10.77734375" style="48" customWidth="1"/>
    <col min="2367" max="2367" width="11.44140625" style="48" customWidth="1"/>
    <col min="2368" max="2368" width="4" style="48" customWidth="1"/>
    <col min="2369" max="2559" width="9.6640625" style="48"/>
    <col min="2560" max="2560" width="6.44140625" style="48" customWidth="1"/>
    <col min="2561" max="2561" width="13.88671875" style="48" customWidth="1"/>
    <col min="2562" max="2562" width="14.33203125" style="48" customWidth="1"/>
    <col min="2563" max="2579" width="9.6640625" style="48"/>
    <col min="2580" max="2580" width="12" style="48" customWidth="1"/>
    <col min="2581" max="2581" width="12.77734375" style="48" customWidth="1"/>
    <col min="2582" max="2582" width="11.109375" style="48" customWidth="1"/>
    <col min="2583" max="2583" width="12" style="48" customWidth="1"/>
    <col min="2584" max="2584" width="9.6640625" style="48"/>
    <col min="2585" max="2585" width="15.33203125" style="48" customWidth="1"/>
    <col min="2586" max="2586" width="15.21875" style="48" customWidth="1"/>
    <col min="2587" max="2587" width="21.44140625" style="48" customWidth="1"/>
    <col min="2588" max="2603" width="9.6640625" style="48"/>
    <col min="2604" max="2605" width="13.44140625" style="48" customWidth="1"/>
    <col min="2606" max="2606" width="9.6640625" style="48"/>
    <col min="2607" max="2607" width="13.88671875" style="48" customWidth="1"/>
    <col min="2608" max="2608" width="10.6640625" style="48" customWidth="1"/>
    <col min="2609" max="2609" width="17.33203125" style="48" customWidth="1"/>
    <col min="2610" max="2611" width="12.6640625" style="48" customWidth="1"/>
    <col min="2612" max="2612" width="11.21875" style="48" customWidth="1"/>
    <col min="2613" max="2613" width="18.33203125" style="48" customWidth="1"/>
    <col min="2614" max="2614" width="12.88671875" style="48" customWidth="1"/>
    <col min="2615" max="2616" width="13.21875" style="48" customWidth="1"/>
    <col min="2617" max="2617" width="10.88671875" style="48" customWidth="1"/>
    <col min="2618" max="2618" width="11.109375" style="48" customWidth="1"/>
    <col min="2619" max="2619" width="15.21875" style="48" customWidth="1"/>
    <col min="2620" max="2620" width="9.6640625" style="48"/>
    <col min="2621" max="2621" width="11" style="48" customWidth="1"/>
    <col min="2622" max="2622" width="10.77734375" style="48" customWidth="1"/>
    <col min="2623" max="2623" width="11.44140625" style="48" customWidth="1"/>
    <col min="2624" max="2624" width="4" style="48" customWidth="1"/>
    <col min="2625" max="2815" width="9.6640625" style="48"/>
    <col min="2816" max="2816" width="6.44140625" style="48" customWidth="1"/>
    <col min="2817" max="2817" width="13.88671875" style="48" customWidth="1"/>
    <col min="2818" max="2818" width="14.33203125" style="48" customWidth="1"/>
    <col min="2819" max="2835" width="9.6640625" style="48"/>
    <col min="2836" max="2836" width="12" style="48" customWidth="1"/>
    <col min="2837" max="2837" width="12.77734375" style="48" customWidth="1"/>
    <col min="2838" max="2838" width="11.109375" style="48" customWidth="1"/>
    <col min="2839" max="2839" width="12" style="48" customWidth="1"/>
    <col min="2840" max="2840" width="9.6640625" style="48"/>
    <col min="2841" max="2841" width="15.33203125" style="48" customWidth="1"/>
    <col min="2842" max="2842" width="15.21875" style="48" customWidth="1"/>
    <col min="2843" max="2843" width="21.44140625" style="48" customWidth="1"/>
    <col min="2844" max="2859" width="9.6640625" style="48"/>
    <col min="2860" max="2861" width="13.44140625" style="48" customWidth="1"/>
    <col min="2862" max="2862" width="9.6640625" style="48"/>
    <col min="2863" max="2863" width="13.88671875" style="48" customWidth="1"/>
    <col min="2864" max="2864" width="10.6640625" style="48" customWidth="1"/>
    <col min="2865" max="2865" width="17.33203125" style="48" customWidth="1"/>
    <col min="2866" max="2867" width="12.6640625" style="48" customWidth="1"/>
    <col min="2868" max="2868" width="11.21875" style="48" customWidth="1"/>
    <col min="2869" max="2869" width="18.33203125" style="48" customWidth="1"/>
    <col min="2870" max="2870" width="12.88671875" style="48" customWidth="1"/>
    <col min="2871" max="2872" width="13.21875" style="48" customWidth="1"/>
    <col min="2873" max="2873" width="10.88671875" style="48" customWidth="1"/>
    <col min="2874" max="2874" width="11.109375" style="48" customWidth="1"/>
    <col min="2875" max="2875" width="15.21875" style="48" customWidth="1"/>
    <col min="2876" max="2876" width="9.6640625" style="48"/>
    <col min="2877" max="2877" width="11" style="48" customWidth="1"/>
    <col min="2878" max="2878" width="10.77734375" style="48" customWidth="1"/>
    <col min="2879" max="2879" width="11.44140625" style="48" customWidth="1"/>
    <col min="2880" max="2880" width="4" style="48" customWidth="1"/>
    <col min="2881" max="3071" width="9.6640625" style="48"/>
    <col min="3072" max="3072" width="6.44140625" style="48" customWidth="1"/>
    <col min="3073" max="3073" width="13.88671875" style="48" customWidth="1"/>
    <col min="3074" max="3074" width="14.33203125" style="48" customWidth="1"/>
    <col min="3075" max="3091" width="9.6640625" style="48"/>
    <col min="3092" max="3092" width="12" style="48" customWidth="1"/>
    <col min="3093" max="3093" width="12.77734375" style="48" customWidth="1"/>
    <col min="3094" max="3094" width="11.109375" style="48" customWidth="1"/>
    <col min="3095" max="3095" width="12" style="48" customWidth="1"/>
    <col min="3096" max="3096" width="9.6640625" style="48"/>
    <col min="3097" max="3097" width="15.33203125" style="48" customWidth="1"/>
    <col min="3098" max="3098" width="15.21875" style="48" customWidth="1"/>
    <col min="3099" max="3099" width="21.44140625" style="48" customWidth="1"/>
    <col min="3100" max="3115" width="9.6640625" style="48"/>
    <col min="3116" max="3117" width="13.44140625" style="48" customWidth="1"/>
    <col min="3118" max="3118" width="9.6640625" style="48"/>
    <col min="3119" max="3119" width="13.88671875" style="48" customWidth="1"/>
    <col min="3120" max="3120" width="10.6640625" style="48" customWidth="1"/>
    <col min="3121" max="3121" width="17.33203125" style="48" customWidth="1"/>
    <col min="3122" max="3123" width="12.6640625" style="48" customWidth="1"/>
    <col min="3124" max="3124" width="11.21875" style="48" customWidth="1"/>
    <col min="3125" max="3125" width="18.33203125" style="48" customWidth="1"/>
    <col min="3126" max="3126" width="12.88671875" style="48" customWidth="1"/>
    <col min="3127" max="3128" width="13.21875" style="48" customWidth="1"/>
    <col min="3129" max="3129" width="10.88671875" style="48" customWidth="1"/>
    <col min="3130" max="3130" width="11.109375" style="48" customWidth="1"/>
    <col min="3131" max="3131" width="15.21875" style="48" customWidth="1"/>
    <col min="3132" max="3132" width="9.6640625" style="48"/>
    <col min="3133" max="3133" width="11" style="48" customWidth="1"/>
    <col min="3134" max="3134" width="10.77734375" style="48" customWidth="1"/>
    <col min="3135" max="3135" width="11.44140625" style="48" customWidth="1"/>
    <col min="3136" max="3136" width="4" style="48" customWidth="1"/>
    <col min="3137" max="3327" width="9.6640625" style="48"/>
    <col min="3328" max="3328" width="6.44140625" style="48" customWidth="1"/>
    <col min="3329" max="3329" width="13.88671875" style="48" customWidth="1"/>
    <col min="3330" max="3330" width="14.33203125" style="48" customWidth="1"/>
    <col min="3331" max="3347" width="9.6640625" style="48"/>
    <col min="3348" max="3348" width="12" style="48" customWidth="1"/>
    <col min="3349" max="3349" width="12.77734375" style="48" customWidth="1"/>
    <col min="3350" max="3350" width="11.109375" style="48" customWidth="1"/>
    <col min="3351" max="3351" width="12" style="48" customWidth="1"/>
    <col min="3352" max="3352" width="9.6640625" style="48"/>
    <col min="3353" max="3353" width="15.33203125" style="48" customWidth="1"/>
    <col min="3354" max="3354" width="15.21875" style="48" customWidth="1"/>
    <col min="3355" max="3355" width="21.44140625" style="48" customWidth="1"/>
    <col min="3356" max="3371" width="9.6640625" style="48"/>
    <col min="3372" max="3373" width="13.44140625" style="48" customWidth="1"/>
    <col min="3374" max="3374" width="9.6640625" style="48"/>
    <col min="3375" max="3375" width="13.88671875" style="48" customWidth="1"/>
    <col min="3376" max="3376" width="10.6640625" style="48" customWidth="1"/>
    <col min="3377" max="3377" width="17.33203125" style="48" customWidth="1"/>
    <col min="3378" max="3379" width="12.6640625" style="48" customWidth="1"/>
    <col min="3380" max="3380" width="11.21875" style="48" customWidth="1"/>
    <col min="3381" max="3381" width="18.33203125" style="48" customWidth="1"/>
    <col min="3382" max="3382" width="12.88671875" style="48" customWidth="1"/>
    <col min="3383" max="3384" width="13.21875" style="48" customWidth="1"/>
    <col min="3385" max="3385" width="10.88671875" style="48" customWidth="1"/>
    <col min="3386" max="3386" width="11.109375" style="48" customWidth="1"/>
    <col min="3387" max="3387" width="15.21875" style="48" customWidth="1"/>
    <col min="3388" max="3388" width="9.6640625" style="48"/>
    <col min="3389" max="3389" width="11" style="48" customWidth="1"/>
    <col min="3390" max="3390" width="10.77734375" style="48" customWidth="1"/>
    <col min="3391" max="3391" width="11.44140625" style="48" customWidth="1"/>
    <col min="3392" max="3392" width="4" style="48" customWidth="1"/>
    <col min="3393" max="3583" width="9.6640625" style="48"/>
    <col min="3584" max="3584" width="6.44140625" style="48" customWidth="1"/>
    <col min="3585" max="3585" width="13.88671875" style="48" customWidth="1"/>
    <col min="3586" max="3586" width="14.33203125" style="48" customWidth="1"/>
    <col min="3587" max="3603" width="9.6640625" style="48"/>
    <col min="3604" max="3604" width="12" style="48" customWidth="1"/>
    <col min="3605" max="3605" width="12.77734375" style="48" customWidth="1"/>
    <col min="3606" max="3606" width="11.109375" style="48" customWidth="1"/>
    <col min="3607" max="3607" width="12" style="48" customWidth="1"/>
    <col min="3608" max="3608" width="9.6640625" style="48"/>
    <col min="3609" max="3609" width="15.33203125" style="48" customWidth="1"/>
    <col min="3610" max="3610" width="15.21875" style="48" customWidth="1"/>
    <col min="3611" max="3611" width="21.44140625" style="48" customWidth="1"/>
    <col min="3612" max="3627" width="9.6640625" style="48"/>
    <col min="3628" max="3629" width="13.44140625" style="48" customWidth="1"/>
    <col min="3630" max="3630" width="9.6640625" style="48"/>
    <col min="3631" max="3631" width="13.88671875" style="48" customWidth="1"/>
    <col min="3632" max="3632" width="10.6640625" style="48" customWidth="1"/>
    <col min="3633" max="3633" width="17.33203125" style="48" customWidth="1"/>
    <col min="3634" max="3635" width="12.6640625" style="48" customWidth="1"/>
    <col min="3636" max="3636" width="11.21875" style="48" customWidth="1"/>
    <col min="3637" max="3637" width="18.33203125" style="48" customWidth="1"/>
    <col min="3638" max="3638" width="12.88671875" style="48" customWidth="1"/>
    <col min="3639" max="3640" width="13.21875" style="48" customWidth="1"/>
    <col min="3641" max="3641" width="10.88671875" style="48" customWidth="1"/>
    <col min="3642" max="3642" width="11.109375" style="48" customWidth="1"/>
    <col min="3643" max="3643" width="15.21875" style="48" customWidth="1"/>
    <col min="3644" max="3644" width="9.6640625" style="48"/>
    <col min="3645" max="3645" width="11" style="48" customWidth="1"/>
    <col min="3646" max="3646" width="10.77734375" style="48" customWidth="1"/>
    <col min="3647" max="3647" width="11.44140625" style="48" customWidth="1"/>
    <col min="3648" max="3648" width="4" style="48" customWidth="1"/>
    <col min="3649" max="3839" width="9.6640625" style="48"/>
    <col min="3840" max="3840" width="6.44140625" style="48" customWidth="1"/>
    <col min="3841" max="3841" width="13.88671875" style="48" customWidth="1"/>
    <col min="3842" max="3842" width="14.33203125" style="48" customWidth="1"/>
    <col min="3843" max="3859" width="9.6640625" style="48"/>
    <col min="3860" max="3860" width="12" style="48" customWidth="1"/>
    <col min="3861" max="3861" width="12.77734375" style="48" customWidth="1"/>
    <col min="3862" max="3862" width="11.109375" style="48" customWidth="1"/>
    <col min="3863" max="3863" width="12" style="48" customWidth="1"/>
    <col min="3864" max="3864" width="9.6640625" style="48"/>
    <col min="3865" max="3865" width="15.33203125" style="48" customWidth="1"/>
    <col min="3866" max="3866" width="15.21875" style="48" customWidth="1"/>
    <col min="3867" max="3867" width="21.44140625" style="48" customWidth="1"/>
    <col min="3868" max="3883" width="9.6640625" style="48"/>
    <col min="3884" max="3885" width="13.44140625" style="48" customWidth="1"/>
    <col min="3886" max="3886" width="9.6640625" style="48"/>
    <col min="3887" max="3887" width="13.88671875" style="48" customWidth="1"/>
    <col min="3888" max="3888" width="10.6640625" style="48" customWidth="1"/>
    <col min="3889" max="3889" width="17.33203125" style="48" customWidth="1"/>
    <col min="3890" max="3891" width="12.6640625" style="48" customWidth="1"/>
    <col min="3892" max="3892" width="11.21875" style="48" customWidth="1"/>
    <col min="3893" max="3893" width="18.33203125" style="48" customWidth="1"/>
    <col min="3894" max="3894" width="12.88671875" style="48" customWidth="1"/>
    <col min="3895" max="3896" width="13.21875" style="48" customWidth="1"/>
    <col min="3897" max="3897" width="10.88671875" style="48" customWidth="1"/>
    <col min="3898" max="3898" width="11.109375" style="48" customWidth="1"/>
    <col min="3899" max="3899" width="15.21875" style="48" customWidth="1"/>
    <col min="3900" max="3900" width="9.6640625" style="48"/>
    <col min="3901" max="3901" width="11" style="48" customWidth="1"/>
    <col min="3902" max="3902" width="10.77734375" style="48" customWidth="1"/>
    <col min="3903" max="3903" width="11.44140625" style="48" customWidth="1"/>
    <col min="3904" max="3904" width="4" style="48" customWidth="1"/>
    <col min="3905" max="4095" width="9.6640625" style="48"/>
    <col min="4096" max="4096" width="6.44140625" style="48" customWidth="1"/>
    <col min="4097" max="4097" width="13.88671875" style="48" customWidth="1"/>
    <col min="4098" max="4098" width="14.33203125" style="48" customWidth="1"/>
    <col min="4099" max="4115" width="9.6640625" style="48"/>
    <col min="4116" max="4116" width="12" style="48" customWidth="1"/>
    <col min="4117" max="4117" width="12.77734375" style="48" customWidth="1"/>
    <col min="4118" max="4118" width="11.109375" style="48" customWidth="1"/>
    <col min="4119" max="4119" width="12" style="48" customWidth="1"/>
    <col min="4120" max="4120" width="9.6640625" style="48"/>
    <col min="4121" max="4121" width="15.33203125" style="48" customWidth="1"/>
    <col min="4122" max="4122" width="15.21875" style="48" customWidth="1"/>
    <col min="4123" max="4123" width="21.44140625" style="48" customWidth="1"/>
    <col min="4124" max="4139" width="9.6640625" style="48"/>
    <col min="4140" max="4141" width="13.44140625" style="48" customWidth="1"/>
    <col min="4142" max="4142" width="9.6640625" style="48"/>
    <col min="4143" max="4143" width="13.88671875" style="48" customWidth="1"/>
    <col min="4144" max="4144" width="10.6640625" style="48" customWidth="1"/>
    <col min="4145" max="4145" width="17.33203125" style="48" customWidth="1"/>
    <col min="4146" max="4147" width="12.6640625" style="48" customWidth="1"/>
    <col min="4148" max="4148" width="11.21875" style="48" customWidth="1"/>
    <col min="4149" max="4149" width="18.33203125" style="48" customWidth="1"/>
    <col min="4150" max="4150" width="12.88671875" style="48" customWidth="1"/>
    <col min="4151" max="4152" width="13.21875" style="48" customWidth="1"/>
    <col min="4153" max="4153" width="10.88671875" style="48" customWidth="1"/>
    <col min="4154" max="4154" width="11.109375" style="48" customWidth="1"/>
    <col min="4155" max="4155" width="15.21875" style="48" customWidth="1"/>
    <col min="4156" max="4156" width="9.6640625" style="48"/>
    <col min="4157" max="4157" width="11" style="48" customWidth="1"/>
    <col min="4158" max="4158" width="10.77734375" style="48" customWidth="1"/>
    <col min="4159" max="4159" width="11.44140625" style="48" customWidth="1"/>
    <col min="4160" max="4160" width="4" style="48" customWidth="1"/>
    <col min="4161" max="4351" width="9.6640625" style="48"/>
    <col min="4352" max="4352" width="6.44140625" style="48" customWidth="1"/>
    <col min="4353" max="4353" width="13.88671875" style="48" customWidth="1"/>
    <col min="4354" max="4354" width="14.33203125" style="48" customWidth="1"/>
    <col min="4355" max="4371" width="9.6640625" style="48"/>
    <col min="4372" max="4372" width="12" style="48" customWidth="1"/>
    <col min="4373" max="4373" width="12.77734375" style="48" customWidth="1"/>
    <col min="4374" max="4374" width="11.109375" style="48" customWidth="1"/>
    <col min="4375" max="4375" width="12" style="48" customWidth="1"/>
    <col min="4376" max="4376" width="9.6640625" style="48"/>
    <col min="4377" max="4377" width="15.33203125" style="48" customWidth="1"/>
    <col min="4378" max="4378" width="15.21875" style="48" customWidth="1"/>
    <col min="4379" max="4379" width="21.44140625" style="48" customWidth="1"/>
    <col min="4380" max="4395" width="9.6640625" style="48"/>
    <col min="4396" max="4397" width="13.44140625" style="48" customWidth="1"/>
    <col min="4398" max="4398" width="9.6640625" style="48"/>
    <col min="4399" max="4399" width="13.88671875" style="48" customWidth="1"/>
    <col min="4400" max="4400" width="10.6640625" style="48" customWidth="1"/>
    <col min="4401" max="4401" width="17.33203125" style="48" customWidth="1"/>
    <col min="4402" max="4403" width="12.6640625" style="48" customWidth="1"/>
    <col min="4404" max="4404" width="11.21875" style="48" customWidth="1"/>
    <col min="4405" max="4405" width="18.33203125" style="48" customWidth="1"/>
    <col min="4406" max="4406" width="12.88671875" style="48" customWidth="1"/>
    <col min="4407" max="4408" width="13.21875" style="48" customWidth="1"/>
    <col min="4409" max="4409" width="10.88671875" style="48" customWidth="1"/>
    <col min="4410" max="4410" width="11.109375" style="48" customWidth="1"/>
    <col min="4411" max="4411" width="15.21875" style="48" customWidth="1"/>
    <col min="4412" max="4412" width="9.6640625" style="48"/>
    <col min="4413" max="4413" width="11" style="48" customWidth="1"/>
    <col min="4414" max="4414" width="10.77734375" style="48" customWidth="1"/>
    <col min="4415" max="4415" width="11.44140625" style="48" customWidth="1"/>
    <col min="4416" max="4416" width="4" style="48" customWidth="1"/>
    <col min="4417" max="4607" width="9.6640625" style="48"/>
    <col min="4608" max="4608" width="6.44140625" style="48" customWidth="1"/>
    <col min="4609" max="4609" width="13.88671875" style="48" customWidth="1"/>
    <col min="4610" max="4610" width="14.33203125" style="48" customWidth="1"/>
    <col min="4611" max="4627" width="9.6640625" style="48"/>
    <col min="4628" max="4628" width="12" style="48" customWidth="1"/>
    <col min="4629" max="4629" width="12.77734375" style="48" customWidth="1"/>
    <col min="4630" max="4630" width="11.109375" style="48" customWidth="1"/>
    <col min="4631" max="4631" width="12" style="48" customWidth="1"/>
    <col min="4632" max="4632" width="9.6640625" style="48"/>
    <col min="4633" max="4633" width="15.33203125" style="48" customWidth="1"/>
    <col min="4634" max="4634" width="15.21875" style="48" customWidth="1"/>
    <col min="4635" max="4635" width="21.44140625" style="48" customWidth="1"/>
    <col min="4636" max="4651" width="9.6640625" style="48"/>
    <col min="4652" max="4653" width="13.44140625" style="48" customWidth="1"/>
    <col min="4654" max="4654" width="9.6640625" style="48"/>
    <col min="4655" max="4655" width="13.88671875" style="48" customWidth="1"/>
    <col min="4656" max="4656" width="10.6640625" style="48" customWidth="1"/>
    <col min="4657" max="4657" width="17.33203125" style="48" customWidth="1"/>
    <col min="4658" max="4659" width="12.6640625" style="48" customWidth="1"/>
    <col min="4660" max="4660" width="11.21875" style="48" customWidth="1"/>
    <col min="4661" max="4661" width="18.33203125" style="48" customWidth="1"/>
    <col min="4662" max="4662" width="12.88671875" style="48" customWidth="1"/>
    <col min="4663" max="4664" width="13.21875" style="48" customWidth="1"/>
    <col min="4665" max="4665" width="10.88671875" style="48" customWidth="1"/>
    <col min="4666" max="4666" width="11.109375" style="48" customWidth="1"/>
    <col min="4667" max="4667" width="15.21875" style="48" customWidth="1"/>
    <col min="4668" max="4668" width="9.6640625" style="48"/>
    <col min="4669" max="4669" width="11" style="48" customWidth="1"/>
    <col min="4670" max="4670" width="10.77734375" style="48" customWidth="1"/>
    <col min="4671" max="4671" width="11.44140625" style="48" customWidth="1"/>
    <col min="4672" max="4672" width="4" style="48" customWidth="1"/>
    <col min="4673" max="4863" width="9.6640625" style="48"/>
    <col min="4864" max="4864" width="6.44140625" style="48" customWidth="1"/>
    <col min="4865" max="4865" width="13.88671875" style="48" customWidth="1"/>
    <col min="4866" max="4866" width="14.33203125" style="48" customWidth="1"/>
    <col min="4867" max="4883" width="9.6640625" style="48"/>
    <col min="4884" max="4884" width="12" style="48" customWidth="1"/>
    <col min="4885" max="4885" width="12.77734375" style="48" customWidth="1"/>
    <col min="4886" max="4886" width="11.109375" style="48" customWidth="1"/>
    <col min="4887" max="4887" width="12" style="48" customWidth="1"/>
    <col min="4888" max="4888" width="9.6640625" style="48"/>
    <col min="4889" max="4889" width="15.33203125" style="48" customWidth="1"/>
    <col min="4890" max="4890" width="15.21875" style="48" customWidth="1"/>
    <col min="4891" max="4891" width="21.44140625" style="48" customWidth="1"/>
    <col min="4892" max="4907" width="9.6640625" style="48"/>
    <col min="4908" max="4909" width="13.44140625" style="48" customWidth="1"/>
    <col min="4910" max="4910" width="9.6640625" style="48"/>
    <col min="4911" max="4911" width="13.88671875" style="48" customWidth="1"/>
    <col min="4912" max="4912" width="10.6640625" style="48" customWidth="1"/>
    <col min="4913" max="4913" width="17.33203125" style="48" customWidth="1"/>
    <col min="4914" max="4915" width="12.6640625" style="48" customWidth="1"/>
    <col min="4916" max="4916" width="11.21875" style="48" customWidth="1"/>
    <col min="4917" max="4917" width="18.33203125" style="48" customWidth="1"/>
    <col min="4918" max="4918" width="12.88671875" style="48" customWidth="1"/>
    <col min="4919" max="4920" width="13.21875" style="48" customWidth="1"/>
    <col min="4921" max="4921" width="10.88671875" style="48" customWidth="1"/>
    <col min="4922" max="4922" width="11.109375" style="48" customWidth="1"/>
    <col min="4923" max="4923" width="15.21875" style="48" customWidth="1"/>
    <col min="4924" max="4924" width="9.6640625" style="48"/>
    <col min="4925" max="4925" width="11" style="48" customWidth="1"/>
    <col min="4926" max="4926" width="10.77734375" style="48" customWidth="1"/>
    <col min="4927" max="4927" width="11.44140625" style="48" customWidth="1"/>
    <col min="4928" max="4928" width="4" style="48" customWidth="1"/>
    <col min="4929" max="5119" width="9.6640625" style="48"/>
    <col min="5120" max="5120" width="6.44140625" style="48" customWidth="1"/>
    <col min="5121" max="5121" width="13.88671875" style="48" customWidth="1"/>
    <col min="5122" max="5122" width="14.33203125" style="48" customWidth="1"/>
    <col min="5123" max="5139" width="9.6640625" style="48"/>
    <col min="5140" max="5140" width="12" style="48" customWidth="1"/>
    <col min="5141" max="5141" width="12.77734375" style="48" customWidth="1"/>
    <col min="5142" max="5142" width="11.109375" style="48" customWidth="1"/>
    <col min="5143" max="5143" width="12" style="48" customWidth="1"/>
    <col min="5144" max="5144" width="9.6640625" style="48"/>
    <col min="5145" max="5145" width="15.33203125" style="48" customWidth="1"/>
    <col min="5146" max="5146" width="15.21875" style="48" customWidth="1"/>
    <col min="5147" max="5147" width="21.44140625" style="48" customWidth="1"/>
    <col min="5148" max="5163" width="9.6640625" style="48"/>
    <col min="5164" max="5165" width="13.44140625" style="48" customWidth="1"/>
    <col min="5166" max="5166" width="9.6640625" style="48"/>
    <col min="5167" max="5167" width="13.88671875" style="48" customWidth="1"/>
    <col min="5168" max="5168" width="10.6640625" style="48" customWidth="1"/>
    <col min="5169" max="5169" width="17.33203125" style="48" customWidth="1"/>
    <col min="5170" max="5171" width="12.6640625" style="48" customWidth="1"/>
    <col min="5172" max="5172" width="11.21875" style="48" customWidth="1"/>
    <col min="5173" max="5173" width="18.33203125" style="48" customWidth="1"/>
    <col min="5174" max="5174" width="12.88671875" style="48" customWidth="1"/>
    <col min="5175" max="5176" width="13.21875" style="48" customWidth="1"/>
    <col min="5177" max="5177" width="10.88671875" style="48" customWidth="1"/>
    <col min="5178" max="5178" width="11.109375" style="48" customWidth="1"/>
    <col min="5179" max="5179" width="15.21875" style="48" customWidth="1"/>
    <col min="5180" max="5180" width="9.6640625" style="48"/>
    <col min="5181" max="5181" width="11" style="48" customWidth="1"/>
    <col min="5182" max="5182" width="10.77734375" style="48" customWidth="1"/>
    <col min="5183" max="5183" width="11.44140625" style="48" customWidth="1"/>
    <col min="5184" max="5184" width="4" style="48" customWidth="1"/>
    <col min="5185" max="5375" width="9.6640625" style="48"/>
    <col min="5376" max="5376" width="6.44140625" style="48" customWidth="1"/>
    <col min="5377" max="5377" width="13.88671875" style="48" customWidth="1"/>
    <col min="5378" max="5378" width="14.33203125" style="48" customWidth="1"/>
    <col min="5379" max="5395" width="9.6640625" style="48"/>
    <col min="5396" max="5396" width="12" style="48" customWidth="1"/>
    <col min="5397" max="5397" width="12.77734375" style="48" customWidth="1"/>
    <col min="5398" max="5398" width="11.109375" style="48" customWidth="1"/>
    <col min="5399" max="5399" width="12" style="48" customWidth="1"/>
    <col min="5400" max="5400" width="9.6640625" style="48"/>
    <col min="5401" max="5401" width="15.33203125" style="48" customWidth="1"/>
    <col min="5402" max="5402" width="15.21875" style="48" customWidth="1"/>
    <col min="5403" max="5403" width="21.44140625" style="48" customWidth="1"/>
    <col min="5404" max="5419" width="9.6640625" style="48"/>
    <col min="5420" max="5421" width="13.44140625" style="48" customWidth="1"/>
    <col min="5422" max="5422" width="9.6640625" style="48"/>
    <col min="5423" max="5423" width="13.88671875" style="48" customWidth="1"/>
    <col min="5424" max="5424" width="10.6640625" style="48" customWidth="1"/>
    <col min="5425" max="5425" width="17.33203125" style="48" customWidth="1"/>
    <col min="5426" max="5427" width="12.6640625" style="48" customWidth="1"/>
    <col min="5428" max="5428" width="11.21875" style="48" customWidth="1"/>
    <col min="5429" max="5429" width="18.33203125" style="48" customWidth="1"/>
    <col min="5430" max="5430" width="12.88671875" style="48" customWidth="1"/>
    <col min="5431" max="5432" width="13.21875" style="48" customWidth="1"/>
    <col min="5433" max="5433" width="10.88671875" style="48" customWidth="1"/>
    <col min="5434" max="5434" width="11.109375" style="48" customWidth="1"/>
    <col min="5435" max="5435" width="15.21875" style="48" customWidth="1"/>
    <col min="5436" max="5436" width="9.6640625" style="48"/>
    <col min="5437" max="5437" width="11" style="48" customWidth="1"/>
    <col min="5438" max="5438" width="10.77734375" style="48" customWidth="1"/>
    <col min="5439" max="5439" width="11.44140625" style="48" customWidth="1"/>
    <col min="5440" max="5440" width="4" style="48" customWidth="1"/>
    <col min="5441" max="5631" width="9.6640625" style="48"/>
    <col min="5632" max="5632" width="6.44140625" style="48" customWidth="1"/>
    <col min="5633" max="5633" width="13.88671875" style="48" customWidth="1"/>
    <col min="5634" max="5634" width="14.33203125" style="48" customWidth="1"/>
    <col min="5635" max="5651" width="9.6640625" style="48"/>
    <col min="5652" max="5652" width="12" style="48" customWidth="1"/>
    <col min="5653" max="5653" width="12.77734375" style="48" customWidth="1"/>
    <col min="5654" max="5654" width="11.109375" style="48" customWidth="1"/>
    <col min="5655" max="5655" width="12" style="48" customWidth="1"/>
    <col min="5656" max="5656" width="9.6640625" style="48"/>
    <col min="5657" max="5657" width="15.33203125" style="48" customWidth="1"/>
    <col min="5658" max="5658" width="15.21875" style="48" customWidth="1"/>
    <col min="5659" max="5659" width="21.44140625" style="48" customWidth="1"/>
    <col min="5660" max="5675" width="9.6640625" style="48"/>
    <col min="5676" max="5677" width="13.44140625" style="48" customWidth="1"/>
    <col min="5678" max="5678" width="9.6640625" style="48"/>
    <col min="5679" max="5679" width="13.88671875" style="48" customWidth="1"/>
    <col min="5680" max="5680" width="10.6640625" style="48" customWidth="1"/>
    <col min="5681" max="5681" width="17.33203125" style="48" customWidth="1"/>
    <col min="5682" max="5683" width="12.6640625" style="48" customWidth="1"/>
    <col min="5684" max="5684" width="11.21875" style="48" customWidth="1"/>
    <col min="5685" max="5685" width="18.33203125" style="48" customWidth="1"/>
    <col min="5686" max="5686" width="12.88671875" style="48" customWidth="1"/>
    <col min="5687" max="5688" width="13.21875" style="48" customWidth="1"/>
    <col min="5689" max="5689" width="10.88671875" style="48" customWidth="1"/>
    <col min="5690" max="5690" width="11.109375" style="48" customWidth="1"/>
    <col min="5691" max="5691" width="15.21875" style="48" customWidth="1"/>
    <col min="5692" max="5692" width="9.6640625" style="48"/>
    <col min="5693" max="5693" width="11" style="48" customWidth="1"/>
    <col min="5694" max="5694" width="10.77734375" style="48" customWidth="1"/>
    <col min="5695" max="5695" width="11.44140625" style="48" customWidth="1"/>
    <col min="5696" max="5696" width="4" style="48" customWidth="1"/>
    <col min="5697" max="5887" width="9.6640625" style="48"/>
    <col min="5888" max="5888" width="6.44140625" style="48" customWidth="1"/>
    <col min="5889" max="5889" width="13.88671875" style="48" customWidth="1"/>
    <col min="5890" max="5890" width="14.33203125" style="48" customWidth="1"/>
    <col min="5891" max="5907" width="9.6640625" style="48"/>
    <col min="5908" max="5908" width="12" style="48" customWidth="1"/>
    <col min="5909" max="5909" width="12.77734375" style="48" customWidth="1"/>
    <col min="5910" max="5910" width="11.109375" style="48" customWidth="1"/>
    <col min="5911" max="5911" width="12" style="48" customWidth="1"/>
    <col min="5912" max="5912" width="9.6640625" style="48"/>
    <col min="5913" max="5913" width="15.33203125" style="48" customWidth="1"/>
    <col min="5914" max="5914" width="15.21875" style="48" customWidth="1"/>
    <col min="5915" max="5915" width="21.44140625" style="48" customWidth="1"/>
    <col min="5916" max="5931" width="9.6640625" style="48"/>
    <col min="5932" max="5933" width="13.44140625" style="48" customWidth="1"/>
    <col min="5934" max="5934" width="9.6640625" style="48"/>
    <col min="5935" max="5935" width="13.88671875" style="48" customWidth="1"/>
    <col min="5936" max="5936" width="10.6640625" style="48" customWidth="1"/>
    <col min="5937" max="5937" width="17.33203125" style="48" customWidth="1"/>
    <col min="5938" max="5939" width="12.6640625" style="48" customWidth="1"/>
    <col min="5940" max="5940" width="11.21875" style="48" customWidth="1"/>
    <col min="5941" max="5941" width="18.33203125" style="48" customWidth="1"/>
    <col min="5942" max="5942" width="12.88671875" style="48" customWidth="1"/>
    <col min="5943" max="5944" width="13.21875" style="48" customWidth="1"/>
    <col min="5945" max="5945" width="10.88671875" style="48" customWidth="1"/>
    <col min="5946" max="5946" width="11.109375" style="48" customWidth="1"/>
    <col min="5947" max="5947" width="15.21875" style="48" customWidth="1"/>
    <col min="5948" max="5948" width="9.6640625" style="48"/>
    <col min="5949" max="5949" width="11" style="48" customWidth="1"/>
    <col min="5950" max="5950" width="10.77734375" style="48" customWidth="1"/>
    <col min="5951" max="5951" width="11.44140625" style="48" customWidth="1"/>
    <col min="5952" max="5952" width="4" style="48" customWidth="1"/>
    <col min="5953" max="6143" width="9.6640625" style="48"/>
    <col min="6144" max="6144" width="6.44140625" style="48" customWidth="1"/>
    <col min="6145" max="6145" width="13.88671875" style="48" customWidth="1"/>
    <col min="6146" max="6146" width="14.33203125" style="48" customWidth="1"/>
    <col min="6147" max="6163" width="9.6640625" style="48"/>
    <col min="6164" max="6164" width="12" style="48" customWidth="1"/>
    <col min="6165" max="6165" width="12.77734375" style="48" customWidth="1"/>
    <col min="6166" max="6166" width="11.109375" style="48" customWidth="1"/>
    <col min="6167" max="6167" width="12" style="48" customWidth="1"/>
    <col min="6168" max="6168" width="9.6640625" style="48"/>
    <col min="6169" max="6169" width="15.33203125" style="48" customWidth="1"/>
    <col min="6170" max="6170" width="15.21875" style="48" customWidth="1"/>
    <col min="6171" max="6171" width="21.44140625" style="48" customWidth="1"/>
    <col min="6172" max="6187" width="9.6640625" style="48"/>
    <col min="6188" max="6189" width="13.44140625" style="48" customWidth="1"/>
    <col min="6190" max="6190" width="9.6640625" style="48"/>
    <col min="6191" max="6191" width="13.88671875" style="48" customWidth="1"/>
    <col min="6192" max="6192" width="10.6640625" style="48" customWidth="1"/>
    <col min="6193" max="6193" width="17.33203125" style="48" customWidth="1"/>
    <col min="6194" max="6195" width="12.6640625" style="48" customWidth="1"/>
    <col min="6196" max="6196" width="11.21875" style="48" customWidth="1"/>
    <col min="6197" max="6197" width="18.33203125" style="48" customWidth="1"/>
    <col min="6198" max="6198" width="12.88671875" style="48" customWidth="1"/>
    <col min="6199" max="6200" width="13.21875" style="48" customWidth="1"/>
    <col min="6201" max="6201" width="10.88671875" style="48" customWidth="1"/>
    <col min="6202" max="6202" width="11.109375" style="48" customWidth="1"/>
    <col min="6203" max="6203" width="15.21875" style="48" customWidth="1"/>
    <col min="6204" max="6204" width="9.6640625" style="48"/>
    <col min="6205" max="6205" width="11" style="48" customWidth="1"/>
    <col min="6206" max="6206" width="10.77734375" style="48" customWidth="1"/>
    <col min="6207" max="6207" width="11.44140625" style="48" customWidth="1"/>
    <col min="6208" max="6208" width="4" style="48" customWidth="1"/>
    <col min="6209" max="6399" width="9.6640625" style="48"/>
    <col min="6400" max="6400" width="6.44140625" style="48" customWidth="1"/>
    <col min="6401" max="6401" width="13.88671875" style="48" customWidth="1"/>
    <col min="6402" max="6402" width="14.33203125" style="48" customWidth="1"/>
    <col min="6403" max="6419" width="9.6640625" style="48"/>
    <col min="6420" max="6420" width="12" style="48" customWidth="1"/>
    <col min="6421" max="6421" width="12.77734375" style="48" customWidth="1"/>
    <col min="6422" max="6422" width="11.109375" style="48" customWidth="1"/>
    <col min="6423" max="6423" width="12" style="48" customWidth="1"/>
    <col min="6424" max="6424" width="9.6640625" style="48"/>
    <col min="6425" max="6425" width="15.33203125" style="48" customWidth="1"/>
    <col min="6426" max="6426" width="15.21875" style="48" customWidth="1"/>
    <col min="6427" max="6427" width="21.44140625" style="48" customWidth="1"/>
    <col min="6428" max="6443" width="9.6640625" style="48"/>
    <col min="6444" max="6445" width="13.44140625" style="48" customWidth="1"/>
    <col min="6446" max="6446" width="9.6640625" style="48"/>
    <col min="6447" max="6447" width="13.88671875" style="48" customWidth="1"/>
    <col min="6448" max="6448" width="10.6640625" style="48" customWidth="1"/>
    <col min="6449" max="6449" width="17.33203125" style="48" customWidth="1"/>
    <col min="6450" max="6451" width="12.6640625" style="48" customWidth="1"/>
    <col min="6452" max="6452" width="11.21875" style="48" customWidth="1"/>
    <col min="6453" max="6453" width="18.33203125" style="48" customWidth="1"/>
    <col min="6454" max="6454" width="12.88671875" style="48" customWidth="1"/>
    <col min="6455" max="6456" width="13.21875" style="48" customWidth="1"/>
    <col min="6457" max="6457" width="10.88671875" style="48" customWidth="1"/>
    <col min="6458" max="6458" width="11.109375" style="48" customWidth="1"/>
    <col min="6459" max="6459" width="15.21875" style="48" customWidth="1"/>
    <col min="6460" max="6460" width="9.6640625" style="48"/>
    <col min="6461" max="6461" width="11" style="48" customWidth="1"/>
    <col min="6462" max="6462" width="10.77734375" style="48" customWidth="1"/>
    <col min="6463" max="6463" width="11.44140625" style="48" customWidth="1"/>
    <col min="6464" max="6464" width="4" style="48" customWidth="1"/>
    <col min="6465" max="6655" width="9.6640625" style="48"/>
    <col min="6656" max="6656" width="6.44140625" style="48" customWidth="1"/>
    <col min="6657" max="6657" width="13.88671875" style="48" customWidth="1"/>
    <col min="6658" max="6658" width="14.33203125" style="48" customWidth="1"/>
    <col min="6659" max="6675" width="9.6640625" style="48"/>
    <col min="6676" max="6676" width="12" style="48" customWidth="1"/>
    <col min="6677" max="6677" width="12.77734375" style="48" customWidth="1"/>
    <col min="6678" max="6678" width="11.109375" style="48" customWidth="1"/>
    <col min="6679" max="6679" width="12" style="48" customWidth="1"/>
    <col min="6680" max="6680" width="9.6640625" style="48"/>
    <col min="6681" max="6681" width="15.33203125" style="48" customWidth="1"/>
    <col min="6682" max="6682" width="15.21875" style="48" customWidth="1"/>
    <col min="6683" max="6683" width="21.44140625" style="48" customWidth="1"/>
    <col min="6684" max="6699" width="9.6640625" style="48"/>
    <col min="6700" max="6701" width="13.44140625" style="48" customWidth="1"/>
    <col min="6702" max="6702" width="9.6640625" style="48"/>
    <col min="6703" max="6703" width="13.88671875" style="48" customWidth="1"/>
    <col min="6704" max="6704" width="10.6640625" style="48" customWidth="1"/>
    <col min="6705" max="6705" width="17.33203125" style="48" customWidth="1"/>
    <col min="6706" max="6707" width="12.6640625" style="48" customWidth="1"/>
    <col min="6708" max="6708" width="11.21875" style="48" customWidth="1"/>
    <col min="6709" max="6709" width="18.33203125" style="48" customWidth="1"/>
    <col min="6710" max="6710" width="12.88671875" style="48" customWidth="1"/>
    <col min="6711" max="6712" width="13.21875" style="48" customWidth="1"/>
    <col min="6713" max="6713" width="10.88671875" style="48" customWidth="1"/>
    <col min="6714" max="6714" width="11.109375" style="48" customWidth="1"/>
    <col min="6715" max="6715" width="15.21875" style="48" customWidth="1"/>
    <col min="6716" max="6716" width="9.6640625" style="48"/>
    <col min="6717" max="6717" width="11" style="48" customWidth="1"/>
    <col min="6718" max="6718" width="10.77734375" style="48" customWidth="1"/>
    <col min="6719" max="6719" width="11.44140625" style="48" customWidth="1"/>
    <col min="6720" max="6720" width="4" style="48" customWidth="1"/>
    <col min="6721" max="6911" width="9.6640625" style="48"/>
    <col min="6912" max="6912" width="6.44140625" style="48" customWidth="1"/>
    <col min="6913" max="6913" width="13.88671875" style="48" customWidth="1"/>
    <col min="6914" max="6914" width="14.33203125" style="48" customWidth="1"/>
    <col min="6915" max="6931" width="9.6640625" style="48"/>
    <col min="6932" max="6932" width="12" style="48" customWidth="1"/>
    <col min="6933" max="6933" width="12.77734375" style="48" customWidth="1"/>
    <col min="6934" max="6934" width="11.109375" style="48" customWidth="1"/>
    <col min="6935" max="6935" width="12" style="48" customWidth="1"/>
    <col min="6936" max="6936" width="9.6640625" style="48"/>
    <col min="6937" max="6937" width="15.33203125" style="48" customWidth="1"/>
    <col min="6938" max="6938" width="15.21875" style="48" customWidth="1"/>
    <col min="6939" max="6939" width="21.44140625" style="48" customWidth="1"/>
    <col min="6940" max="6955" width="9.6640625" style="48"/>
    <col min="6956" max="6957" width="13.44140625" style="48" customWidth="1"/>
    <col min="6958" max="6958" width="9.6640625" style="48"/>
    <col min="6959" max="6959" width="13.88671875" style="48" customWidth="1"/>
    <col min="6960" max="6960" width="10.6640625" style="48" customWidth="1"/>
    <col min="6961" max="6961" width="17.33203125" style="48" customWidth="1"/>
    <col min="6962" max="6963" width="12.6640625" style="48" customWidth="1"/>
    <col min="6964" max="6964" width="11.21875" style="48" customWidth="1"/>
    <col min="6965" max="6965" width="18.33203125" style="48" customWidth="1"/>
    <col min="6966" max="6966" width="12.88671875" style="48" customWidth="1"/>
    <col min="6967" max="6968" width="13.21875" style="48" customWidth="1"/>
    <col min="6969" max="6969" width="10.88671875" style="48" customWidth="1"/>
    <col min="6970" max="6970" width="11.109375" style="48" customWidth="1"/>
    <col min="6971" max="6971" width="15.21875" style="48" customWidth="1"/>
    <col min="6972" max="6972" width="9.6640625" style="48"/>
    <col min="6973" max="6973" width="11" style="48" customWidth="1"/>
    <col min="6974" max="6974" width="10.77734375" style="48" customWidth="1"/>
    <col min="6975" max="6975" width="11.44140625" style="48" customWidth="1"/>
    <col min="6976" max="6976" width="4" style="48" customWidth="1"/>
    <col min="6977" max="7167" width="9.6640625" style="48"/>
    <col min="7168" max="7168" width="6.44140625" style="48" customWidth="1"/>
    <col min="7169" max="7169" width="13.88671875" style="48" customWidth="1"/>
    <col min="7170" max="7170" width="14.33203125" style="48" customWidth="1"/>
    <col min="7171" max="7187" width="9.6640625" style="48"/>
    <col min="7188" max="7188" width="12" style="48" customWidth="1"/>
    <col min="7189" max="7189" width="12.77734375" style="48" customWidth="1"/>
    <col min="7190" max="7190" width="11.109375" style="48" customWidth="1"/>
    <col min="7191" max="7191" width="12" style="48" customWidth="1"/>
    <col min="7192" max="7192" width="9.6640625" style="48"/>
    <col min="7193" max="7193" width="15.33203125" style="48" customWidth="1"/>
    <col min="7194" max="7194" width="15.21875" style="48" customWidth="1"/>
    <col min="7195" max="7195" width="21.44140625" style="48" customWidth="1"/>
    <col min="7196" max="7211" width="9.6640625" style="48"/>
    <col min="7212" max="7213" width="13.44140625" style="48" customWidth="1"/>
    <col min="7214" max="7214" width="9.6640625" style="48"/>
    <col min="7215" max="7215" width="13.88671875" style="48" customWidth="1"/>
    <col min="7216" max="7216" width="10.6640625" style="48" customWidth="1"/>
    <col min="7217" max="7217" width="17.33203125" style="48" customWidth="1"/>
    <col min="7218" max="7219" width="12.6640625" style="48" customWidth="1"/>
    <col min="7220" max="7220" width="11.21875" style="48" customWidth="1"/>
    <col min="7221" max="7221" width="18.33203125" style="48" customWidth="1"/>
    <col min="7222" max="7222" width="12.88671875" style="48" customWidth="1"/>
    <col min="7223" max="7224" width="13.21875" style="48" customWidth="1"/>
    <col min="7225" max="7225" width="10.88671875" style="48" customWidth="1"/>
    <col min="7226" max="7226" width="11.109375" style="48" customWidth="1"/>
    <col min="7227" max="7227" width="15.21875" style="48" customWidth="1"/>
    <col min="7228" max="7228" width="9.6640625" style="48"/>
    <col min="7229" max="7229" width="11" style="48" customWidth="1"/>
    <col min="7230" max="7230" width="10.77734375" style="48" customWidth="1"/>
    <col min="7231" max="7231" width="11.44140625" style="48" customWidth="1"/>
    <col min="7232" max="7232" width="4" style="48" customWidth="1"/>
    <col min="7233" max="7423" width="9.6640625" style="48"/>
    <col min="7424" max="7424" width="6.44140625" style="48" customWidth="1"/>
    <col min="7425" max="7425" width="13.88671875" style="48" customWidth="1"/>
    <col min="7426" max="7426" width="14.33203125" style="48" customWidth="1"/>
    <col min="7427" max="7443" width="9.6640625" style="48"/>
    <col min="7444" max="7444" width="12" style="48" customWidth="1"/>
    <col min="7445" max="7445" width="12.77734375" style="48" customWidth="1"/>
    <col min="7446" max="7446" width="11.109375" style="48" customWidth="1"/>
    <col min="7447" max="7447" width="12" style="48" customWidth="1"/>
    <col min="7448" max="7448" width="9.6640625" style="48"/>
    <col min="7449" max="7449" width="15.33203125" style="48" customWidth="1"/>
    <col min="7450" max="7450" width="15.21875" style="48" customWidth="1"/>
    <col min="7451" max="7451" width="21.44140625" style="48" customWidth="1"/>
    <col min="7452" max="7467" width="9.6640625" style="48"/>
    <col min="7468" max="7469" width="13.44140625" style="48" customWidth="1"/>
    <col min="7470" max="7470" width="9.6640625" style="48"/>
    <col min="7471" max="7471" width="13.88671875" style="48" customWidth="1"/>
    <col min="7472" max="7472" width="10.6640625" style="48" customWidth="1"/>
    <col min="7473" max="7473" width="17.33203125" style="48" customWidth="1"/>
    <col min="7474" max="7475" width="12.6640625" style="48" customWidth="1"/>
    <col min="7476" max="7476" width="11.21875" style="48" customWidth="1"/>
    <col min="7477" max="7477" width="18.33203125" style="48" customWidth="1"/>
    <col min="7478" max="7478" width="12.88671875" style="48" customWidth="1"/>
    <col min="7479" max="7480" width="13.21875" style="48" customWidth="1"/>
    <col min="7481" max="7481" width="10.88671875" style="48" customWidth="1"/>
    <col min="7482" max="7482" width="11.109375" style="48" customWidth="1"/>
    <col min="7483" max="7483" width="15.21875" style="48" customWidth="1"/>
    <col min="7484" max="7484" width="9.6640625" style="48"/>
    <col min="7485" max="7485" width="11" style="48" customWidth="1"/>
    <col min="7486" max="7486" width="10.77734375" style="48" customWidth="1"/>
    <col min="7487" max="7487" width="11.44140625" style="48" customWidth="1"/>
    <col min="7488" max="7488" width="4" style="48" customWidth="1"/>
    <col min="7489" max="7679" width="9.6640625" style="48"/>
    <col min="7680" max="7680" width="6.44140625" style="48" customWidth="1"/>
    <col min="7681" max="7681" width="13.88671875" style="48" customWidth="1"/>
    <col min="7682" max="7682" width="14.33203125" style="48" customWidth="1"/>
    <col min="7683" max="7699" width="9.6640625" style="48"/>
    <col min="7700" max="7700" width="12" style="48" customWidth="1"/>
    <col min="7701" max="7701" width="12.77734375" style="48" customWidth="1"/>
    <col min="7702" max="7702" width="11.109375" style="48" customWidth="1"/>
    <col min="7703" max="7703" width="12" style="48" customWidth="1"/>
    <col min="7704" max="7704" width="9.6640625" style="48"/>
    <col min="7705" max="7705" width="15.33203125" style="48" customWidth="1"/>
    <col min="7706" max="7706" width="15.21875" style="48" customWidth="1"/>
    <col min="7707" max="7707" width="21.44140625" style="48" customWidth="1"/>
    <col min="7708" max="7723" width="9.6640625" style="48"/>
    <col min="7724" max="7725" width="13.44140625" style="48" customWidth="1"/>
    <col min="7726" max="7726" width="9.6640625" style="48"/>
    <col min="7727" max="7727" width="13.88671875" style="48" customWidth="1"/>
    <col min="7728" max="7728" width="10.6640625" style="48" customWidth="1"/>
    <col min="7729" max="7729" width="17.33203125" style="48" customWidth="1"/>
    <col min="7730" max="7731" width="12.6640625" style="48" customWidth="1"/>
    <col min="7732" max="7732" width="11.21875" style="48" customWidth="1"/>
    <col min="7733" max="7733" width="18.33203125" style="48" customWidth="1"/>
    <col min="7734" max="7734" width="12.88671875" style="48" customWidth="1"/>
    <col min="7735" max="7736" width="13.21875" style="48" customWidth="1"/>
    <col min="7737" max="7737" width="10.88671875" style="48" customWidth="1"/>
    <col min="7738" max="7738" width="11.109375" style="48" customWidth="1"/>
    <col min="7739" max="7739" width="15.21875" style="48" customWidth="1"/>
    <col min="7740" max="7740" width="9.6640625" style="48"/>
    <col min="7741" max="7741" width="11" style="48" customWidth="1"/>
    <col min="7742" max="7742" width="10.77734375" style="48" customWidth="1"/>
    <col min="7743" max="7743" width="11.44140625" style="48" customWidth="1"/>
    <col min="7744" max="7744" width="4" style="48" customWidth="1"/>
    <col min="7745" max="7935" width="9.6640625" style="48"/>
    <col min="7936" max="7936" width="6.44140625" style="48" customWidth="1"/>
    <col min="7937" max="7937" width="13.88671875" style="48" customWidth="1"/>
    <col min="7938" max="7938" width="14.33203125" style="48" customWidth="1"/>
    <col min="7939" max="7955" width="9.6640625" style="48"/>
    <col min="7956" max="7956" width="12" style="48" customWidth="1"/>
    <col min="7957" max="7957" width="12.77734375" style="48" customWidth="1"/>
    <col min="7958" max="7958" width="11.109375" style="48" customWidth="1"/>
    <col min="7959" max="7959" width="12" style="48" customWidth="1"/>
    <col min="7960" max="7960" width="9.6640625" style="48"/>
    <col min="7961" max="7961" width="15.33203125" style="48" customWidth="1"/>
    <col min="7962" max="7962" width="15.21875" style="48" customWidth="1"/>
    <col min="7963" max="7963" width="21.44140625" style="48" customWidth="1"/>
    <col min="7964" max="7979" width="9.6640625" style="48"/>
    <col min="7980" max="7981" width="13.44140625" style="48" customWidth="1"/>
    <col min="7982" max="7982" width="9.6640625" style="48"/>
    <col min="7983" max="7983" width="13.88671875" style="48" customWidth="1"/>
    <col min="7984" max="7984" width="10.6640625" style="48" customWidth="1"/>
    <col min="7985" max="7985" width="17.33203125" style="48" customWidth="1"/>
    <col min="7986" max="7987" width="12.6640625" style="48" customWidth="1"/>
    <col min="7988" max="7988" width="11.21875" style="48" customWidth="1"/>
    <col min="7989" max="7989" width="18.33203125" style="48" customWidth="1"/>
    <col min="7990" max="7990" width="12.88671875" style="48" customWidth="1"/>
    <col min="7991" max="7992" width="13.21875" style="48" customWidth="1"/>
    <col min="7993" max="7993" width="10.88671875" style="48" customWidth="1"/>
    <col min="7994" max="7994" width="11.109375" style="48" customWidth="1"/>
    <col min="7995" max="7995" width="15.21875" style="48" customWidth="1"/>
    <col min="7996" max="7996" width="9.6640625" style="48"/>
    <col min="7997" max="7997" width="11" style="48" customWidth="1"/>
    <col min="7998" max="7998" width="10.77734375" style="48" customWidth="1"/>
    <col min="7999" max="7999" width="11.44140625" style="48" customWidth="1"/>
    <col min="8000" max="8000" width="4" style="48" customWidth="1"/>
    <col min="8001" max="8191" width="9.6640625" style="48"/>
    <col min="8192" max="8192" width="6.44140625" style="48" customWidth="1"/>
    <col min="8193" max="8193" width="13.88671875" style="48" customWidth="1"/>
    <col min="8194" max="8194" width="14.33203125" style="48" customWidth="1"/>
    <col min="8195" max="8211" width="9.6640625" style="48"/>
    <col min="8212" max="8212" width="12" style="48" customWidth="1"/>
    <col min="8213" max="8213" width="12.77734375" style="48" customWidth="1"/>
    <col min="8214" max="8214" width="11.109375" style="48" customWidth="1"/>
    <col min="8215" max="8215" width="12" style="48" customWidth="1"/>
    <col min="8216" max="8216" width="9.6640625" style="48"/>
    <col min="8217" max="8217" width="15.33203125" style="48" customWidth="1"/>
    <col min="8218" max="8218" width="15.21875" style="48" customWidth="1"/>
    <col min="8219" max="8219" width="21.44140625" style="48" customWidth="1"/>
    <col min="8220" max="8235" width="9.6640625" style="48"/>
    <col min="8236" max="8237" width="13.44140625" style="48" customWidth="1"/>
    <col min="8238" max="8238" width="9.6640625" style="48"/>
    <col min="8239" max="8239" width="13.88671875" style="48" customWidth="1"/>
    <col min="8240" max="8240" width="10.6640625" style="48" customWidth="1"/>
    <col min="8241" max="8241" width="17.33203125" style="48" customWidth="1"/>
    <col min="8242" max="8243" width="12.6640625" style="48" customWidth="1"/>
    <col min="8244" max="8244" width="11.21875" style="48" customWidth="1"/>
    <col min="8245" max="8245" width="18.33203125" style="48" customWidth="1"/>
    <col min="8246" max="8246" width="12.88671875" style="48" customWidth="1"/>
    <col min="8247" max="8248" width="13.21875" style="48" customWidth="1"/>
    <col min="8249" max="8249" width="10.88671875" style="48" customWidth="1"/>
    <col min="8250" max="8250" width="11.109375" style="48" customWidth="1"/>
    <col min="8251" max="8251" width="15.21875" style="48" customWidth="1"/>
    <col min="8252" max="8252" width="9.6640625" style="48"/>
    <col min="8253" max="8253" width="11" style="48" customWidth="1"/>
    <col min="8254" max="8254" width="10.77734375" style="48" customWidth="1"/>
    <col min="8255" max="8255" width="11.44140625" style="48" customWidth="1"/>
    <col min="8256" max="8256" width="4" style="48" customWidth="1"/>
    <col min="8257" max="8447" width="9.6640625" style="48"/>
    <col min="8448" max="8448" width="6.44140625" style="48" customWidth="1"/>
    <col min="8449" max="8449" width="13.88671875" style="48" customWidth="1"/>
    <col min="8450" max="8450" width="14.33203125" style="48" customWidth="1"/>
    <col min="8451" max="8467" width="9.6640625" style="48"/>
    <col min="8468" max="8468" width="12" style="48" customWidth="1"/>
    <col min="8469" max="8469" width="12.77734375" style="48" customWidth="1"/>
    <col min="8470" max="8470" width="11.109375" style="48" customWidth="1"/>
    <col min="8471" max="8471" width="12" style="48" customWidth="1"/>
    <col min="8472" max="8472" width="9.6640625" style="48"/>
    <col min="8473" max="8473" width="15.33203125" style="48" customWidth="1"/>
    <col min="8474" max="8474" width="15.21875" style="48" customWidth="1"/>
    <col min="8475" max="8475" width="21.44140625" style="48" customWidth="1"/>
    <col min="8476" max="8491" width="9.6640625" style="48"/>
    <col min="8492" max="8493" width="13.44140625" style="48" customWidth="1"/>
    <col min="8494" max="8494" width="9.6640625" style="48"/>
    <col min="8495" max="8495" width="13.88671875" style="48" customWidth="1"/>
    <col min="8496" max="8496" width="10.6640625" style="48" customWidth="1"/>
    <col min="8497" max="8497" width="17.33203125" style="48" customWidth="1"/>
    <col min="8498" max="8499" width="12.6640625" style="48" customWidth="1"/>
    <col min="8500" max="8500" width="11.21875" style="48" customWidth="1"/>
    <col min="8501" max="8501" width="18.33203125" style="48" customWidth="1"/>
    <col min="8502" max="8502" width="12.88671875" style="48" customWidth="1"/>
    <col min="8503" max="8504" width="13.21875" style="48" customWidth="1"/>
    <col min="8505" max="8505" width="10.88671875" style="48" customWidth="1"/>
    <col min="8506" max="8506" width="11.109375" style="48" customWidth="1"/>
    <col min="8507" max="8507" width="15.21875" style="48" customWidth="1"/>
    <col min="8508" max="8508" width="9.6640625" style="48"/>
    <col min="8509" max="8509" width="11" style="48" customWidth="1"/>
    <col min="8510" max="8510" width="10.77734375" style="48" customWidth="1"/>
    <col min="8511" max="8511" width="11.44140625" style="48" customWidth="1"/>
    <col min="8512" max="8512" width="4" style="48" customWidth="1"/>
    <col min="8513" max="8703" width="9.6640625" style="48"/>
    <col min="8704" max="8704" width="6.44140625" style="48" customWidth="1"/>
    <col min="8705" max="8705" width="13.88671875" style="48" customWidth="1"/>
    <col min="8706" max="8706" width="14.33203125" style="48" customWidth="1"/>
    <col min="8707" max="8723" width="9.6640625" style="48"/>
    <col min="8724" max="8724" width="12" style="48" customWidth="1"/>
    <col min="8725" max="8725" width="12.77734375" style="48" customWidth="1"/>
    <col min="8726" max="8726" width="11.109375" style="48" customWidth="1"/>
    <col min="8727" max="8727" width="12" style="48" customWidth="1"/>
    <col min="8728" max="8728" width="9.6640625" style="48"/>
    <col min="8729" max="8729" width="15.33203125" style="48" customWidth="1"/>
    <col min="8730" max="8730" width="15.21875" style="48" customWidth="1"/>
    <col min="8731" max="8731" width="21.44140625" style="48" customWidth="1"/>
    <col min="8732" max="8747" width="9.6640625" style="48"/>
    <col min="8748" max="8749" width="13.44140625" style="48" customWidth="1"/>
    <col min="8750" max="8750" width="9.6640625" style="48"/>
    <col min="8751" max="8751" width="13.88671875" style="48" customWidth="1"/>
    <col min="8752" max="8752" width="10.6640625" style="48" customWidth="1"/>
    <col min="8753" max="8753" width="17.33203125" style="48" customWidth="1"/>
    <col min="8754" max="8755" width="12.6640625" style="48" customWidth="1"/>
    <col min="8756" max="8756" width="11.21875" style="48" customWidth="1"/>
    <col min="8757" max="8757" width="18.33203125" style="48" customWidth="1"/>
    <col min="8758" max="8758" width="12.88671875" style="48" customWidth="1"/>
    <col min="8759" max="8760" width="13.21875" style="48" customWidth="1"/>
    <col min="8761" max="8761" width="10.88671875" style="48" customWidth="1"/>
    <col min="8762" max="8762" width="11.109375" style="48" customWidth="1"/>
    <col min="8763" max="8763" width="15.21875" style="48" customWidth="1"/>
    <col min="8764" max="8764" width="9.6640625" style="48"/>
    <col min="8765" max="8765" width="11" style="48" customWidth="1"/>
    <col min="8766" max="8766" width="10.77734375" style="48" customWidth="1"/>
    <col min="8767" max="8767" width="11.44140625" style="48" customWidth="1"/>
    <col min="8768" max="8768" width="4" style="48" customWidth="1"/>
    <col min="8769" max="8959" width="9.6640625" style="48"/>
    <col min="8960" max="8960" width="6.44140625" style="48" customWidth="1"/>
    <col min="8961" max="8961" width="13.88671875" style="48" customWidth="1"/>
    <col min="8962" max="8962" width="14.33203125" style="48" customWidth="1"/>
    <col min="8963" max="8979" width="9.6640625" style="48"/>
    <col min="8980" max="8980" width="12" style="48" customWidth="1"/>
    <col min="8981" max="8981" width="12.77734375" style="48" customWidth="1"/>
    <col min="8982" max="8982" width="11.109375" style="48" customWidth="1"/>
    <col min="8983" max="8983" width="12" style="48" customWidth="1"/>
    <col min="8984" max="8984" width="9.6640625" style="48"/>
    <col min="8985" max="8985" width="15.33203125" style="48" customWidth="1"/>
    <col min="8986" max="8986" width="15.21875" style="48" customWidth="1"/>
    <col min="8987" max="8987" width="21.44140625" style="48" customWidth="1"/>
    <col min="8988" max="9003" width="9.6640625" style="48"/>
    <col min="9004" max="9005" width="13.44140625" style="48" customWidth="1"/>
    <col min="9006" max="9006" width="9.6640625" style="48"/>
    <col min="9007" max="9007" width="13.88671875" style="48" customWidth="1"/>
    <col min="9008" max="9008" width="10.6640625" style="48" customWidth="1"/>
    <col min="9009" max="9009" width="17.33203125" style="48" customWidth="1"/>
    <col min="9010" max="9011" width="12.6640625" style="48" customWidth="1"/>
    <col min="9012" max="9012" width="11.21875" style="48" customWidth="1"/>
    <col min="9013" max="9013" width="18.33203125" style="48" customWidth="1"/>
    <col min="9014" max="9014" width="12.88671875" style="48" customWidth="1"/>
    <col min="9015" max="9016" width="13.21875" style="48" customWidth="1"/>
    <col min="9017" max="9017" width="10.88671875" style="48" customWidth="1"/>
    <col min="9018" max="9018" width="11.109375" style="48" customWidth="1"/>
    <col min="9019" max="9019" width="15.21875" style="48" customWidth="1"/>
    <col min="9020" max="9020" width="9.6640625" style="48"/>
    <col min="9021" max="9021" width="11" style="48" customWidth="1"/>
    <col min="9022" max="9022" width="10.77734375" style="48" customWidth="1"/>
    <col min="9023" max="9023" width="11.44140625" style="48" customWidth="1"/>
    <col min="9024" max="9024" width="4" style="48" customWidth="1"/>
    <col min="9025" max="9215" width="9.6640625" style="48"/>
    <col min="9216" max="9216" width="6.44140625" style="48" customWidth="1"/>
    <col min="9217" max="9217" width="13.88671875" style="48" customWidth="1"/>
    <col min="9218" max="9218" width="14.33203125" style="48" customWidth="1"/>
    <col min="9219" max="9235" width="9.6640625" style="48"/>
    <col min="9236" max="9236" width="12" style="48" customWidth="1"/>
    <col min="9237" max="9237" width="12.77734375" style="48" customWidth="1"/>
    <col min="9238" max="9238" width="11.109375" style="48" customWidth="1"/>
    <col min="9239" max="9239" width="12" style="48" customWidth="1"/>
    <col min="9240" max="9240" width="9.6640625" style="48"/>
    <col min="9241" max="9241" width="15.33203125" style="48" customWidth="1"/>
    <col min="9242" max="9242" width="15.21875" style="48" customWidth="1"/>
    <col min="9243" max="9243" width="21.44140625" style="48" customWidth="1"/>
    <col min="9244" max="9259" width="9.6640625" style="48"/>
    <col min="9260" max="9261" width="13.44140625" style="48" customWidth="1"/>
    <col min="9262" max="9262" width="9.6640625" style="48"/>
    <col min="9263" max="9263" width="13.88671875" style="48" customWidth="1"/>
    <col min="9264" max="9264" width="10.6640625" style="48" customWidth="1"/>
    <col min="9265" max="9265" width="17.33203125" style="48" customWidth="1"/>
    <col min="9266" max="9267" width="12.6640625" style="48" customWidth="1"/>
    <col min="9268" max="9268" width="11.21875" style="48" customWidth="1"/>
    <col min="9269" max="9269" width="18.33203125" style="48" customWidth="1"/>
    <col min="9270" max="9270" width="12.88671875" style="48" customWidth="1"/>
    <col min="9271" max="9272" width="13.21875" style="48" customWidth="1"/>
    <col min="9273" max="9273" width="10.88671875" style="48" customWidth="1"/>
    <col min="9274" max="9274" width="11.109375" style="48" customWidth="1"/>
    <col min="9275" max="9275" width="15.21875" style="48" customWidth="1"/>
    <col min="9276" max="9276" width="9.6640625" style="48"/>
    <col min="9277" max="9277" width="11" style="48" customWidth="1"/>
    <col min="9278" max="9278" width="10.77734375" style="48" customWidth="1"/>
    <col min="9279" max="9279" width="11.44140625" style="48" customWidth="1"/>
    <col min="9280" max="9280" width="4" style="48" customWidth="1"/>
    <col min="9281" max="9471" width="9.6640625" style="48"/>
    <col min="9472" max="9472" width="6.44140625" style="48" customWidth="1"/>
    <col min="9473" max="9473" width="13.88671875" style="48" customWidth="1"/>
    <col min="9474" max="9474" width="14.33203125" style="48" customWidth="1"/>
    <col min="9475" max="9491" width="9.6640625" style="48"/>
    <col min="9492" max="9492" width="12" style="48" customWidth="1"/>
    <col min="9493" max="9493" width="12.77734375" style="48" customWidth="1"/>
    <col min="9494" max="9494" width="11.109375" style="48" customWidth="1"/>
    <col min="9495" max="9495" width="12" style="48" customWidth="1"/>
    <col min="9496" max="9496" width="9.6640625" style="48"/>
    <col min="9497" max="9497" width="15.33203125" style="48" customWidth="1"/>
    <col min="9498" max="9498" width="15.21875" style="48" customWidth="1"/>
    <col min="9499" max="9499" width="21.44140625" style="48" customWidth="1"/>
    <col min="9500" max="9515" width="9.6640625" style="48"/>
    <col min="9516" max="9517" width="13.44140625" style="48" customWidth="1"/>
    <col min="9518" max="9518" width="9.6640625" style="48"/>
    <col min="9519" max="9519" width="13.88671875" style="48" customWidth="1"/>
    <col min="9520" max="9520" width="10.6640625" style="48" customWidth="1"/>
    <col min="9521" max="9521" width="17.33203125" style="48" customWidth="1"/>
    <col min="9522" max="9523" width="12.6640625" style="48" customWidth="1"/>
    <col min="9524" max="9524" width="11.21875" style="48" customWidth="1"/>
    <col min="9525" max="9525" width="18.33203125" style="48" customWidth="1"/>
    <col min="9526" max="9526" width="12.88671875" style="48" customWidth="1"/>
    <col min="9527" max="9528" width="13.21875" style="48" customWidth="1"/>
    <col min="9529" max="9529" width="10.88671875" style="48" customWidth="1"/>
    <col min="9530" max="9530" width="11.109375" style="48" customWidth="1"/>
    <col min="9531" max="9531" width="15.21875" style="48" customWidth="1"/>
    <col min="9532" max="9532" width="9.6640625" style="48"/>
    <col min="9533" max="9533" width="11" style="48" customWidth="1"/>
    <col min="9534" max="9534" width="10.77734375" style="48" customWidth="1"/>
    <col min="9535" max="9535" width="11.44140625" style="48" customWidth="1"/>
    <col min="9536" max="9536" width="4" style="48" customWidth="1"/>
    <col min="9537" max="9727" width="9.6640625" style="48"/>
    <col min="9728" max="9728" width="6.44140625" style="48" customWidth="1"/>
    <col min="9729" max="9729" width="13.88671875" style="48" customWidth="1"/>
    <col min="9730" max="9730" width="14.33203125" style="48" customWidth="1"/>
    <col min="9731" max="9747" width="9.6640625" style="48"/>
    <col min="9748" max="9748" width="12" style="48" customWidth="1"/>
    <col min="9749" max="9749" width="12.77734375" style="48" customWidth="1"/>
    <col min="9750" max="9750" width="11.109375" style="48" customWidth="1"/>
    <col min="9751" max="9751" width="12" style="48" customWidth="1"/>
    <col min="9752" max="9752" width="9.6640625" style="48"/>
    <col min="9753" max="9753" width="15.33203125" style="48" customWidth="1"/>
    <col min="9754" max="9754" width="15.21875" style="48" customWidth="1"/>
    <col min="9755" max="9755" width="21.44140625" style="48" customWidth="1"/>
    <col min="9756" max="9771" width="9.6640625" style="48"/>
    <col min="9772" max="9773" width="13.44140625" style="48" customWidth="1"/>
    <col min="9774" max="9774" width="9.6640625" style="48"/>
    <col min="9775" max="9775" width="13.88671875" style="48" customWidth="1"/>
    <col min="9776" max="9776" width="10.6640625" style="48" customWidth="1"/>
    <col min="9777" max="9777" width="17.33203125" style="48" customWidth="1"/>
    <col min="9778" max="9779" width="12.6640625" style="48" customWidth="1"/>
    <col min="9780" max="9780" width="11.21875" style="48" customWidth="1"/>
    <col min="9781" max="9781" width="18.33203125" style="48" customWidth="1"/>
    <col min="9782" max="9782" width="12.88671875" style="48" customWidth="1"/>
    <col min="9783" max="9784" width="13.21875" style="48" customWidth="1"/>
    <col min="9785" max="9785" width="10.88671875" style="48" customWidth="1"/>
    <col min="9786" max="9786" width="11.109375" style="48" customWidth="1"/>
    <col min="9787" max="9787" width="15.21875" style="48" customWidth="1"/>
    <col min="9788" max="9788" width="9.6640625" style="48"/>
    <col min="9789" max="9789" width="11" style="48" customWidth="1"/>
    <col min="9790" max="9790" width="10.77734375" style="48" customWidth="1"/>
    <col min="9791" max="9791" width="11.44140625" style="48" customWidth="1"/>
    <col min="9792" max="9792" width="4" style="48" customWidth="1"/>
    <col min="9793" max="9983" width="9.6640625" style="48"/>
    <col min="9984" max="9984" width="6.44140625" style="48" customWidth="1"/>
    <col min="9985" max="9985" width="13.88671875" style="48" customWidth="1"/>
    <col min="9986" max="9986" width="14.33203125" style="48" customWidth="1"/>
    <col min="9987" max="10003" width="9.6640625" style="48"/>
    <col min="10004" max="10004" width="12" style="48" customWidth="1"/>
    <col min="10005" max="10005" width="12.77734375" style="48" customWidth="1"/>
    <col min="10006" max="10006" width="11.109375" style="48" customWidth="1"/>
    <col min="10007" max="10007" width="12" style="48" customWidth="1"/>
    <col min="10008" max="10008" width="9.6640625" style="48"/>
    <col min="10009" max="10009" width="15.33203125" style="48" customWidth="1"/>
    <col min="10010" max="10010" width="15.21875" style="48" customWidth="1"/>
    <col min="10011" max="10011" width="21.44140625" style="48" customWidth="1"/>
    <col min="10012" max="10027" width="9.6640625" style="48"/>
    <col min="10028" max="10029" width="13.44140625" style="48" customWidth="1"/>
    <col min="10030" max="10030" width="9.6640625" style="48"/>
    <col min="10031" max="10031" width="13.88671875" style="48" customWidth="1"/>
    <col min="10032" max="10032" width="10.6640625" style="48" customWidth="1"/>
    <col min="10033" max="10033" width="17.33203125" style="48" customWidth="1"/>
    <col min="10034" max="10035" width="12.6640625" style="48" customWidth="1"/>
    <col min="10036" max="10036" width="11.21875" style="48" customWidth="1"/>
    <col min="10037" max="10037" width="18.33203125" style="48" customWidth="1"/>
    <col min="10038" max="10038" width="12.88671875" style="48" customWidth="1"/>
    <col min="10039" max="10040" width="13.21875" style="48" customWidth="1"/>
    <col min="10041" max="10041" width="10.88671875" style="48" customWidth="1"/>
    <col min="10042" max="10042" width="11.109375" style="48" customWidth="1"/>
    <col min="10043" max="10043" width="15.21875" style="48" customWidth="1"/>
    <col min="10044" max="10044" width="9.6640625" style="48"/>
    <col min="10045" max="10045" width="11" style="48" customWidth="1"/>
    <col min="10046" max="10046" width="10.77734375" style="48" customWidth="1"/>
    <col min="10047" max="10047" width="11.44140625" style="48" customWidth="1"/>
    <col min="10048" max="10048" width="4" style="48" customWidth="1"/>
    <col min="10049" max="10239" width="9.6640625" style="48"/>
    <col min="10240" max="10240" width="6.44140625" style="48" customWidth="1"/>
    <col min="10241" max="10241" width="13.88671875" style="48" customWidth="1"/>
    <col min="10242" max="10242" width="14.33203125" style="48" customWidth="1"/>
    <col min="10243" max="10259" width="9.6640625" style="48"/>
    <col min="10260" max="10260" width="12" style="48" customWidth="1"/>
    <col min="10261" max="10261" width="12.77734375" style="48" customWidth="1"/>
    <col min="10262" max="10262" width="11.109375" style="48" customWidth="1"/>
    <col min="10263" max="10263" width="12" style="48" customWidth="1"/>
    <col min="10264" max="10264" width="9.6640625" style="48"/>
    <col min="10265" max="10265" width="15.33203125" style="48" customWidth="1"/>
    <col min="10266" max="10266" width="15.21875" style="48" customWidth="1"/>
    <col min="10267" max="10267" width="21.44140625" style="48" customWidth="1"/>
    <col min="10268" max="10283" width="9.6640625" style="48"/>
    <col min="10284" max="10285" width="13.44140625" style="48" customWidth="1"/>
    <col min="10286" max="10286" width="9.6640625" style="48"/>
    <col min="10287" max="10287" width="13.88671875" style="48" customWidth="1"/>
    <col min="10288" max="10288" width="10.6640625" style="48" customWidth="1"/>
    <col min="10289" max="10289" width="17.33203125" style="48" customWidth="1"/>
    <col min="10290" max="10291" width="12.6640625" style="48" customWidth="1"/>
    <col min="10292" max="10292" width="11.21875" style="48" customWidth="1"/>
    <col min="10293" max="10293" width="18.33203125" style="48" customWidth="1"/>
    <col min="10294" max="10294" width="12.88671875" style="48" customWidth="1"/>
    <col min="10295" max="10296" width="13.21875" style="48" customWidth="1"/>
    <col min="10297" max="10297" width="10.88671875" style="48" customWidth="1"/>
    <col min="10298" max="10298" width="11.109375" style="48" customWidth="1"/>
    <col min="10299" max="10299" width="15.21875" style="48" customWidth="1"/>
    <col min="10300" max="10300" width="9.6640625" style="48"/>
    <col min="10301" max="10301" width="11" style="48" customWidth="1"/>
    <col min="10302" max="10302" width="10.77734375" style="48" customWidth="1"/>
    <col min="10303" max="10303" width="11.44140625" style="48" customWidth="1"/>
    <col min="10304" max="10304" width="4" style="48" customWidth="1"/>
    <col min="10305" max="10495" width="9.6640625" style="48"/>
    <col min="10496" max="10496" width="6.44140625" style="48" customWidth="1"/>
    <col min="10497" max="10497" width="13.88671875" style="48" customWidth="1"/>
    <col min="10498" max="10498" width="14.33203125" style="48" customWidth="1"/>
    <col min="10499" max="10515" width="9.6640625" style="48"/>
    <col min="10516" max="10516" width="12" style="48" customWidth="1"/>
    <col min="10517" max="10517" width="12.77734375" style="48" customWidth="1"/>
    <col min="10518" max="10518" width="11.109375" style="48" customWidth="1"/>
    <col min="10519" max="10519" width="12" style="48" customWidth="1"/>
    <col min="10520" max="10520" width="9.6640625" style="48"/>
    <col min="10521" max="10521" width="15.33203125" style="48" customWidth="1"/>
    <col min="10522" max="10522" width="15.21875" style="48" customWidth="1"/>
    <col min="10523" max="10523" width="21.44140625" style="48" customWidth="1"/>
    <col min="10524" max="10539" width="9.6640625" style="48"/>
    <col min="10540" max="10541" width="13.44140625" style="48" customWidth="1"/>
    <col min="10542" max="10542" width="9.6640625" style="48"/>
    <col min="10543" max="10543" width="13.88671875" style="48" customWidth="1"/>
    <col min="10544" max="10544" width="10.6640625" style="48" customWidth="1"/>
    <col min="10545" max="10545" width="17.33203125" style="48" customWidth="1"/>
    <col min="10546" max="10547" width="12.6640625" style="48" customWidth="1"/>
    <col min="10548" max="10548" width="11.21875" style="48" customWidth="1"/>
    <col min="10549" max="10549" width="18.33203125" style="48" customWidth="1"/>
    <col min="10550" max="10550" width="12.88671875" style="48" customWidth="1"/>
    <col min="10551" max="10552" width="13.21875" style="48" customWidth="1"/>
    <col min="10553" max="10553" width="10.88671875" style="48" customWidth="1"/>
    <col min="10554" max="10554" width="11.109375" style="48" customWidth="1"/>
    <col min="10555" max="10555" width="15.21875" style="48" customWidth="1"/>
    <col min="10556" max="10556" width="9.6640625" style="48"/>
    <col min="10557" max="10557" width="11" style="48" customWidth="1"/>
    <col min="10558" max="10558" width="10.77734375" style="48" customWidth="1"/>
    <col min="10559" max="10559" width="11.44140625" style="48" customWidth="1"/>
    <col min="10560" max="10560" width="4" style="48" customWidth="1"/>
    <col min="10561" max="10751" width="9.6640625" style="48"/>
    <col min="10752" max="10752" width="6.44140625" style="48" customWidth="1"/>
    <col min="10753" max="10753" width="13.88671875" style="48" customWidth="1"/>
    <col min="10754" max="10754" width="14.33203125" style="48" customWidth="1"/>
    <col min="10755" max="10771" width="9.6640625" style="48"/>
    <col min="10772" max="10772" width="12" style="48" customWidth="1"/>
    <col min="10773" max="10773" width="12.77734375" style="48" customWidth="1"/>
    <col min="10774" max="10774" width="11.109375" style="48" customWidth="1"/>
    <col min="10775" max="10775" width="12" style="48" customWidth="1"/>
    <col min="10776" max="10776" width="9.6640625" style="48"/>
    <col min="10777" max="10777" width="15.33203125" style="48" customWidth="1"/>
    <col min="10778" max="10778" width="15.21875" style="48" customWidth="1"/>
    <col min="10779" max="10779" width="21.44140625" style="48" customWidth="1"/>
    <col min="10780" max="10795" width="9.6640625" style="48"/>
    <col min="10796" max="10797" width="13.44140625" style="48" customWidth="1"/>
    <col min="10798" max="10798" width="9.6640625" style="48"/>
    <col min="10799" max="10799" width="13.88671875" style="48" customWidth="1"/>
    <col min="10800" max="10800" width="10.6640625" style="48" customWidth="1"/>
    <col min="10801" max="10801" width="17.33203125" style="48" customWidth="1"/>
    <col min="10802" max="10803" width="12.6640625" style="48" customWidth="1"/>
    <col min="10804" max="10804" width="11.21875" style="48" customWidth="1"/>
    <col min="10805" max="10805" width="18.33203125" style="48" customWidth="1"/>
    <col min="10806" max="10806" width="12.88671875" style="48" customWidth="1"/>
    <col min="10807" max="10808" width="13.21875" style="48" customWidth="1"/>
    <col min="10809" max="10809" width="10.88671875" style="48" customWidth="1"/>
    <col min="10810" max="10810" width="11.109375" style="48" customWidth="1"/>
    <col min="10811" max="10811" width="15.21875" style="48" customWidth="1"/>
    <col min="10812" max="10812" width="9.6640625" style="48"/>
    <col min="10813" max="10813" width="11" style="48" customWidth="1"/>
    <col min="10814" max="10814" width="10.77734375" style="48" customWidth="1"/>
    <col min="10815" max="10815" width="11.44140625" style="48" customWidth="1"/>
    <col min="10816" max="10816" width="4" style="48" customWidth="1"/>
    <col min="10817" max="11007" width="9.6640625" style="48"/>
    <col min="11008" max="11008" width="6.44140625" style="48" customWidth="1"/>
    <col min="11009" max="11009" width="13.88671875" style="48" customWidth="1"/>
    <col min="11010" max="11010" width="14.33203125" style="48" customWidth="1"/>
    <col min="11011" max="11027" width="9.6640625" style="48"/>
    <col min="11028" max="11028" width="12" style="48" customWidth="1"/>
    <col min="11029" max="11029" width="12.77734375" style="48" customWidth="1"/>
    <col min="11030" max="11030" width="11.109375" style="48" customWidth="1"/>
    <col min="11031" max="11031" width="12" style="48" customWidth="1"/>
    <col min="11032" max="11032" width="9.6640625" style="48"/>
    <col min="11033" max="11033" width="15.33203125" style="48" customWidth="1"/>
    <col min="11034" max="11034" width="15.21875" style="48" customWidth="1"/>
    <col min="11035" max="11035" width="21.44140625" style="48" customWidth="1"/>
    <col min="11036" max="11051" width="9.6640625" style="48"/>
    <col min="11052" max="11053" width="13.44140625" style="48" customWidth="1"/>
    <col min="11054" max="11054" width="9.6640625" style="48"/>
    <col min="11055" max="11055" width="13.88671875" style="48" customWidth="1"/>
    <col min="11056" max="11056" width="10.6640625" style="48" customWidth="1"/>
    <col min="11057" max="11057" width="17.33203125" style="48" customWidth="1"/>
    <col min="11058" max="11059" width="12.6640625" style="48" customWidth="1"/>
    <col min="11060" max="11060" width="11.21875" style="48" customWidth="1"/>
    <col min="11061" max="11061" width="18.33203125" style="48" customWidth="1"/>
    <col min="11062" max="11062" width="12.88671875" style="48" customWidth="1"/>
    <col min="11063" max="11064" width="13.21875" style="48" customWidth="1"/>
    <col min="11065" max="11065" width="10.88671875" style="48" customWidth="1"/>
    <col min="11066" max="11066" width="11.109375" style="48" customWidth="1"/>
    <col min="11067" max="11067" width="15.21875" style="48" customWidth="1"/>
    <col min="11068" max="11068" width="9.6640625" style="48"/>
    <col min="11069" max="11069" width="11" style="48" customWidth="1"/>
    <col min="11070" max="11070" width="10.77734375" style="48" customWidth="1"/>
    <col min="11071" max="11071" width="11.44140625" style="48" customWidth="1"/>
    <col min="11072" max="11072" width="4" style="48" customWidth="1"/>
    <col min="11073" max="11263" width="9.6640625" style="48"/>
    <col min="11264" max="11264" width="6.44140625" style="48" customWidth="1"/>
    <col min="11265" max="11265" width="13.88671875" style="48" customWidth="1"/>
    <col min="11266" max="11266" width="14.33203125" style="48" customWidth="1"/>
    <col min="11267" max="11283" width="9.6640625" style="48"/>
    <col min="11284" max="11284" width="12" style="48" customWidth="1"/>
    <col min="11285" max="11285" width="12.77734375" style="48" customWidth="1"/>
    <col min="11286" max="11286" width="11.109375" style="48" customWidth="1"/>
    <col min="11287" max="11287" width="12" style="48" customWidth="1"/>
    <col min="11288" max="11288" width="9.6640625" style="48"/>
    <col min="11289" max="11289" width="15.33203125" style="48" customWidth="1"/>
    <col min="11290" max="11290" width="15.21875" style="48" customWidth="1"/>
    <col min="11291" max="11291" width="21.44140625" style="48" customWidth="1"/>
    <col min="11292" max="11307" width="9.6640625" style="48"/>
    <col min="11308" max="11309" width="13.44140625" style="48" customWidth="1"/>
    <col min="11310" max="11310" width="9.6640625" style="48"/>
    <col min="11311" max="11311" width="13.88671875" style="48" customWidth="1"/>
    <col min="11312" max="11312" width="10.6640625" style="48" customWidth="1"/>
    <col min="11313" max="11313" width="17.33203125" style="48" customWidth="1"/>
    <col min="11314" max="11315" width="12.6640625" style="48" customWidth="1"/>
    <col min="11316" max="11316" width="11.21875" style="48" customWidth="1"/>
    <col min="11317" max="11317" width="18.33203125" style="48" customWidth="1"/>
    <col min="11318" max="11318" width="12.88671875" style="48" customWidth="1"/>
    <col min="11319" max="11320" width="13.21875" style="48" customWidth="1"/>
    <col min="11321" max="11321" width="10.88671875" style="48" customWidth="1"/>
    <col min="11322" max="11322" width="11.109375" style="48" customWidth="1"/>
    <col min="11323" max="11323" width="15.21875" style="48" customWidth="1"/>
    <col min="11324" max="11324" width="9.6640625" style="48"/>
    <col min="11325" max="11325" width="11" style="48" customWidth="1"/>
    <col min="11326" max="11326" width="10.77734375" style="48" customWidth="1"/>
    <col min="11327" max="11327" width="11.44140625" style="48" customWidth="1"/>
    <col min="11328" max="11328" width="4" style="48" customWidth="1"/>
    <col min="11329" max="11519" width="9.6640625" style="48"/>
    <col min="11520" max="11520" width="6.44140625" style="48" customWidth="1"/>
    <col min="11521" max="11521" width="13.88671875" style="48" customWidth="1"/>
    <col min="11522" max="11522" width="14.33203125" style="48" customWidth="1"/>
    <col min="11523" max="11539" width="9.6640625" style="48"/>
    <col min="11540" max="11540" width="12" style="48" customWidth="1"/>
    <col min="11541" max="11541" width="12.77734375" style="48" customWidth="1"/>
    <col min="11542" max="11542" width="11.109375" style="48" customWidth="1"/>
    <col min="11543" max="11543" width="12" style="48" customWidth="1"/>
    <col min="11544" max="11544" width="9.6640625" style="48"/>
    <col min="11545" max="11545" width="15.33203125" style="48" customWidth="1"/>
    <col min="11546" max="11546" width="15.21875" style="48" customWidth="1"/>
    <col min="11547" max="11547" width="21.44140625" style="48" customWidth="1"/>
    <col min="11548" max="11563" width="9.6640625" style="48"/>
    <col min="11564" max="11565" width="13.44140625" style="48" customWidth="1"/>
    <col min="11566" max="11566" width="9.6640625" style="48"/>
    <col min="11567" max="11567" width="13.88671875" style="48" customWidth="1"/>
    <col min="11568" max="11568" width="10.6640625" style="48" customWidth="1"/>
    <col min="11569" max="11569" width="17.33203125" style="48" customWidth="1"/>
    <col min="11570" max="11571" width="12.6640625" style="48" customWidth="1"/>
    <col min="11572" max="11572" width="11.21875" style="48" customWidth="1"/>
    <col min="11573" max="11573" width="18.33203125" style="48" customWidth="1"/>
    <col min="11574" max="11574" width="12.88671875" style="48" customWidth="1"/>
    <col min="11575" max="11576" width="13.21875" style="48" customWidth="1"/>
    <col min="11577" max="11577" width="10.88671875" style="48" customWidth="1"/>
    <col min="11578" max="11578" width="11.109375" style="48" customWidth="1"/>
    <col min="11579" max="11579" width="15.21875" style="48" customWidth="1"/>
    <col min="11580" max="11580" width="9.6640625" style="48"/>
    <col min="11581" max="11581" width="11" style="48" customWidth="1"/>
    <col min="11582" max="11582" width="10.77734375" style="48" customWidth="1"/>
    <col min="11583" max="11583" width="11.44140625" style="48" customWidth="1"/>
    <col min="11584" max="11584" width="4" style="48" customWidth="1"/>
    <col min="11585" max="11775" width="9.6640625" style="48"/>
    <col min="11776" max="11776" width="6.44140625" style="48" customWidth="1"/>
    <col min="11777" max="11777" width="13.88671875" style="48" customWidth="1"/>
    <col min="11778" max="11778" width="14.33203125" style="48" customWidth="1"/>
    <col min="11779" max="11795" width="9.6640625" style="48"/>
    <col min="11796" max="11796" width="12" style="48" customWidth="1"/>
    <col min="11797" max="11797" width="12.77734375" style="48" customWidth="1"/>
    <col min="11798" max="11798" width="11.109375" style="48" customWidth="1"/>
    <col min="11799" max="11799" width="12" style="48" customWidth="1"/>
    <col min="11800" max="11800" width="9.6640625" style="48"/>
    <col min="11801" max="11801" width="15.33203125" style="48" customWidth="1"/>
    <col min="11802" max="11802" width="15.21875" style="48" customWidth="1"/>
    <col min="11803" max="11803" width="21.44140625" style="48" customWidth="1"/>
    <col min="11804" max="11819" width="9.6640625" style="48"/>
    <col min="11820" max="11821" width="13.44140625" style="48" customWidth="1"/>
    <col min="11822" max="11822" width="9.6640625" style="48"/>
    <col min="11823" max="11823" width="13.88671875" style="48" customWidth="1"/>
    <col min="11824" max="11824" width="10.6640625" style="48" customWidth="1"/>
    <col min="11825" max="11825" width="17.33203125" style="48" customWidth="1"/>
    <col min="11826" max="11827" width="12.6640625" style="48" customWidth="1"/>
    <col min="11828" max="11828" width="11.21875" style="48" customWidth="1"/>
    <col min="11829" max="11829" width="18.33203125" style="48" customWidth="1"/>
    <col min="11830" max="11830" width="12.88671875" style="48" customWidth="1"/>
    <col min="11831" max="11832" width="13.21875" style="48" customWidth="1"/>
    <col min="11833" max="11833" width="10.88671875" style="48" customWidth="1"/>
    <col min="11834" max="11834" width="11.109375" style="48" customWidth="1"/>
    <col min="11835" max="11835" width="15.21875" style="48" customWidth="1"/>
    <col min="11836" max="11836" width="9.6640625" style="48"/>
    <col min="11837" max="11837" width="11" style="48" customWidth="1"/>
    <col min="11838" max="11838" width="10.77734375" style="48" customWidth="1"/>
    <col min="11839" max="11839" width="11.44140625" style="48" customWidth="1"/>
    <col min="11840" max="11840" width="4" style="48" customWidth="1"/>
    <col min="11841" max="12031" width="9.6640625" style="48"/>
    <col min="12032" max="12032" width="6.44140625" style="48" customWidth="1"/>
    <col min="12033" max="12033" width="13.88671875" style="48" customWidth="1"/>
    <col min="12034" max="12034" width="14.33203125" style="48" customWidth="1"/>
    <col min="12035" max="12051" width="9.6640625" style="48"/>
    <col min="12052" max="12052" width="12" style="48" customWidth="1"/>
    <col min="12053" max="12053" width="12.77734375" style="48" customWidth="1"/>
    <col min="12054" max="12054" width="11.109375" style="48" customWidth="1"/>
    <col min="12055" max="12055" width="12" style="48" customWidth="1"/>
    <col min="12056" max="12056" width="9.6640625" style="48"/>
    <col min="12057" max="12057" width="15.33203125" style="48" customWidth="1"/>
    <col min="12058" max="12058" width="15.21875" style="48" customWidth="1"/>
    <col min="12059" max="12059" width="21.44140625" style="48" customWidth="1"/>
    <col min="12060" max="12075" width="9.6640625" style="48"/>
    <col min="12076" max="12077" width="13.44140625" style="48" customWidth="1"/>
    <col min="12078" max="12078" width="9.6640625" style="48"/>
    <col min="12079" max="12079" width="13.88671875" style="48" customWidth="1"/>
    <col min="12080" max="12080" width="10.6640625" style="48" customWidth="1"/>
    <col min="12081" max="12081" width="17.33203125" style="48" customWidth="1"/>
    <col min="12082" max="12083" width="12.6640625" style="48" customWidth="1"/>
    <col min="12084" max="12084" width="11.21875" style="48" customWidth="1"/>
    <col min="12085" max="12085" width="18.33203125" style="48" customWidth="1"/>
    <col min="12086" max="12086" width="12.88671875" style="48" customWidth="1"/>
    <col min="12087" max="12088" width="13.21875" style="48" customWidth="1"/>
    <col min="12089" max="12089" width="10.88671875" style="48" customWidth="1"/>
    <col min="12090" max="12090" width="11.109375" style="48" customWidth="1"/>
    <col min="12091" max="12091" width="15.21875" style="48" customWidth="1"/>
    <col min="12092" max="12092" width="9.6640625" style="48"/>
    <col min="12093" max="12093" width="11" style="48" customWidth="1"/>
    <col min="12094" max="12094" width="10.77734375" style="48" customWidth="1"/>
    <col min="12095" max="12095" width="11.44140625" style="48" customWidth="1"/>
    <col min="12096" max="12096" width="4" style="48" customWidth="1"/>
    <col min="12097" max="12287" width="9.6640625" style="48"/>
    <col min="12288" max="12288" width="6.44140625" style="48" customWidth="1"/>
    <col min="12289" max="12289" width="13.88671875" style="48" customWidth="1"/>
    <col min="12290" max="12290" width="14.33203125" style="48" customWidth="1"/>
    <col min="12291" max="12307" width="9.6640625" style="48"/>
    <col min="12308" max="12308" width="12" style="48" customWidth="1"/>
    <col min="12309" max="12309" width="12.77734375" style="48" customWidth="1"/>
    <col min="12310" max="12310" width="11.109375" style="48" customWidth="1"/>
    <col min="12311" max="12311" width="12" style="48" customWidth="1"/>
    <col min="12312" max="12312" width="9.6640625" style="48"/>
    <col min="12313" max="12313" width="15.33203125" style="48" customWidth="1"/>
    <col min="12314" max="12314" width="15.21875" style="48" customWidth="1"/>
    <col min="12315" max="12315" width="21.44140625" style="48" customWidth="1"/>
    <col min="12316" max="12331" width="9.6640625" style="48"/>
    <col min="12332" max="12333" width="13.44140625" style="48" customWidth="1"/>
    <col min="12334" max="12334" width="9.6640625" style="48"/>
    <col min="12335" max="12335" width="13.88671875" style="48" customWidth="1"/>
    <col min="12336" max="12336" width="10.6640625" style="48" customWidth="1"/>
    <col min="12337" max="12337" width="17.33203125" style="48" customWidth="1"/>
    <col min="12338" max="12339" width="12.6640625" style="48" customWidth="1"/>
    <col min="12340" max="12340" width="11.21875" style="48" customWidth="1"/>
    <col min="12341" max="12341" width="18.33203125" style="48" customWidth="1"/>
    <col min="12342" max="12342" width="12.88671875" style="48" customWidth="1"/>
    <col min="12343" max="12344" width="13.21875" style="48" customWidth="1"/>
    <col min="12345" max="12345" width="10.88671875" style="48" customWidth="1"/>
    <col min="12346" max="12346" width="11.109375" style="48" customWidth="1"/>
    <col min="12347" max="12347" width="15.21875" style="48" customWidth="1"/>
    <col min="12348" max="12348" width="9.6640625" style="48"/>
    <col min="12349" max="12349" width="11" style="48" customWidth="1"/>
    <col min="12350" max="12350" width="10.77734375" style="48" customWidth="1"/>
    <col min="12351" max="12351" width="11.44140625" style="48" customWidth="1"/>
    <col min="12352" max="12352" width="4" style="48" customWidth="1"/>
    <col min="12353" max="12543" width="9.6640625" style="48"/>
    <col min="12544" max="12544" width="6.44140625" style="48" customWidth="1"/>
    <col min="12545" max="12545" width="13.88671875" style="48" customWidth="1"/>
    <col min="12546" max="12546" width="14.33203125" style="48" customWidth="1"/>
    <col min="12547" max="12563" width="9.6640625" style="48"/>
    <col min="12564" max="12564" width="12" style="48" customWidth="1"/>
    <col min="12565" max="12565" width="12.77734375" style="48" customWidth="1"/>
    <col min="12566" max="12566" width="11.109375" style="48" customWidth="1"/>
    <col min="12567" max="12567" width="12" style="48" customWidth="1"/>
    <col min="12568" max="12568" width="9.6640625" style="48"/>
    <col min="12569" max="12569" width="15.33203125" style="48" customWidth="1"/>
    <col min="12570" max="12570" width="15.21875" style="48" customWidth="1"/>
    <col min="12571" max="12571" width="21.44140625" style="48" customWidth="1"/>
    <col min="12572" max="12587" width="9.6640625" style="48"/>
    <col min="12588" max="12589" width="13.44140625" style="48" customWidth="1"/>
    <col min="12590" max="12590" width="9.6640625" style="48"/>
    <col min="12591" max="12591" width="13.88671875" style="48" customWidth="1"/>
    <col min="12592" max="12592" width="10.6640625" style="48" customWidth="1"/>
    <col min="12593" max="12593" width="17.33203125" style="48" customWidth="1"/>
    <col min="12594" max="12595" width="12.6640625" style="48" customWidth="1"/>
    <col min="12596" max="12596" width="11.21875" style="48" customWidth="1"/>
    <col min="12597" max="12597" width="18.33203125" style="48" customWidth="1"/>
    <col min="12598" max="12598" width="12.88671875" style="48" customWidth="1"/>
    <col min="12599" max="12600" width="13.21875" style="48" customWidth="1"/>
    <col min="12601" max="12601" width="10.88671875" style="48" customWidth="1"/>
    <col min="12602" max="12602" width="11.109375" style="48" customWidth="1"/>
    <col min="12603" max="12603" width="15.21875" style="48" customWidth="1"/>
    <col min="12604" max="12604" width="9.6640625" style="48"/>
    <col min="12605" max="12605" width="11" style="48" customWidth="1"/>
    <col min="12606" max="12606" width="10.77734375" style="48" customWidth="1"/>
    <col min="12607" max="12607" width="11.44140625" style="48" customWidth="1"/>
    <col min="12608" max="12608" width="4" style="48" customWidth="1"/>
    <col min="12609" max="12799" width="9.6640625" style="48"/>
    <col min="12800" max="12800" width="6.44140625" style="48" customWidth="1"/>
    <col min="12801" max="12801" width="13.88671875" style="48" customWidth="1"/>
    <col min="12802" max="12802" width="14.33203125" style="48" customWidth="1"/>
    <col min="12803" max="12819" width="9.6640625" style="48"/>
    <col min="12820" max="12820" width="12" style="48" customWidth="1"/>
    <col min="12821" max="12821" width="12.77734375" style="48" customWidth="1"/>
    <col min="12822" max="12822" width="11.109375" style="48" customWidth="1"/>
    <col min="12823" max="12823" width="12" style="48" customWidth="1"/>
    <col min="12824" max="12824" width="9.6640625" style="48"/>
    <col min="12825" max="12825" width="15.33203125" style="48" customWidth="1"/>
    <col min="12826" max="12826" width="15.21875" style="48" customWidth="1"/>
    <col min="12827" max="12827" width="21.44140625" style="48" customWidth="1"/>
    <col min="12828" max="12843" width="9.6640625" style="48"/>
    <col min="12844" max="12845" width="13.44140625" style="48" customWidth="1"/>
    <col min="12846" max="12846" width="9.6640625" style="48"/>
    <col min="12847" max="12847" width="13.88671875" style="48" customWidth="1"/>
    <col min="12848" max="12848" width="10.6640625" style="48" customWidth="1"/>
    <col min="12849" max="12849" width="17.33203125" style="48" customWidth="1"/>
    <col min="12850" max="12851" width="12.6640625" style="48" customWidth="1"/>
    <col min="12852" max="12852" width="11.21875" style="48" customWidth="1"/>
    <col min="12853" max="12853" width="18.33203125" style="48" customWidth="1"/>
    <col min="12854" max="12854" width="12.88671875" style="48" customWidth="1"/>
    <col min="12855" max="12856" width="13.21875" style="48" customWidth="1"/>
    <col min="12857" max="12857" width="10.88671875" style="48" customWidth="1"/>
    <col min="12858" max="12858" width="11.109375" style="48" customWidth="1"/>
    <col min="12859" max="12859" width="15.21875" style="48" customWidth="1"/>
    <col min="12860" max="12860" width="9.6640625" style="48"/>
    <col min="12861" max="12861" width="11" style="48" customWidth="1"/>
    <col min="12862" max="12862" width="10.77734375" style="48" customWidth="1"/>
    <col min="12863" max="12863" width="11.44140625" style="48" customWidth="1"/>
    <col min="12864" max="12864" width="4" style="48" customWidth="1"/>
    <col min="12865" max="13055" width="9.6640625" style="48"/>
    <col min="13056" max="13056" width="6.44140625" style="48" customWidth="1"/>
    <col min="13057" max="13057" width="13.88671875" style="48" customWidth="1"/>
    <col min="13058" max="13058" width="14.33203125" style="48" customWidth="1"/>
    <col min="13059" max="13075" width="9.6640625" style="48"/>
    <col min="13076" max="13076" width="12" style="48" customWidth="1"/>
    <col min="13077" max="13077" width="12.77734375" style="48" customWidth="1"/>
    <col min="13078" max="13078" width="11.109375" style="48" customWidth="1"/>
    <col min="13079" max="13079" width="12" style="48" customWidth="1"/>
    <col min="13080" max="13080" width="9.6640625" style="48"/>
    <col min="13081" max="13081" width="15.33203125" style="48" customWidth="1"/>
    <col min="13082" max="13082" width="15.21875" style="48" customWidth="1"/>
    <col min="13083" max="13083" width="21.44140625" style="48" customWidth="1"/>
    <col min="13084" max="13099" width="9.6640625" style="48"/>
    <col min="13100" max="13101" width="13.44140625" style="48" customWidth="1"/>
    <col min="13102" max="13102" width="9.6640625" style="48"/>
    <col min="13103" max="13103" width="13.88671875" style="48" customWidth="1"/>
    <col min="13104" max="13104" width="10.6640625" style="48" customWidth="1"/>
    <col min="13105" max="13105" width="17.33203125" style="48" customWidth="1"/>
    <col min="13106" max="13107" width="12.6640625" style="48" customWidth="1"/>
    <col min="13108" max="13108" width="11.21875" style="48" customWidth="1"/>
    <col min="13109" max="13109" width="18.33203125" style="48" customWidth="1"/>
    <col min="13110" max="13110" width="12.88671875" style="48" customWidth="1"/>
    <col min="13111" max="13112" width="13.21875" style="48" customWidth="1"/>
    <col min="13113" max="13113" width="10.88671875" style="48" customWidth="1"/>
    <col min="13114" max="13114" width="11.109375" style="48" customWidth="1"/>
    <col min="13115" max="13115" width="15.21875" style="48" customWidth="1"/>
    <col min="13116" max="13116" width="9.6640625" style="48"/>
    <col min="13117" max="13117" width="11" style="48" customWidth="1"/>
    <col min="13118" max="13118" width="10.77734375" style="48" customWidth="1"/>
    <col min="13119" max="13119" width="11.44140625" style="48" customWidth="1"/>
    <col min="13120" max="13120" width="4" style="48" customWidth="1"/>
    <col min="13121" max="13311" width="9.6640625" style="48"/>
    <col min="13312" max="13312" width="6.44140625" style="48" customWidth="1"/>
    <col min="13313" max="13313" width="13.88671875" style="48" customWidth="1"/>
    <col min="13314" max="13314" width="14.33203125" style="48" customWidth="1"/>
    <col min="13315" max="13331" width="9.6640625" style="48"/>
    <col min="13332" max="13332" width="12" style="48" customWidth="1"/>
    <col min="13333" max="13333" width="12.77734375" style="48" customWidth="1"/>
    <col min="13334" max="13334" width="11.109375" style="48" customWidth="1"/>
    <col min="13335" max="13335" width="12" style="48" customWidth="1"/>
    <col min="13336" max="13336" width="9.6640625" style="48"/>
    <col min="13337" max="13337" width="15.33203125" style="48" customWidth="1"/>
    <col min="13338" max="13338" width="15.21875" style="48" customWidth="1"/>
    <col min="13339" max="13339" width="21.44140625" style="48" customWidth="1"/>
    <col min="13340" max="13355" width="9.6640625" style="48"/>
    <col min="13356" max="13357" width="13.44140625" style="48" customWidth="1"/>
    <col min="13358" max="13358" width="9.6640625" style="48"/>
    <col min="13359" max="13359" width="13.88671875" style="48" customWidth="1"/>
    <col min="13360" max="13360" width="10.6640625" style="48" customWidth="1"/>
    <col min="13361" max="13361" width="17.33203125" style="48" customWidth="1"/>
    <col min="13362" max="13363" width="12.6640625" style="48" customWidth="1"/>
    <col min="13364" max="13364" width="11.21875" style="48" customWidth="1"/>
    <col min="13365" max="13365" width="18.33203125" style="48" customWidth="1"/>
    <col min="13366" max="13366" width="12.88671875" style="48" customWidth="1"/>
    <col min="13367" max="13368" width="13.21875" style="48" customWidth="1"/>
    <col min="13369" max="13369" width="10.88671875" style="48" customWidth="1"/>
    <col min="13370" max="13370" width="11.109375" style="48" customWidth="1"/>
    <col min="13371" max="13371" width="15.21875" style="48" customWidth="1"/>
    <col min="13372" max="13372" width="9.6640625" style="48"/>
    <col min="13373" max="13373" width="11" style="48" customWidth="1"/>
    <col min="13374" max="13374" width="10.77734375" style="48" customWidth="1"/>
    <col min="13375" max="13375" width="11.44140625" style="48" customWidth="1"/>
    <col min="13376" max="13376" width="4" style="48" customWidth="1"/>
    <col min="13377" max="13567" width="9.6640625" style="48"/>
    <col min="13568" max="13568" width="6.44140625" style="48" customWidth="1"/>
    <col min="13569" max="13569" width="13.88671875" style="48" customWidth="1"/>
    <col min="13570" max="13570" width="14.33203125" style="48" customWidth="1"/>
    <col min="13571" max="13587" width="9.6640625" style="48"/>
    <col min="13588" max="13588" width="12" style="48" customWidth="1"/>
    <col min="13589" max="13589" width="12.77734375" style="48" customWidth="1"/>
    <col min="13590" max="13590" width="11.109375" style="48" customWidth="1"/>
    <col min="13591" max="13591" width="12" style="48" customWidth="1"/>
    <col min="13592" max="13592" width="9.6640625" style="48"/>
    <col min="13593" max="13593" width="15.33203125" style="48" customWidth="1"/>
    <col min="13594" max="13594" width="15.21875" style="48" customWidth="1"/>
    <col min="13595" max="13595" width="21.44140625" style="48" customWidth="1"/>
    <col min="13596" max="13611" width="9.6640625" style="48"/>
    <col min="13612" max="13613" width="13.44140625" style="48" customWidth="1"/>
    <col min="13614" max="13614" width="9.6640625" style="48"/>
    <col min="13615" max="13615" width="13.88671875" style="48" customWidth="1"/>
    <col min="13616" max="13616" width="10.6640625" style="48" customWidth="1"/>
    <col min="13617" max="13617" width="17.33203125" style="48" customWidth="1"/>
    <col min="13618" max="13619" width="12.6640625" style="48" customWidth="1"/>
    <col min="13620" max="13620" width="11.21875" style="48" customWidth="1"/>
    <col min="13621" max="13621" width="18.33203125" style="48" customWidth="1"/>
    <col min="13622" max="13622" width="12.88671875" style="48" customWidth="1"/>
    <col min="13623" max="13624" width="13.21875" style="48" customWidth="1"/>
    <col min="13625" max="13625" width="10.88671875" style="48" customWidth="1"/>
    <col min="13626" max="13626" width="11.109375" style="48" customWidth="1"/>
    <col min="13627" max="13627" width="15.21875" style="48" customWidth="1"/>
    <col min="13628" max="13628" width="9.6640625" style="48"/>
    <col min="13629" max="13629" width="11" style="48" customWidth="1"/>
    <col min="13630" max="13630" width="10.77734375" style="48" customWidth="1"/>
    <col min="13631" max="13631" width="11.44140625" style="48" customWidth="1"/>
    <col min="13632" max="13632" width="4" style="48" customWidth="1"/>
    <col min="13633" max="13823" width="9.6640625" style="48"/>
    <col min="13824" max="13824" width="6.44140625" style="48" customWidth="1"/>
    <col min="13825" max="13825" width="13.88671875" style="48" customWidth="1"/>
    <col min="13826" max="13826" width="14.33203125" style="48" customWidth="1"/>
    <col min="13827" max="13843" width="9.6640625" style="48"/>
    <col min="13844" max="13844" width="12" style="48" customWidth="1"/>
    <col min="13845" max="13845" width="12.77734375" style="48" customWidth="1"/>
    <col min="13846" max="13846" width="11.109375" style="48" customWidth="1"/>
    <col min="13847" max="13847" width="12" style="48" customWidth="1"/>
    <col min="13848" max="13848" width="9.6640625" style="48"/>
    <col min="13849" max="13849" width="15.33203125" style="48" customWidth="1"/>
    <col min="13850" max="13850" width="15.21875" style="48" customWidth="1"/>
    <col min="13851" max="13851" width="21.44140625" style="48" customWidth="1"/>
    <col min="13852" max="13867" width="9.6640625" style="48"/>
    <col min="13868" max="13869" width="13.44140625" style="48" customWidth="1"/>
    <col min="13870" max="13870" width="9.6640625" style="48"/>
    <col min="13871" max="13871" width="13.88671875" style="48" customWidth="1"/>
    <col min="13872" max="13872" width="10.6640625" style="48" customWidth="1"/>
    <col min="13873" max="13873" width="17.33203125" style="48" customWidth="1"/>
    <col min="13874" max="13875" width="12.6640625" style="48" customWidth="1"/>
    <col min="13876" max="13876" width="11.21875" style="48" customWidth="1"/>
    <col min="13877" max="13877" width="18.33203125" style="48" customWidth="1"/>
    <col min="13878" max="13878" width="12.88671875" style="48" customWidth="1"/>
    <col min="13879" max="13880" width="13.21875" style="48" customWidth="1"/>
    <col min="13881" max="13881" width="10.88671875" style="48" customWidth="1"/>
    <col min="13882" max="13882" width="11.109375" style="48" customWidth="1"/>
    <col min="13883" max="13883" width="15.21875" style="48" customWidth="1"/>
    <col min="13884" max="13884" width="9.6640625" style="48"/>
    <col min="13885" max="13885" width="11" style="48" customWidth="1"/>
    <col min="13886" max="13886" width="10.77734375" style="48" customWidth="1"/>
    <col min="13887" max="13887" width="11.44140625" style="48" customWidth="1"/>
    <col min="13888" max="13888" width="4" style="48" customWidth="1"/>
    <col min="13889" max="14079" width="9.6640625" style="48"/>
    <col min="14080" max="14080" width="6.44140625" style="48" customWidth="1"/>
    <col min="14081" max="14081" width="13.88671875" style="48" customWidth="1"/>
    <col min="14082" max="14082" width="14.33203125" style="48" customWidth="1"/>
    <col min="14083" max="14099" width="9.6640625" style="48"/>
    <col min="14100" max="14100" width="12" style="48" customWidth="1"/>
    <col min="14101" max="14101" width="12.77734375" style="48" customWidth="1"/>
    <col min="14102" max="14102" width="11.109375" style="48" customWidth="1"/>
    <col min="14103" max="14103" width="12" style="48" customWidth="1"/>
    <col min="14104" max="14104" width="9.6640625" style="48"/>
    <col min="14105" max="14105" width="15.33203125" style="48" customWidth="1"/>
    <col min="14106" max="14106" width="15.21875" style="48" customWidth="1"/>
    <col min="14107" max="14107" width="21.44140625" style="48" customWidth="1"/>
    <col min="14108" max="14123" width="9.6640625" style="48"/>
    <col min="14124" max="14125" width="13.44140625" style="48" customWidth="1"/>
    <col min="14126" max="14126" width="9.6640625" style="48"/>
    <col min="14127" max="14127" width="13.88671875" style="48" customWidth="1"/>
    <col min="14128" max="14128" width="10.6640625" style="48" customWidth="1"/>
    <col min="14129" max="14129" width="17.33203125" style="48" customWidth="1"/>
    <col min="14130" max="14131" width="12.6640625" style="48" customWidth="1"/>
    <col min="14132" max="14132" width="11.21875" style="48" customWidth="1"/>
    <col min="14133" max="14133" width="18.33203125" style="48" customWidth="1"/>
    <col min="14134" max="14134" width="12.88671875" style="48" customWidth="1"/>
    <col min="14135" max="14136" width="13.21875" style="48" customWidth="1"/>
    <col min="14137" max="14137" width="10.88671875" style="48" customWidth="1"/>
    <col min="14138" max="14138" width="11.109375" style="48" customWidth="1"/>
    <col min="14139" max="14139" width="15.21875" style="48" customWidth="1"/>
    <col min="14140" max="14140" width="9.6640625" style="48"/>
    <col min="14141" max="14141" width="11" style="48" customWidth="1"/>
    <col min="14142" max="14142" width="10.77734375" style="48" customWidth="1"/>
    <col min="14143" max="14143" width="11.44140625" style="48" customWidth="1"/>
    <col min="14144" max="14144" width="4" style="48" customWidth="1"/>
    <col min="14145" max="14335" width="9.6640625" style="48"/>
    <col min="14336" max="14336" width="6.44140625" style="48" customWidth="1"/>
    <col min="14337" max="14337" width="13.88671875" style="48" customWidth="1"/>
    <col min="14338" max="14338" width="14.33203125" style="48" customWidth="1"/>
    <col min="14339" max="14355" width="9.6640625" style="48"/>
    <col min="14356" max="14356" width="12" style="48" customWidth="1"/>
    <col min="14357" max="14357" width="12.77734375" style="48" customWidth="1"/>
    <col min="14358" max="14358" width="11.109375" style="48" customWidth="1"/>
    <col min="14359" max="14359" width="12" style="48" customWidth="1"/>
    <col min="14360" max="14360" width="9.6640625" style="48"/>
    <col min="14361" max="14361" width="15.33203125" style="48" customWidth="1"/>
    <col min="14362" max="14362" width="15.21875" style="48" customWidth="1"/>
    <col min="14363" max="14363" width="21.44140625" style="48" customWidth="1"/>
    <col min="14364" max="14379" width="9.6640625" style="48"/>
    <col min="14380" max="14381" width="13.44140625" style="48" customWidth="1"/>
    <col min="14382" max="14382" width="9.6640625" style="48"/>
    <col min="14383" max="14383" width="13.88671875" style="48" customWidth="1"/>
    <col min="14384" max="14384" width="10.6640625" style="48" customWidth="1"/>
    <col min="14385" max="14385" width="17.33203125" style="48" customWidth="1"/>
    <col min="14386" max="14387" width="12.6640625" style="48" customWidth="1"/>
    <col min="14388" max="14388" width="11.21875" style="48" customWidth="1"/>
    <col min="14389" max="14389" width="18.33203125" style="48" customWidth="1"/>
    <col min="14390" max="14390" width="12.88671875" style="48" customWidth="1"/>
    <col min="14391" max="14392" width="13.21875" style="48" customWidth="1"/>
    <col min="14393" max="14393" width="10.88671875" style="48" customWidth="1"/>
    <col min="14394" max="14394" width="11.109375" style="48" customWidth="1"/>
    <col min="14395" max="14395" width="15.21875" style="48" customWidth="1"/>
    <col min="14396" max="14396" width="9.6640625" style="48"/>
    <col min="14397" max="14397" width="11" style="48" customWidth="1"/>
    <col min="14398" max="14398" width="10.77734375" style="48" customWidth="1"/>
    <col min="14399" max="14399" width="11.44140625" style="48" customWidth="1"/>
    <col min="14400" max="14400" width="4" style="48" customWidth="1"/>
    <col min="14401" max="14591" width="9.6640625" style="48"/>
    <col min="14592" max="14592" width="6.44140625" style="48" customWidth="1"/>
    <col min="14593" max="14593" width="13.88671875" style="48" customWidth="1"/>
    <col min="14594" max="14594" width="14.33203125" style="48" customWidth="1"/>
    <col min="14595" max="14611" width="9.6640625" style="48"/>
    <col min="14612" max="14612" width="12" style="48" customWidth="1"/>
    <col min="14613" max="14613" width="12.77734375" style="48" customWidth="1"/>
    <col min="14614" max="14614" width="11.109375" style="48" customWidth="1"/>
    <col min="14615" max="14615" width="12" style="48" customWidth="1"/>
    <col min="14616" max="14616" width="9.6640625" style="48"/>
    <col min="14617" max="14617" width="15.33203125" style="48" customWidth="1"/>
    <col min="14618" max="14618" width="15.21875" style="48" customWidth="1"/>
    <col min="14619" max="14619" width="21.44140625" style="48" customWidth="1"/>
    <col min="14620" max="14635" width="9.6640625" style="48"/>
    <col min="14636" max="14637" width="13.44140625" style="48" customWidth="1"/>
    <col min="14638" max="14638" width="9.6640625" style="48"/>
    <col min="14639" max="14639" width="13.88671875" style="48" customWidth="1"/>
    <col min="14640" max="14640" width="10.6640625" style="48" customWidth="1"/>
    <col min="14641" max="14641" width="17.33203125" style="48" customWidth="1"/>
    <col min="14642" max="14643" width="12.6640625" style="48" customWidth="1"/>
    <col min="14644" max="14644" width="11.21875" style="48" customWidth="1"/>
    <col min="14645" max="14645" width="18.33203125" style="48" customWidth="1"/>
    <col min="14646" max="14646" width="12.88671875" style="48" customWidth="1"/>
    <col min="14647" max="14648" width="13.21875" style="48" customWidth="1"/>
    <col min="14649" max="14649" width="10.88671875" style="48" customWidth="1"/>
    <col min="14650" max="14650" width="11.109375" style="48" customWidth="1"/>
    <col min="14651" max="14651" width="15.21875" style="48" customWidth="1"/>
    <col min="14652" max="14652" width="9.6640625" style="48"/>
    <col min="14653" max="14653" width="11" style="48" customWidth="1"/>
    <col min="14654" max="14654" width="10.77734375" style="48" customWidth="1"/>
    <col min="14655" max="14655" width="11.44140625" style="48" customWidth="1"/>
    <col min="14656" max="14656" width="4" style="48" customWidth="1"/>
    <col min="14657" max="14847" width="9.6640625" style="48"/>
    <col min="14848" max="14848" width="6.44140625" style="48" customWidth="1"/>
    <col min="14849" max="14849" width="13.88671875" style="48" customWidth="1"/>
    <col min="14850" max="14850" width="14.33203125" style="48" customWidth="1"/>
    <col min="14851" max="14867" width="9.6640625" style="48"/>
    <col min="14868" max="14868" width="12" style="48" customWidth="1"/>
    <col min="14869" max="14869" width="12.77734375" style="48" customWidth="1"/>
    <col min="14870" max="14870" width="11.109375" style="48" customWidth="1"/>
    <col min="14871" max="14871" width="12" style="48" customWidth="1"/>
    <col min="14872" max="14872" width="9.6640625" style="48"/>
    <col min="14873" max="14873" width="15.33203125" style="48" customWidth="1"/>
    <col min="14874" max="14874" width="15.21875" style="48" customWidth="1"/>
    <col min="14875" max="14875" width="21.44140625" style="48" customWidth="1"/>
    <col min="14876" max="14891" width="9.6640625" style="48"/>
    <col min="14892" max="14893" width="13.44140625" style="48" customWidth="1"/>
    <col min="14894" max="14894" width="9.6640625" style="48"/>
    <col min="14895" max="14895" width="13.88671875" style="48" customWidth="1"/>
    <col min="14896" max="14896" width="10.6640625" style="48" customWidth="1"/>
    <col min="14897" max="14897" width="17.33203125" style="48" customWidth="1"/>
    <col min="14898" max="14899" width="12.6640625" style="48" customWidth="1"/>
    <col min="14900" max="14900" width="11.21875" style="48" customWidth="1"/>
    <col min="14901" max="14901" width="18.33203125" style="48" customWidth="1"/>
    <col min="14902" max="14902" width="12.88671875" style="48" customWidth="1"/>
    <col min="14903" max="14904" width="13.21875" style="48" customWidth="1"/>
    <col min="14905" max="14905" width="10.88671875" style="48" customWidth="1"/>
    <col min="14906" max="14906" width="11.109375" style="48" customWidth="1"/>
    <col min="14907" max="14907" width="15.21875" style="48" customWidth="1"/>
    <col min="14908" max="14908" width="9.6640625" style="48"/>
    <col min="14909" max="14909" width="11" style="48" customWidth="1"/>
    <col min="14910" max="14910" width="10.77734375" style="48" customWidth="1"/>
    <col min="14911" max="14911" width="11.44140625" style="48" customWidth="1"/>
    <col min="14912" max="14912" width="4" style="48" customWidth="1"/>
    <col min="14913" max="15103" width="9.6640625" style="48"/>
    <col min="15104" max="15104" width="6.44140625" style="48" customWidth="1"/>
    <col min="15105" max="15105" width="13.88671875" style="48" customWidth="1"/>
    <col min="15106" max="15106" width="14.33203125" style="48" customWidth="1"/>
    <col min="15107" max="15123" width="9.6640625" style="48"/>
    <col min="15124" max="15124" width="12" style="48" customWidth="1"/>
    <col min="15125" max="15125" width="12.77734375" style="48" customWidth="1"/>
    <col min="15126" max="15126" width="11.109375" style="48" customWidth="1"/>
    <col min="15127" max="15127" width="12" style="48" customWidth="1"/>
    <col min="15128" max="15128" width="9.6640625" style="48"/>
    <col min="15129" max="15129" width="15.33203125" style="48" customWidth="1"/>
    <col min="15130" max="15130" width="15.21875" style="48" customWidth="1"/>
    <col min="15131" max="15131" width="21.44140625" style="48" customWidth="1"/>
    <col min="15132" max="15147" width="9.6640625" style="48"/>
    <col min="15148" max="15149" width="13.44140625" style="48" customWidth="1"/>
    <col min="15150" max="15150" width="9.6640625" style="48"/>
    <col min="15151" max="15151" width="13.88671875" style="48" customWidth="1"/>
    <col min="15152" max="15152" width="10.6640625" style="48" customWidth="1"/>
    <col min="15153" max="15153" width="17.33203125" style="48" customWidth="1"/>
    <col min="15154" max="15155" width="12.6640625" style="48" customWidth="1"/>
    <col min="15156" max="15156" width="11.21875" style="48" customWidth="1"/>
    <col min="15157" max="15157" width="18.33203125" style="48" customWidth="1"/>
    <col min="15158" max="15158" width="12.88671875" style="48" customWidth="1"/>
    <col min="15159" max="15160" width="13.21875" style="48" customWidth="1"/>
    <col min="15161" max="15161" width="10.88671875" style="48" customWidth="1"/>
    <col min="15162" max="15162" width="11.109375" style="48" customWidth="1"/>
    <col min="15163" max="15163" width="15.21875" style="48" customWidth="1"/>
    <col min="15164" max="15164" width="9.6640625" style="48"/>
    <col min="15165" max="15165" width="11" style="48" customWidth="1"/>
    <col min="15166" max="15166" width="10.77734375" style="48" customWidth="1"/>
    <col min="15167" max="15167" width="11.44140625" style="48" customWidth="1"/>
    <col min="15168" max="15168" width="4" style="48" customWidth="1"/>
    <col min="15169" max="15359" width="9.6640625" style="48"/>
    <col min="15360" max="15360" width="6.44140625" style="48" customWidth="1"/>
    <col min="15361" max="15361" width="13.88671875" style="48" customWidth="1"/>
    <col min="15362" max="15362" width="14.33203125" style="48" customWidth="1"/>
    <col min="15363" max="15379" width="9.6640625" style="48"/>
    <col min="15380" max="15380" width="12" style="48" customWidth="1"/>
    <col min="15381" max="15381" width="12.77734375" style="48" customWidth="1"/>
    <col min="15382" max="15382" width="11.109375" style="48" customWidth="1"/>
    <col min="15383" max="15383" width="12" style="48" customWidth="1"/>
    <col min="15384" max="15384" width="9.6640625" style="48"/>
    <col min="15385" max="15385" width="15.33203125" style="48" customWidth="1"/>
    <col min="15386" max="15386" width="15.21875" style="48" customWidth="1"/>
    <col min="15387" max="15387" width="21.44140625" style="48" customWidth="1"/>
    <col min="15388" max="15403" width="9.6640625" style="48"/>
    <col min="15404" max="15405" width="13.44140625" style="48" customWidth="1"/>
    <col min="15406" max="15406" width="9.6640625" style="48"/>
    <col min="15407" max="15407" width="13.88671875" style="48" customWidth="1"/>
    <col min="15408" max="15408" width="10.6640625" style="48" customWidth="1"/>
    <col min="15409" max="15409" width="17.33203125" style="48" customWidth="1"/>
    <col min="15410" max="15411" width="12.6640625" style="48" customWidth="1"/>
    <col min="15412" max="15412" width="11.21875" style="48" customWidth="1"/>
    <col min="15413" max="15413" width="18.33203125" style="48" customWidth="1"/>
    <col min="15414" max="15414" width="12.88671875" style="48" customWidth="1"/>
    <col min="15415" max="15416" width="13.21875" style="48" customWidth="1"/>
    <col min="15417" max="15417" width="10.88671875" style="48" customWidth="1"/>
    <col min="15418" max="15418" width="11.109375" style="48" customWidth="1"/>
    <col min="15419" max="15419" width="15.21875" style="48" customWidth="1"/>
    <col min="15420" max="15420" width="9.6640625" style="48"/>
    <col min="15421" max="15421" width="11" style="48" customWidth="1"/>
    <col min="15422" max="15422" width="10.77734375" style="48" customWidth="1"/>
    <col min="15423" max="15423" width="11.44140625" style="48" customWidth="1"/>
    <col min="15424" max="15424" width="4" style="48" customWidth="1"/>
    <col min="15425" max="15615" width="9.6640625" style="48"/>
    <col min="15616" max="15616" width="6.44140625" style="48" customWidth="1"/>
    <col min="15617" max="15617" width="13.88671875" style="48" customWidth="1"/>
    <col min="15618" max="15618" width="14.33203125" style="48" customWidth="1"/>
    <col min="15619" max="15635" width="9.6640625" style="48"/>
    <col min="15636" max="15636" width="12" style="48" customWidth="1"/>
    <col min="15637" max="15637" width="12.77734375" style="48" customWidth="1"/>
    <col min="15638" max="15638" width="11.109375" style="48" customWidth="1"/>
    <col min="15639" max="15639" width="12" style="48" customWidth="1"/>
    <col min="15640" max="15640" width="9.6640625" style="48"/>
    <col min="15641" max="15641" width="15.33203125" style="48" customWidth="1"/>
    <col min="15642" max="15642" width="15.21875" style="48" customWidth="1"/>
    <col min="15643" max="15643" width="21.44140625" style="48" customWidth="1"/>
    <col min="15644" max="15659" width="9.6640625" style="48"/>
    <col min="15660" max="15661" width="13.44140625" style="48" customWidth="1"/>
    <col min="15662" max="15662" width="9.6640625" style="48"/>
    <col min="15663" max="15663" width="13.88671875" style="48" customWidth="1"/>
    <col min="15664" max="15664" width="10.6640625" style="48" customWidth="1"/>
    <col min="15665" max="15665" width="17.33203125" style="48" customWidth="1"/>
    <col min="15666" max="15667" width="12.6640625" style="48" customWidth="1"/>
    <col min="15668" max="15668" width="11.21875" style="48" customWidth="1"/>
    <col min="15669" max="15669" width="18.33203125" style="48" customWidth="1"/>
    <col min="15670" max="15670" width="12.88671875" style="48" customWidth="1"/>
    <col min="15671" max="15672" width="13.21875" style="48" customWidth="1"/>
    <col min="15673" max="15673" width="10.88671875" style="48" customWidth="1"/>
    <col min="15674" max="15674" width="11.109375" style="48" customWidth="1"/>
    <col min="15675" max="15675" width="15.21875" style="48" customWidth="1"/>
    <col min="15676" max="15676" width="9.6640625" style="48"/>
    <col min="15677" max="15677" width="11" style="48" customWidth="1"/>
    <col min="15678" max="15678" width="10.77734375" style="48" customWidth="1"/>
    <col min="15679" max="15679" width="11.44140625" style="48" customWidth="1"/>
    <col min="15680" max="15680" width="4" style="48" customWidth="1"/>
    <col min="15681" max="15871" width="9.6640625" style="48"/>
    <col min="15872" max="15872" width="6.44140625" style="48" customWidth="1"/>
    <col min="15873" max="15873" width="13.88671875" style="48" customWidth="1"/>
    <col min="15874" max="15874" width="14.33203125" style="48" customWidth="1"/>
    <col min="15875" max="15891" width="9.6640625" style="48"/>
    <col min="15892" max="15892" width="12" style="48" customWidth="1"/>
    <col min="15893" max="15893" width="12.77734375" style="48" customWidth="1"/>
    <col min="15894" max="15894" width="11.109375" style="48" customWidth="1"/>
    <col min="15895" max="15895" width="12" style="48" customWidth="1"/>
    <col min="15896" max="15896" width="9.6640625" style="48"/>
    <col min="15897" max="15897" width="15.33203125" style="48" customWidth="1"/>
    <col min="15898" max="15898" width="15.21875" style="48" customWidth="1"/>
    <col min="15899" max="15899" width="21.44140625" style="48" customWidth="1"/>
    <col min="15900" max="15915" width="9.6640625" style="48"/>
    <col min="15916" max="15917" width="13.44140625" style="48" customWidth="1"/>
    <col min="15918" max="15918" width="9.6640625" style="48"/>
    <col min="15919" max="15919" width="13.88671875" style="48" customWidth="1"/>
    <col min="15920" max="15920" width="10.6640625" style="48" customWidth="1"/>
    <col min="15921" max="15921" width="17.33203125" style="48" customWidth="1"/>
    <col min="15922" max="15923" width="12.6640625" style="48" customWidth="1"/>
    <col min="15924" max="15924" width="11.21875" style="48" customWidth="1"/>
    <col min="15925" max="15925" width="18.33203125" style="48" customWidth="1"/>
    <col min="15926" max="15926" width="12.88671875" style="48" customWidth="1"/>
    <col min="15927" max="15928" width="13.21875" style="48" customWidth="1"/>
    <col min="15929" max="15929" width="10.88671875" style="48" customWidth="1"/>
    <col min="15930" max="15930" width="11.109375" style="48" customWidth="1"/>
    <col min="15931" max="15931" width="15.21875" style="48" customWidth="1"/>
    <col min="15932" max="15932" width="9.6640625" style="48"/>
    <col min="15933" max="15933" width="11" style="48" customWidth="1"/>
    <col min="15934" max="15934" width="10.77734375" style="48" customWidth="1"/>
    <col min="15935" max="15935" width="11.44140625" style="48" customWidth="1"/>
    <col min="15936" max="15936" width="4" style="48" customWidth="1"/>
    <col min="15937" max="16127" width="9.6640625" style="48"/>
    <col min="16128" max="16128" width="6.44140625" style="48" customWidth="1"/>
    <col min="16129" max="16129" width="13.88671875" style="48" customWidth="1"/>
    <col min="16130" max="16130" width="14.33203125" style="48" customWidth="1"/>
    <col min="16131" max="16147" width="9.6640625" style="48"/>
    <col min="16148" max="16148" width="12" style="48" customWidth="1"/>
    <col min="16149" max="16149" width="12.77734375" style="48" customWidth="1"/>
    <col min="16150" max="16150" width="11.109375" style="48" customWidth="1"/>
    <col min="16151" max="16151" width="12" style="48" customWidth="1"/>
    <col min="16152" max="16152" width="9.6640625" style="48"/>
    <col min="16153" max="16153" width="15.33203125" style="48" customWidth="1"/>
    <col min="16154" max="16154" width="15.21875" style="48" customWidth="1"/>
    <col min="16155" max="16155" width="21.44140625" style="48" customWidth="1"/>
    <col min="16156" max="16171" width="9.6640625" style="48"/>
    <col min="16172" max="16173" width="13.44140625" style="48" customWidth="1"/>
    <col min="16174" max="16174" width="9.6640625" style="48"/>
    <col min="16175" max="16175" width="13.88671875" style="48" customWidth="1"/>
    <col min="16176" max="16176" width="10.6640625" style="48" customWidth="1"/>
    <col min="16177" max="16177" width="17.33203125" style="48" customWidth="1"/>
    <col min="16178" max="16179" width="12.6640625" style="48" customWidth="1"/>
    <col min="16180" max="16180" width="11.21875" style="48" customWidth="1"/>
    <col min="16181" max="16181" width="18.33203125" style="48" customWidth="1"/>
    <col min="16182" max="16182" width="12.88671875" style="48" customWidth="1"/>
    <col min="16183" max="16184" width="13.21875" style="48" customWidth="1"/>
    <col min="16185" max="16185" width="10.88671875" style="48" customWidth="1"/>
    <col min="16186" max="16186" width="11.109375" style="48" customWidth="1"/>
    <col min="16187" max="16187" width="15.21875" style="48" customWidth="1"/>
    <col min="16188" max="16188" width="9.6640625" style="48"/>
    <col min="16189" max="16189" width="11" style="48" customWidth="1"/>
    <col min="16190" max="16190" width="10.77734375" style="48" customWidth="1"/>
    <col min="16191" max="16191" width="11.44140625" style="48" customWidth="1"/>
    <col min="16192" max="16192" width="4" style="48" customWidth="1"/>
    <col min="16193" max="16384" width="9.6640625" style="48"/>
  </cols>
  <sheetData>
    <row r="1" spans="1:93" ht="13.2" x14ac:dyDescent="0.2">
      <c r="A1" s="47" t="s">
        <v>155</v>
      </c>
    </row>
    <row r="2" spans="1:93" x14ac:dyDescent="0.2">
      <c r="C2" s="50" t="s">
        <v>156</v>
      </c>
    </row>
    <row r="3" spans="1:93" s="49" customFormat="1" x14ac:dyDescent="0.2">
      <c r="A3" s="51"/>
      <c r="B3" s="52" t="s">
        <v>157</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4"/>
      <c r="CD3" s="54"/>
      <c r="CE3" s="54"/>
      <c r="CF3" s="54"/>
      <c r="CG3" s="54"/>
      <c r="CH3" s="54"/>
      <c r="CI3" s="54"/>
      <c r="CJ3" s="54"/>
      <c r="CK3" s="54"/>
      <c r="CL3" s="54"/>
      <c r="CM3" s="54"/>
      <c r="CN3" s="54"/>
      <c r="CO3" s="54"/>
    </row>
    <row r="4" spans="1:93" s="49" customFormat="1" x14ac:dyDescent="0.2">
      <c r="A4" s="51"/>
      <c r="B4" s="55" t="s">
        <v>158</v>
      </c>
      <c r="C4" s="53" t="s">
        <v>118</v>
      </c>
      <c r="D4" s="53" t="s">
        <v>141</v>
      </c>
      <c r="E4" s="53" t="s">
        <v>118</v>
      </c>
      <c r="F4" s="53" t="s">
        <v>118</v>
      </c>
      <c r="G4" s="53" t="s">
        <v>118</v>
      </c>
      <c r="H4" s="53" t="s">
        <v>118</v>
      </c>
      <c r="I4" s="53" t="s">
        <v>118</v>
      </c>
      <c r="J4" s="53" t="s">
        <v>118</v>
      </c>
      <c r="K4" s="53" t="s">
        <v>118</v>
      </c>
      <c r="L4" s="53" t="s">
        <v>118</v>
      </c>
      <c r="M4" s="53" t="s">
        <v>118</v>
      </c>
      <c r="N4" s="53" t="s">
        <v>118</v>
      </c>
      <c r="O4" s="53" t="s">
        <v>118</v>
      </c>
      <c r="P4" s="53" t="s">
        <v>118</v>
      </c>
      <c r="Q4" s="53" t="s">
        <v>118</v>
      </c>
      <c r="R4" s="53" t="s">
        <v>118</v>
      </c>
      <c r="S4" s="53" t="s">
        <v>118</v>
      </c>
      <c r="T4" s="53" t="s">
        <v>118</v>
      </c>
      <c r="U4" s="53" t="s">
        <v>118</v>
      </c>
      <c r="V4" s="53" t="s">
        <v>118</v>
      </c>
      <c r="W4" s="53" t="s">
        <v>118</v>
      </c>
      <c r="X4" s="53" t="s">
        <v>118</v>
      </c>
      <c r="Y4" s="53" t="s">
        <v>118</v>
      </c>
      <c r="Z4" s="53" t="s">
        <v>118</v>
      </c>
      <c r="AA4" s="53" t="s">
        <v>159</v>
      </c>
      <c r="AB4" s="53" t="s">
        <v>118</v>
      </c>
      <c r="AC4" s="53" t="s">
        <v>118</v>
      </c>
      <c r="AD4" s="53" t="s">
        <v>118</v>
      </c>
      <c r="AE4" s="53" t="s">
        <v>118</v>
      </c>
      <c r="AF4" s="53" t="s">
        <v>118</v>
      </c>
      <c r="AG4" s="53" t="s">
        <v>118</v>
      </c>
      <c r="AH4" s="53" t="s">
        <v>118</v>
      </c>
      <c r="AI4" s="53" t="s">
        <v>118</v>
      </c>
      <c r="AJ4" s="53" t="s">
        <v>118</v>
      </c>
      <c r="AK4" s="53" t="s">
        <v>118</v>
      </c>
      <c r="AL4" s="53" t="s">
        <v>118</v>
      </c>
      <c r="AM4" s="53" t="s">
        <v>118</v>
      </c>
      <c r="AN4" s="53" t="s">
        <v>118</v>
      </c>
      <c r="AO4" s="53" t="s">
        <v>118</v>
      </c>
      <c r="AP4" s="53" t="s">
        <v>118</v>
      </c>
      <c r="AQ4" s="53" t="s">
        <v>118</v>
      </c>
      <c r="AR4" s="53" t="s">
        <v>118</v>
      </c>
      <c r="AS4" s="53" t="s">
        <v>118</v>
      </c>
      <c r="AT4" s="53" t="s">
        <v>141</v>
      </c>
      <c r="AU4" s="53" t="s">
        <v>118</v>
      </c>
      <c r="AV4" s="53" t="s">
        <v>118</v>
      </c>
      <c r="AW4" s="53" t="s">
        <v>118</v>
      </c>
      <c r="AX4" s="53" t="s">
        <v>118</v>
      </c>
      <c r="AY4" s="53" t="s">
        <v>118</v>
      </c>
      <c r="AZ4" s="53" t="s">
        <v>118</v>
      </c>
      <c r="BA4" s="53" t="s">
        <v>118</v>
      </c>
      <c r="BB4" s="53" t="s">
        <v>118</v>
      </c>
      <c r="BC4" s="53" t="s">
        <v>118</v>
      </c>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4"/>
      <c r="CD4" s="54"/>
      <c r="CE4" s="54"/>
      <c r="CF4" s="54"/>
      <c r="CG4" s="54"/>
      <c r="CH4" s="54"/>
      <c r="CI4" s="54"/>
      <c r="CJ4" s="54"/>
      <c r="CK4" s="54"/>
      <c r="CL4" s="54"/>
      <c r="CM4" s="54"/>
      <c r="CN4" s="54"/>
      <c r="CO4" s="54"/>
    </row>
    <row r="5" spans="1:93" s="49" customFormat="1" x14ac:dyDescent="0.2">
      <c r="A5" s="51"/>
      <c r="B5" s="52" t="s">
        <v>160</v>
      </c>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7"/>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4"/>
      <c r="CD5" s="54"/>
      <c r="CE5" s="54"/>
      <c r="CF5" s="54"/>
      <c r="CG5" s="54"/>
      <c r="CH5" s="54"/>
      <c r="CI5" s="54"/>
      <c r="CJ5" s="54"/>
      <c r="CK5" s="54"/>
      <c r="CL5" s="54"/>
      <c r="CM5" s="54"/>
      <c r="CN5" s="54"/>
      <c r="CO5" s="54"/>
    </row>
    <row r="6" spans="1:93" s="58" customFormat="1" x14ac:dyDescent="0.2">
      <c r="A6" s="56"/>
      <c r="B6" s="52" t="s">
        <v>161</v>
      </c>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c r="BY6" s="57"/>
      <c r="BZ6" s="57"/>
      <c r="CA6" s="57"/>
      <c r="CB6" s="57"/>
      <c r="CC6" s="56"/>
      <c r="CD6" s="56"/>
      <c r="CE6" s="56"/>
      <c r="CF6" s="56"/>
      <c r="CG6" s="56"/>
      <c r="CH6" s="56"/>
      <c r="CI6" s="56"/>
      <c r="CJ6" s="56"/>
      <c r="CK6" s="56"/>
      <c r="CL6" s="56"/>
      <c r="CM6" s="56"/>
      <c r="CN6" s="56"/>
      <c r="CO6" s="56"/>
    </row>
    <row r="7" spans="1:93" s="83" customFormat="1" ht="27.6" customHeight="1" x14ac:dyDescent="0.2">
      <c r="A7" s="80"/>
      <c r="B7" s="55" t="s">
        <v>162</v>
      </c>
      <c r="C7" s="55" t="s">
        <v>11</v>
      </c>
      <c r="D7" s="55" t="s">
        <v>95</v>
      </c>
      <c r="E7" s="55" t="s">
        <v>96</v>
      </c>
      <c r="F7" s="55" t="s">
        <v>91</v>
      </c>
      <c r="G7" s="55" t="s">
        <v>107</v>
      </c>
      <c r="H7" s="55" t="s">
        <v>136</v>
      </c>
      <c r="I7" s="55" t="s">
        <v>33</v>
      </c>
      <c r="J7" s="55" t="s">
        <v>43</v>
      </c>
      <c r="K7" s="55" t="s">
        <v>44</v>
      </c>
      <c r="L7" s="55" t="s">
        <v>5</v>
      </c>
      <c r="M7" s="55" t="s">
        <v>45</v>
      </c>
      <c r="N7" s="55" t="s">
        <v>97</v>
      </c>
      <c r="O7" s="55" t="s">
        <v>12</v>
      </c>
      <c r="P7" s="55" t="s">
        <v>13</v>
      </c>
      <c r="Q7" s="55" t="s">
        <v>98</v>
      </c>
      <c r="R7" s="55" t="s">
        <v>46</v>
      </c>
      <c r="S7" s="55" t="s">
        <v>47</v>
      </c>
      <c r="T7" s="55" t="s">
        <v>48</v>
      </c>
      <c r="U7" s="55" t="s">
        <v>49</v>
      </c>
      <c r="V7" s="55" t="s">
        <v>50</v>
      </c>
      <c r="W7" s="55" t="s">
        <v>51</v>
      </c>
      <c r="X7" s="55" t="s">
        <v>113</v>
      </c>
      <c r="Y7" s="55" t="s">
        <v>52</v>
      </c>
      <c r="Z7" s="55" t="s">
        <v>269</v>
      </c>
      <c r="AA7" s="55" t="s">
        <v>269</v>
      </c>
      <c r="AB7" s="55" t="s">
        <v>268</v>
      </c>
      <c r="AC7" s="55" t="s">
        <v>277</v>
      </c>
      <c r="AD7" s="55" t="s">
        <v>54</v>
      </c>
      <c r="AE7" s="55" t="s">
        <v>266</v>
      </c>
      <c r="AF7" s="55" t="s">
        <v>55</v>
      </c>
      <c r="AG7" s="55" t="s">
        <v>270</v>
      </c>
      <c r="AH7" s="55" t="s">
        <v>56</v>
      </c>
      <c r="AI7" s="55" t="s">
        <v>273</v>
      </c>
      <c r="AJ7" s="55" t="s">
        <v>272</v>
      </c>
      <c r="AK7" s="55" t="s">
        <v>271</v>
      </c>
      <c r="AL7" s="55" t="s">
        <v>99</v>
      </c>
      <c r="AM7" s="55" t="s">
        <v>57</v>
      </c>
      <c r="AN7" s="55" t="s">
        <v>58</v>
      </c>
      <c r="AO7" s="55" t="s">
        <v>84</v>
      </c>
      <c r="AP7" s="55" t="s">
        <v>59</v>
      </c>
      <c r="AQ7" s="55" t="s">
        <v>89</v>
      </c>
      <c r="AR7" s="55" t="s">
        <v>60</v>
      </c>
      <c r="AS7" s="55" t="s">
        <v>267</v>
      </c>
      <c r="AT7" s="55" t="s">
        <v>267</v>
      </c>
      <c r="AU7" s="55" t="s">
        <v>233</v>
      </c>
      <c r="AV7" s="55" t="s">
        <v>274</v>
      </c>
      <c r="AW7" s="55" t="s">
        <v>67</v>
      </c>
      <c r="AX7" s="55" t="s">
        <v>63</v>
      </c>
      <c r="AY7" s="55" t="s">
        <v>64</v>
      </c>
      <c r="AZ7" s="55" t="s">
        <v>23</v>
      </c>
      <c r="BA7" s="55" t="s">
        <v>65</v>
      </c>
      <c r="BB7" s="55" t="s">
        <v>275</v>
      </c>
      <c r="BC7" s="55" t="s">
        <v>66</v>
      </c>
      <c r="BD7" s="55"/>
      <c r="BE7" s="55"/>
      <c r="BF7" s="55"/>
      <c r="BG7" s="55"/>
      <c r="BH7" s="55"/>
      <c r="BI7" s="55"/>
      <c r="BJ7" s="55"/>
      <c r="BK7" s="55"/>
      <c r="BL7" s="55"/>
      <c r="BM7" s="55"/>
      <c r="BN7" s="55"/>
      <c r="BO7" s="55"/>
      <c r="BP7" s="55"/>
      <c r="BQ7" s="81"/>
      <c r="BR7" s="81"/>
      <c r="BS7" s="81"/>
      <c r="BT7" s="81"/>
      <c r="BU7" s="81"/>
      <c r="BV7" s="81"/>
      <c r="BW7" s="81"/>
      <c r="BX7" s="81"/>
      <c r="BY7" s="81"/>
      <c r="BZ7" s="81"/>
      <c r="CA7" s="81"/>
      <c r="CB7" s="81"/>
      <c r="CC7" s="82"/>
      <c r="CD7" s="80"/>
      <c r="CE7" s="80"/>
      <c r="CF7" s="80"/>
      <c r="CG7" s="80"/>
      <c r="CH7" s="80"/>
      <c r="CI7" s="80"/>
      <c r="CJ7" s="80"/>
      <c r="CK7" s="80"/>
      <c r="CL7" s="80"/>
      <c r="CM7" s="80"/>
      <c r="CN7" s="80"/>
      <c r="CO7" s="80"/>
    </row>
    <row r="8" spans="1:93" x14ac:dyDescent="0.2">
      <c r="A8" s="59" t="s">
        <v>163</v>
      </c>
      <c r="B8" s="60"/>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c r="BP8" s="61"/>
      <c r="BQ8" s="61"/>
      <c r="BR8" s="61"/>
      <c r="BS8" s="61"/>
      <c r="BT8" s="61"/>
      <c r="BU8" s="61"/>
      <c r="BV8" s="61"/>
      <c r="BW8" s="61"/>
      <c r="BX8" s="61"/>
      <c r="BY8" s="61"/>
      <c r="BZ8" s="61"/>
      <c r="CA8" s="61"/>
      <c r="CB8" s="61"/>
      <c r="CC8" s="61"/>
    </row>
    <row r="9" spans="1:93" x14ac:dyDescent="0.2">
      <c r="A9" s="62" t="s">
        <v>179</v>
      </c>
      <c r="B9" s="69"/>
      <c r="C9" s="63"/>
      <c r="D9" s="63"/>
      <c r="E9" s="63"/>
      <c r="F9" s="63"/>
      <c r="G9" s="63"/>
      <c r="H9" s="63">
        <v>1.5507697215913678</v>
      </c>
      <c r="I9" s="63"/>
      <c r="J9" s="63"/>
      <c r="K9" s="63"/>
      <c r="L9" s="63">
        <v>60.324942169904219</v>
      </c>
      <c r="M9" s="63"/>
      <c r="N9" s="63"/>
      <c r="O9" s="63">
        <v>1.7233385407785557</v>
      </c>
      <c r="P9" s="63"/>
      <c r="Q9" s="63"/>
      <c r="R9" s="63">
        <v>0.83448558555842522</v>
      </c>
      <c r="S9" s="63"/>
      <c r="T9" s="63">
        <v>5.1692324053045606</v>
      </c>
      <c r="U9" s="63"/>
      <c r="V9" s="63">
        <v>7.703544424658114</v>
      </c>
      <c r="W9" s="63"/>
      <c r="X9" s="63"/>
      <c r="Y9" s="63">
        <v>2.5846162026522799</v>
      </c>
      <c r="Z9" s="63"/>
      <c r="AA9" s="63"/>
      <c r="AB9" s="63"/>
      <c r="AC9" s="63"/>
      <c r="AD9" s="63">
        <v>4.0752149650284624</v>
      </c>
      <c r="AE9" s="63"/>
      <c r="AF9" s="63"/>
      <c r="AG9" s="63"/>
      <c r="AH9" s="63"/>
      <c r="AI9" s="63"/>
      <c r="AJ9" s="63"/>
      <c r="AK9" s="63"/>
      <c r="AL9" s="63"/>
      <c r="AM9" s="63"/>
      <c r="AN9" s="63"/>
      <c r="AO9" s="63"/>
      <c r="AP9" s="63"/>
      <c r="AQ9" s="63"/>
      <c r="AR9" s="63"/>
      <c r="AS9" s="63"/>
      <c r="AT9" s="63"/>
      <c r="AU9" s="63"/>
      <c r="AV9" s="63"/>
      <c r="AW9" s="63"/>
      <c r="AX9" s="63"/>
      <c r="AY9" s="63"/>
      <c r="AZ9" s="63">
        <v>3.2000010128075851</v>
      </c>
      <c r="BA9" s="63"/>
      <c r="BB9" s="63"/>
      <c r="BC9" s="63">
        <v>5.2477628549587072</v>
      </c>
      <c r="BD9" s="63"/>
      <c r="BE9" s="63"/>
      <c r="BF9" s="63"/>
      <c r="BG9" s="63"/>
      <c r="BH9" s="63"/>
      <c r="BI9" s="63"/>
      <c r="BJ9" s="63"/>
      <c r="BK9" s="63"/>
      <c r="BL9" s="63"/>
      <c r="BM9" s="63"/>
      <c r="BN9" s="63"/>
      <c r="BO9" s="63"/>
      <c r="BP9" s="63"/>
      <c r="BQ9" s="61"/>
      <c r="BR9" s="61"/>
      <c r="BS9" s="61"/>
      <c r="BT9" s="61"/>
      <c r="BU9" s="61"/>
      <c r="BV9" s="61"/>
      <c r="BW9" s="64"/>
      <c r="BX9" s="64"/>
      <c r="BY9" s="64"/>
      <c r="BZ9" s="64"/>
      <c r="CA9" s="61"/>
      <c r="CB9" s="61"/>
      <c r="CC9" s="61"/>
    </row>
    <row r="10" spans="1:93" x14ac:dyDescent="0.2">
      <c r="A10" s="62" t="s">
        <v>181</v>
      </c>
      <c r="C10" s="63">
        <v>2.9419976784349253</v>
      </c>
      <c r="D10" s="63">
        <v>3.2055288461538458</v>
      </c>
      <c r="E10" s="63">
        <v>0.45550564064956156</v>
      </c>
      <c r="F10" s="63"/>
      <c r="G10" s="63"/>
      <c r="H10" s="63"/>
      <c r="I10" s="63"/>
      <c r="J10" s="63">
        <v>2.2568516500742111</v>
      </c>
      <c r="K10" s="63"/>
      <c r="L10" s="63">
        <v>2.7185556061295708</v>
      </c>
      <c r="M10" s="63">
        <v>0.37070302265903965</v>
      </c>
      <c r="N10" s="63"/>
      <c r="O10" s="63">
        <v>1.5162171731716096</v>
      </c>
      <c r="P10" s="63">
        <v>1.2300026130975756</v>
      </c>
      <c r="Q10" s="63"/>
      <c r="R10" s="63">
        <v>5.0357804741301715</v>
      </c>
      <c r="S10" s="63">
        <v>1.5072338543694797</v>
      </c>
      <c r="T10" s="63">
        <v>1.8572504168798702</v>
      </c>
      <c r="U10" s="63"/>
      <c r="V10" s="63"/>
      <c r="W10" s="63"/>
      <c r="X10" s="63">
        <v>0.6627218934911242</v>
      </c>
      <c r="Y10" s="63">
        <v>0.70493069420624743</v>
      </c>
      <c r="Z10" s="63">
        <v>0.76130431337424231</v>
      </c>
      <c r="AA10" s="63">
        <v>0.1588757396449704</v>
      </c>
      <c r="AB10" s="63"/>
      <c r="AC10" s="63">
        <v>2.9323019700563289</v>
      </c>
      <c r="AD10" s="63">
        <v>3.3235156243090009</v>
      </c>
      <c r="AE10" s="63">
        <v>1.3632235626345537</v>
      </c>
      <c r="AF10" s="63" t="s">
        <v>175</v>
      </c>
      <c r="AG10" s="63"/>
      <c r="AH10" s="63"/>
      <c r="AI10" s="63"/>
      <c r="AJ10" s="63"/>
      <c r="AK10" s="63"/>
      <c r="AL10" s="63">
        <v>1.9454904070288686</v>
      </c>
      <c r="AM10" s="63"/>
      <c r="AN10" s="63">
        <v>47.09458063304217</v>
      </c>
      <c r="AO10" s="63"/>
      <c r="AP10" s="63">
        <v>4.5814645091304147</v>
      </c>
      <c r="AQ10" s="63"/>
      <c r="AR10" s="63">
        <v>1.614359769014398</v>
      </c>
      <c r="AT10" s="63">
        <v>5.6664651681325888E-2</v>
      </c>
      <c r="AU10" s="63">
        <v>2.1681241128199398</v>
      </c>
      <c r="AV10" s="63"/>
      <c r="AW10" s="63">
        <v>3.0735993212541053</v>
      </c>
      <c r="AX10" s="63">
        <v>2.8041819669323997</v>
      </c>
      <c r="AY10" s="63">
        <v>0.47321182466214246</v>
      </c>
      <c r="AZ10" s="63">
        <v>2.0881216685412491</v>
      </c>
      <c r="BA10" s="63">
        <v>16.837195376578759</v>
      </c>
      <c r="BB10" s="63">
        <v>2.9804444832409489</v>
      </c>
      <c r="BC10" s="63"/>
      <c r="BD10" s="63"/>
      <c r="BE10" s="63"/>
      <c r="BF10" s="63"/>
      <c r="BG10" s="63"/>
      <c r="BH10" s="63"/>
      <c r="BI10" s="63"/>
      <c r="BJ10" s="63"/>
      <c r="BK10" s="63"/>
      <c r="BL10" s="63"/>
      <c r="BM10" s="63"/>
      <c r="BN10" s="63"/>
      <c r="BO10" s="63"/>
      <c r="BP10" s="63"/>
    </row>
    <row r="11" spans="1:93" x14ac:dyDescent="0.2">
      <c r="A11" s="62" t="s">
        <v>182</v>
      </c>
      <c r="C11" s="63">
        <v>3.1912922784717654</v>
      </c>
      <c r="D11" s="63">
        <v>2.7659599293262658</v>
      </c>
      <c r="E11" s="63">
        <v>0.96157987706331183</v>
      </c>
      <c r="F11" s="63" t="s">
        <v>176</v>
      </c>
      <c r="G11" s="63" t="s">
        <v>176</v>
      </c>
      <c r="H11" s="63" t="s">
        <v>176</v>
      </c>
      <c r="I11" s="63" t="s">
        <v>176</v>
      </c>
      <c r="J11" s="63">
        <v>3.0600725116679683</v>
      </c>
      <c r="K11" s="63" t="s">
        <v>176</v>
      </c>
      <c r="L11" s="63">
        <v>3.1913538226222586</v>
      </c>
      <c r="M11" s="63">
        <v>0.39305549757300617</v>
      </c>
      <c r="N11" s="63" t="s">
        <v>176</v>
      </c>
      <c r="O11" s="63">
        <v>1.4240818355813889</v>
      </c>
      <c r="P11" s="63">
        <v>1.27436252926449</v>
      </c>
      <c r="Q11" s="63" t="s">
        <v>176</v>
      </c>
      <c r="R11" s="63">
        <v>4.9713231154583744</v>
      </c>
      <c r="S11" s="63">
        <v>1.5279431196694522</v>
      </c>
      <c r="T11" s="63">
        <v>1.9270656001267692</v>
      </c>
      <c r="U11" s="63">
        <v>0.15954415954415951</v>
      </c>
      <c r="V11" s="63" t="s">
        <v>176</v>
      </c>
      <c r="W11" s="63" t="s">
        <v>176</v>
      </c>
      <c r="X11" s="63" t="s">
        <v>176</v>
      </c>
      <c r="Y11" s="63">
        <v>0.97518276817177452</v>
      </c>
      <c r="Z11" s="63">
        <v>1.2830474368935907</v>
      </c>
      <c r="AA11" s="63"/>
      <c r="AB11" s="63" t="s">
        <v>176</v>
      </c>
      <c r="AC11" s="63">
        <v>5.3905803239136567</v>
      </c>
      <c r="AD11" s="63">
        <v>3.633860456532521</v>
      </c>
      <c r="AE11" s="63">
        <v>1.5465879173576937</v>
      </c>
      <c r="AF11" s="63" t="s">
        <v>176</v>
      </c>
      <c r="AG11" s="63" t="s">
        <v>176</v>
      </c>
      <c r="AH11" s="63">
        <v>6.4303908240225081</v>
      </c>
      <c r="AI11" s="63" t="s">
        <v>176</v>
      </c>
      <c r="AJ11" s="63" t="s">
        <v>176</v>
      </c>
      <c r="AK11" s="63" t="s">
        <v>176</v>
      </c>
      <c r="AL11" s="63">
        <v>2.2346907993966818</v>
      </c>
      <c r="AM11" s="63">
        <v>15.97908051090867</v>
      </c>
      <c r="AN11" s="63">
        <v>72.760015476064851</v>
      </c>
      <c r="AO11" s="63" t="s">
        <v>176</v>
      </c>
      <c r="AP11" s="63">
        <v>4.77424579996842</v>
      </c>
      <c r="AQ11" s="63" t="s">
        <v>176</v>
      </c>
      <c r="AR11" s="63">
        <v>2.0835033979242015</v>
      </c>
      <c r="AS11" s="63">
        <v>11.74007755690493</v>
      </c>
      <c r="AT11" s="63"/>
      <c r="AU11" s="63">
        <v>2.0849001715973277</v>
      </c>
      <c r="AV11" s="63" t="s">
        <v>176</v>
      </c>
      <c r="AW11" s="63">
        <v>4.4902200196317841</v>
      </c>
      <c r="AX11" s="63">
        <v>2.3886502898651871</v>
      </c>
      <c r="AY11" s="63">
        <v>1.238649739839272</v>
      </c>
      <c r="AZ11" s="63">
        <v>2.1379426291706989</v>
      </c>
      <c r="BA11" s="63">
        <v>14.40266695038479</v>
      </c>
      <c r="BB11" s="63">
        <v>1.2338039396862928</v>
      </c>
      <c r="BC11" s="63">
        <v>1.8690949402363115</v>
      </c>
      <c r="BD11" s="63"/>
      <c r="BE11" s="63"/>
      <c r="BF11" s="63"/>
      <c r="BG11" s="63"/>
      <c r="BH11" s="63"/>
      <c r="BI11" s="63"/>
      <c r="BJ11" s="63"/>
      <c r="BK11" s="63"/>
      <c r="BL11" s="63"/>
      <c r="BM11" s="63"/>
      <c r="BN11" s="63"/>
      <c r="BO11" s="63"/>
      <c r="BP11" s="63"/>
    </row>
    <row r="12" spans="1:93" x14ac:dyDescent="0.2">
      <c r="A12" s="62" t="s">
        <v>172</v>
      </c>
      <c r="C12" s="63">
        <v>2.8927674357037239</v>
      </c>
      <c r="D12" s="63">
        <v>2.5145466004191763</v>
      </c>
      <c r="E12" s="63">
        <v>0.97075834587498544</v>
      </c>
      <c r="F12" s="63" t="s">
        <v>176</v>
      </c>
      <c r="G12" s="63" t="s">
        <v>176</v>
      </c>
      <c r="H12" s="63" t="s">
        <v>176</v>
      </c>
      <c r="I12" s="63" t="s">
        <v>176</v>
      </c>
      <c r="J12" s="63">
        <v>3.0736336158673256</v>
      </c>
      <c r="K12" s="63">
        <v>3.0229419703103915</v>
      </c>
      <c r="L12" s="63">
        <v>2.8121835862121158</v>
      </c>
      <c r="M12" s="63">
        <v>0.48299298139162394</v>
      </c>
      <c r="N12" s="63" t="s">
        <v>176</v>
      </c>
      <c r="O12" s="63">
        <v>1.3271532098587999</v>
      </c>
      <c r="P12" s="63">
        <v>1.0424479789195349</v>
      </c>
      <c r="Q12" s="63" t="s">
        <v>176</v>
      </c>
      <c r="R12" s="63">
        <v>5.870229534875083</v>
      </c>
      <c r="S12" s="63">
        <v>2.0157160551221338</v>
      </c>
      <c r="T12" s="63">
        <v>2.148759194791674</v>
      </c>
      <c r="U12" s="63" t="s">
        <v>176</v>
      </c>
      <c r="V12" s="63" t="s">
        <v>176</v>
      </c>
      <c r="W12" s="63" t="s">
        <v>176</v>
      </c>
      <c r="X12" s="63" t="s">
        <v>176</v>
      </c>
      <c r="Y12" s="63">
        <v>0.90647592801251864</v>
      </c>
      <c r="Z12" s="63">
        <v>1.4836908800614979</v>
      </c>
      <c r="AA12" s="63"/>
      <c r="AB12" s="63" t="s">
        <v>176</v>
      </c>
      <c r="AC12" s="63">
        <v>5.3727990413671449</v>
      </c>
      <c r="AD12" s="63">
        <v>4.0597147711608468</v>
      </c>
      <c r="AE12" s="63">
        <v>1.7228322025936003</v>
      </c>
      <c r="AF12" s="63" t="s">
        <v>176</v>
      </c>
      <c r="AG12" s="63">
        <v>3.481888337895497</v>
      </c>
      <c r="AH12" s="63">
        <v>6.0254140065578268</v>
      </c>
      <c r="AI12" s="63" t="s">
        <v>176</v>
      </c>
      <c r="AJ12" s="63" t="s">
        <v>176</v>
      </c>
      <c r="AK12" s="63" t="s">
        <v>176</v>
      </c>
      <c r="AL12" s="63" t="s">
        <v>176</v>
      </c>
      <c r="AM12" s="63">
        <v>27.545168555554049</v>
      </c>
      <c r="AN12" s="63">
        <v>68.062089199954102</v>
      </c>
      <c r="AO12" s="63" t="s">
        <v>176</v>
      </c>
      <c r="AP12" s="63">
        <v>3.5728198683169103</v>
      </c>
      <c r="AQ12" s="63">
        <v>3.8606722941088263</v>
      </c>
      <c r="AR12" s="63">
        <v>1.7670168585830504</v>
      </c>
      <c r="AS12" s="63">
        <v>12.3655692515282</v>
      </c>
      <c r="AT12" s="63"/>
      <c r="AU12" s="63">
        <v>2.4167601041128144</v>
      </c>
      <c r="AV12" s="63" t="s">
        <v>176</v>
      </c>
      <c r="AW12" s="63">
        <v>4.06195280996109</v>
      </c>
      <c r="AX12" s="63">
        <v>1.6966723134139454</v>
      </c>
      <c r="AY12" s="63">
        <v>0.92613206603672238</v>
      </c>
      <c r="AZ12" s="63">
        <v>2.0278049409568952</v>
      </c>
      <c r="BA12" s="63">
        <v>16.204814688648995</v>
      </c>
      <c r="BB12" s="63">
        <v>4.6178942006059467</v>
      </c>
      <c r="BC12" s="63">
        <v>2.1981150382998789</v>
      </c>
      <c r="BD12" s="63"/>
      <c r="BE12" s="63"/>
      <c r="BF12" s="63"/>
      <c r="BG12" s="63"/>
      <c r="BH12" s="63"/>
      <c r="BI12" s="63"/>
      <c r="BJ12" s="63"/>
      <c r="BK12" s="63"/>
      <c r="BL12" s="63"/>
      <c r="BM12" s="63"/>
      <c r="BN12" s="63"/>
      <c r="BO12" s="63"/>
      <c r="BP12" s="63"/>
    </row>
    <row r="13" spans="1:93" x14ac:dyDescent="0.2">
      <c r="A13" s="62" t="s">
        <v>173</v>
      </c>
      <c r="C13" s="63">
        <v>2.5393719251459834</v>
      </c>
      <c r="D13" s="63" t="s">
        <v>176</v>
      </c>
      <c r="E13" s="63">
        <v>2.4555453108535299</v>
      </c>
      <c r="F13" s="63">
        <v>0.30558842866535169</v>
      </c>
      <c r="G13" s="63" t="s">
        <v>176</v>
      </c>
      <c r="H13" s="63" t="s">
        <v>176</v>
      </c>
      <c r="I13" s="63">
        <v>0.9010869109068782</v>
      </c>
      <c r="J13" s="63">
        <v>3.0840460882170371</v>
      </c>
      <c r="K13" s="63">
        <v>2.6714737433139271</v>
      </c>
      <c r="L13" s="63">
        <v>2.8058698169399277</v>
      </c>
      <c r="M13" s="63">
        <v>0.50208323977125191</v>
      </c>
      <c r="N13" s="63">
        <v>0.52899744357262202</v>
      </c>
      <c r="O13" s="63">
        <v>1.3533930093562858</v>
      </c>
      <c r="P13" s="63">
        <v>1.0905476741335915</v>
      </c>
      <c r="Q13" s="63" t="s">
        <v>176</v>
      </c>
      <c r="R13" s="63">
        <v>5.7975673647960582</v>
      </c>
      <c r="S13" s="63">
        <v>1.585903198437798</v>
      </c>
      <c r="T13" s="63">
        <v>3.1548924067236808</v>
      </c>
      <c r="V13" s="63">
        <v>2.5711310220166905</v>
      </c>
      <c r="W13" s="63" t="s">
        <v>176</v>
      </c>
      <c r="X13" s="63">
        <v>0.59330343886124715</v>
      </c>
      <c r="Y13" s="63">
        <v>1.1552820361426002</v>
      </c>
      <c r="Z13" s="63">
        <v>1.5950870703722413</v>
      </c>
      <c r="AA13" s="63"/>
      <c r="AB13" s="63">
        <v>2.5382040245741821</v>
      </c>
      <c r="AC13" s="63">
        <v>7.0891308301688802</v>
      </c>
      <c r="AD13" s="63">
        <v>4.0181789165456312</v>
      </c>
      <c r="AE13" s="63">
        <v>1.670298369787665</v>
      </c>
      <c r="AF13" s="63" t="s">
        <v>176</v>
      </c>
      <c r="AG13" s="63">
        <v>3.6576850810295367</v>
      </c>
      <c r="AH13" s="63">
        <v>6.0519854856120459</v>
      </c>
      <c r="AI13" s="63">
        <v>19.81579802795536</v>
      </c>
      <c r="AJ13" s="63">
        <v>23.259754738015609</v>
      </c>
      <c r="AK13" s="63">
        <v>8.4275547515889908</v>
      </c>
      <c r="AL13" s="63" t="s">
        <v>176</v>
      </c>
      <c r="AM13" s="63">
        <v>21.81151030891963</v>
      </c>
      <c r="AN13" s="63">
        <v>37.424934795928607</v>
      </c>
      <c r="AO13" s="63" t="s">
        <v>176</v>
      </c>
      <c r="AP13" s="63">
        <v>4.1798707719848478</v>
      </c>
      <c r="AQ13" s="63">
        <v>5.3173399188569412</v>
      </c>
      <c r="AR13" s="63">
        <v>0.73755392421355315</v>
      </c>
      <c r="AS13" s="63">
        <v>14.786828645359172</v>
      </c>
      <c r="AU13" s="63">
        <v>2.3781484708046321</v>
      </c>
      <c r="AV13" s="63"/>
      <c r="AW13" s="63">
        <v>5.7878243536144147</v>
      </c>
      <c r="AX13" s="63">
        <v>2.4488274270184043</v>
      </c>
      <c r="AY13" s="63" t="s">
        <v>176</v>
      </c>
      <c r="AZ13" s="63">
        <v>1.5586169780558972</v>
      </c>
      <c r="BA13" s="63">
        <v>14.626919409791906</v>
      </c>
      <c r="BB13" s="63">
        <v>2.3830401410840873</v>
      </c>
      <c r="BC13" s="63">
        <v>2.1443070418661607</v>
      </c>
      <c r="BD13" s="63"/>
      <c r="BE13" s="63"/>
      <c r="BF13" s="63"/>
      <c r="BG13" s="63"/>
      <c r="BH13" s="63"/>
      <c r="BI13" s="63"/>
      <c r="BJ13" s="63"/>
      <c r="BK13" s="63"/>
      <c r="BL13" s="63"/>
      <c r="BM13" s="63"/>
      <c r="BN13" s="63"/>
      <c r="BO13" s="63"/>
      <c r="BP13" s="63"/>
      <c r="CC13" s="65"/>
    </row>
    <row r="14" spans="1:93" x14ac:dyDescent="0.2">
      <c r="A14" s="62" t="s">
        <v>174</v>
      </c>
      <c r="C14" s="63">
        <v>3.0231785720378057</v>
      </c>
      <c r="D14" s="63">
        <v>1.5604083772863266</v>
      </c>
      <c r="E14" s="63">
        <v>2.3920447413226915</v>
      </c>
      <c r="F14" s="63">
        <v>0.52105936283033238</v>
      </c>
      <c r="G14" s="63" t="s">
        <v>176</v>
      </c>
      <c r="H14" s="63" t="s">
        <v>176</v>
      </c>
      <c r="I14" s="63">
        <v>0.96337082871455648</v>
      </c>
      <c r="J14" s="63">
        <v>2.8054204429718421</v>
      </c>
      <c r="K14" s="63">
        <v>2.5367526188411937</v>
      </c>
      <c r="L14" s="63">
        <v>3.25268029761556</v>
      </c>
      <c r="M14" s="63">
        <v>0.50069168424929433</v>
      </c>
      <c r="N14" s="63">
        <v>0.59860237035849329</v>
      </c>
      <c r="O14" s="63">
        <v>1.303471387355178</v>
      </c>
      <c r="P14" s="63">
        <v>1.0764040422973697</v>
      </c>
      <c r="Q14" s="63" t="s">
        <v>176</v>
      </c>
      <c r="R14" s="63">
        <v>4.6072032332654116</v>
      </c>
      <c r="S14" s="63">
        <v>0.75541573054745481</v>
      </c>
      <c r="T14" s="63">
        <v>2.5239638288211212</v>
      </c>
      <c r="U14" s="63">
        <v>0.92730265582389493</v>
      </c>
      <c r="V14" s="63">
        <v>18.411700069933364</v>
      </c>
      <c r="W14" s="63">
        <v>0.96932770200096918</v>
      </c>
      <c r="X14" s="63">
        <v>0.57174127669177177</v>
      </c>
      <c r="Y14" s="63">
        <v>0.4740855941267203</v>
      </c>
      <c r="Z14" s="63">
        <v>1.2422036233335711</v>
      </c>
      <c r="AA14" s="63"/>
      <c r="AB14" s="63">
        <v>4.3567314920201605</v>
      </c>
      <c r="AC14" s="63">
        <v>5.6086366976171362</v>
      </c>
      <c r="AD14" s="63">
        <v>3.6654717839376674</v>
      </c>
      <c r="AE14" s="63">
        <v>1.978805718017375</v>
      </c>
      <c r="AF14" s="63" t="s">
        <v>176</v>
      </c>
      <c r="AG14" s="63">
        <v>1.7546280395279037</v>
      </c>
      <c r="AH14" s="63">
        <v>6.2896422794555358</v>
      </c>
      <c r="AI14" s="63">
        <v>27.321158045957528</v>
      </c>
      <c r="AJ14" s="63">
        <v>28.76979348164928</v>
      </c>
      <c r="AK14" s="63">
        <v>268.65688255166157</v>
      </c>
      <c r="AL14" s="63">
        <v>3.3671383332665243</v>
      </c>
      <c r="AM14" s="63">
        <v>21.43084581957552</v>
      </c>
      <c r="AN14" s="63">
        <v>63.422492279449017</v>
      </c>
      <c r="AO14" s="63" t="s">
        <v>176</v>
      </c>
      <c r="AP14" s="63">
        <v>3.6645082191408234</v>
      </c>
      <c r="AQ14" s="63">
        <v>2.7888458711565245</v>
      </c>
      <c r="AR14" s="63">
        <v>2.2248370780852658</v>
      </c>
      <c r="AS14" s="63">
        <v>7.7947544787708916</v>
      </c>
      <c r="AT14" s="63"/>
      <c r="AU14" s="63">
        <v>3.1250867803992239</v>
      </c>
      <c r="AV14" s="63"/>
      <c r="AW14" s="63">
        <v>5.952760276161893</v>
      </c>
      <c r="AX14" s="63">
        <v>2.767896183620735</v>
      </c>
      <c r="AY14" s="63">
        <v>0.85639099718990463</v>
      </c>
      <c r="AZ14" s="63">
        <v>2.0214469210815174</v>
      </c>
      <c r="BA14" s="63">
        <v>13.987718279661436</v>
      </c>
      <c r="BB14" s="63">
        <v>2.8752531849659193</v>
      </c>
      <c r="BC14" s="63">
        <v>2.0088936454491999</v>
      </c>
      <c r="BD14" s="63"/>
      <c r="BE14" s="63"/>
      <c r="BF14" s="63"/>
      <c r="BG14" s="63"/>
      <c r="BH14" s="63"/>
      <c r="BI14" s="63"/>
      <c r="BJ14" s="63"/>
      <c r="BK14" s="63"/>
      <c r="BL14" s="63"/>
      <c r="BM14" s="63"/>
      <c r="BN14" s="63"/>
      <c r="BO14" s="63"/>
      <c r="BP14" s="63"/>
    </row>
    <row r="15" spans="1:93" x14ac:dyDescent="0.2">
      <c r="A15" s="62" t="s">
        <v>164</v>
      </c>
      <c r="C15" s="63">
        <v>2.3783122207943208</v>
      </c>
      <c r="D15" s="63" t="s">
        <v>176</v>
      </c>
      <c r="E15" s="63">
        <v>2.5607064017660046</v>
      </c>
      <c r="F15" s="63" t="s">
        <v>176</v>
      </c>
      <c r="G15" s="63" t="s">
        <v>176</v>
      </c>
      <c r="H15" s="63" t="s">
        <v>176</v>
      </c>
      <c r="I15" s="63" t="s">
        <v>176</v>
      </c>
      <c r="J15" s="63">
        <v>2.4520660539490398</v>
      </c>
      <c r="K15" s="63" t="s">
        <v>176</v>
      </c>
      <c r="L15" s="63">
        <v>2.698972389113234</v>
      </c>
      <c r="M15" s="84">
        <v>0.53497681050867907</v>
      </c>
      <c r="N15" s="84">
        <v>0.24784999668720598</v>
      </c>
      <c r="O15" s="84">
        <v>2.187318645831676</v>
      </c>
      <c r="P15" s="63">
        <v>1.3220963804795849</v>
      </c>
      <c r="Q15" s="63" t="s">
        <v>176</v>
      </c>
      <c r="R15" s="63">
        <v>4.378178728569261</v>
      </c>
      <c r="S15" s="63">
        <v>1.4639290923370358</v>
      </c>
      <c r="T15" s="63">
        <v>2.603599402022525</v>
      </c>
      <c r="U15" s="63" t="s">
        <v>176</v>
      </c>
      <c r="V15" s="63" t="s">
        <v>176</v>
      </c>
      <c r="W15" s="63">
        <v>0.62212880948806482</v>
      </c>
      <c r="X15" s="63" t="s">
        <v>176</v>
      </c>
      <c r="Y15" s="63">
        <v>0.89427672222869792</v>
      </c>
      <c r="Z15" s="63">
        <v>1.4493444576877235</v>
      </c>
      <c r="AA15" s="63"/>
      <c r="AB15" s="63">
        <v>5.0642969158389963</v>
      </c>
      <c r="AC15" s="63">
        <v>4.3248269838070277</v>
      </c>
      <c r="AD15" s="63">
        <v>3.759131293188549</v>
      </c>
      <c r="AE15" s="63">
        <v>1.4483507495311023</v>
      </c>
      <c r="AF15" s="63" t="s">
        <v>176</v>
      </c>
      <c r="AG15" s="63">
        <v>1.0769230769230769</v>
      </c>
      <c r="AH15" s="63">
        <v>5.9063084051097166</v>
      </c>
      <c r="AI15" s="63">
        <v>25.147609147609149</v>
      </c>
      <c r="AJ15" s="63" t="s">
        <v>176</v>
      </c>
      <c r="AK15" s="63" t="s">
        <v>176</v>
      </c>
      <c r="AL15" s="63">
        <v>2.1645680819912152</v>
      </c>
      <c r="AM15" s="84">
        <v>13.546709845724823</v>
      </c>
      <c r="AN15" s="63">
        <v>53.928441479684658</v>
      </c>
      <c r="AO15" s="63" t="s">
        <v>176</v>
      </c>
      <c r="AP15" s="63">
        <v>3.4891110465839796</v>
      </c>
      <c r="AQ15" s="63" t="s">
        <v>176</v>
      </c>
      <c r="AR15" s="84">
        <v>5.9381443298969074</v>
      </c>
      <c r="AS15" s="63">
        <v>7.3167011490594263</v>
      </c>
      <c r="AT15" s="63"/>
      <c r="AU15" s="84"/>
      <c r="AV15" s="63" t="s">
        <v>176</v>
      </c>
      <c r="AW15" s="84">
        <v>10.172381835032438</v>
      </c>
      <c r="AX15" s="63">
        <v>2.9966349670811998</v>
      </c>
      <c r="AY15" s="63" t="s">
        <v>176</v>
      </c>
      <c r="AZ15" s="63">
        <v>1.5730887461574989</v>
      </c>
      <c r="BA15" s="63">
        <v>14.931400465959099</v>
      </c>
      <c r="BB15" s="63">
        <v>3.3121568762600591</v>
      </c>
      <c r="BC15" s="63">
        <v>2.1455635355991629</v>
      </c>
      <c r="BD15" s="63"/>
      <c r="BE15" s="63"/>
      <c r="BF15" s="63"/>
      <c r="BG15" s="63"/>
      <c r="BH15" s="63"/>
      <c r="BI15" s="63"/>
      <c r="BJ15" s="63"/>
      <c r="BK15" s="63"/>
      <c r="BL15" s="63"/>
      <c r="BM15" s="63"/>
      <c r="BN15" s="63"/>
      <c r="BO15" s="63"/>
      <c r="BP15" s="63"/>
    </row>
    <row r="16" spans="1:93" x14ac:dyDescent="0.2">
      <c r="A16" s="62" t="s">
        <v>165</v>
      </c>
      <c r="B16" s="69"/>
      <c r="C16" s="63">
        <v>19.092718700890519</v>
      </c>
      <c r="D16" s="63">
        <v>2.8125</v>
      </c>
      <c r="E16" s="63">
        <v>18.956483708725123</v>
      </c>
      <c r="F16" s="63">
        <v>1.2986625337236668</v>
      </c>
      <c r="G16" s="63">
        <v>1.50776226047418</v>
      </c>
      <c r="H16" s="63" t="s">
        <v>176</v>
      </c>
      <c r="I16" s="63">
        <v>6.8425965210012727</v>
      </c>
      <c r="J16" s="63">
        <v>24.308697571743927</v>
      </c>
      <c r="K16" s="63" t="s">
        <v>176</v>
      </c>
      <c r="L16" s="63">
        <v>21.298869143780291</v>
      </c>
      <c r="M16" s="63">
        <v>3.6678908621354664</v>
      </c>
      <c r="N16" s="63">
        <v>5.9461509290860821</v>
      </c>
      <c r="O16" s="63">
        <v>9.0694339365207703</v>
      </c>
      <c r="P16" s="63">
        <v>8.1248524401793603</v>
      </c>
      <c r="Q16" s="63" t="s">
        <v>176</v>
      </c>
      <c r="R16" s="63">
        <v>10.49634246037223</v>
      </c>
      <c r="S16" s="63">
        <v>13.236363636363636</v>
      </c>
      <c r="T16" s="63">
        <v>25.429876782500344</v>
      </c>
      <c r="U16" s="63" t="s">
        <v>176</v>
      </c>
      <c r="V16" s="63">
        <v>9.8983500738997976E-2</v>
      </c>
      <c r="W16" s="63">
        <v>4.3921568627450975</v>
      </c>
      <c r="X16" s="63" t="s">
        <v>176</v>
      </c>
      <c r="Y16" s="63">
        <v>5.9897435897435898</v>
      </c>
      <c r="Z16" s="63">
        <v>11.79618559635639</v>
      </c>
      <c r="AA16" s="63"/>
      <c r="AB16" s="63">
        <v>46.484887488850504</v>
      </c>
      <c r="AC16" s="63">
        <v>104.34322741106783</v>
      </c>
      <c r="AD16" s="63" t="s">
        <v>176</v>
      </c>
      <c r="AE16" s="63">
        <v>14.644649094950779</v>
      </c>
      <c r="AF16" s="63" t="s">
        <v>176</v>
      </c>
      <c r="AG16" s="63">
        <v>30.254891122666145</v>
      </c>
      <c r="AH16" s="63">
        <v>59.024834420609729</v>
      </c>
      <c r="AI16" s="63" t="s">
        <v>176</v>
      </c>
      <c r="AJ16" s="63">
        <v>139.81109902067465</v>
      </c>
      <c r="AK16" s="63">
        <v>105.01930501930502</v>
      </c>
      <c r="AL16" s="63">
        <v>24.396899224806202</v>
      </c>
      <c r="AM16" s="63">
        <v>168.77123055415092</v>
      </c>
      <c r="AN16" s="63">
        <v>0.35431440835830563</v>
      </c>
      <c r="AO16" s="63" t="s">
        <v>176</v>
      </c>
      <c r="AP16" s="63">
        <v>29.410877235673439</v>
      </c>
      <c r="AQ16" s="63" t="s">
        <v>176</v>
      </c>
      <c r="AR16" s="63">
        <v>13.97041521503227</v>
      </c>
      <c r="AS16" s="63">
        <v>78.830584858631894</v>
      </c>
      <c r="AT16" s="63"/>
      <c r="AU16" s="63">
        <v>30.093672966310603</v>
      </c>
      <c r="AV16" s="63">
        <v>75.196286055135815</v>
      </c>
      <c r="AW16" s="63">
        <v>67.385464581416741</v>
      </c>
      <c r="AX16" s="63">
        <v>33.095565815837617</v>
      </c>
      <c r="AY16" s="63">
        <v>3.1621911922663801</v>
      </c>
      <c r="AZ16" s="63">
        <v>12.106016882677624</v>
      </c>
      <c r="BA16" s="63">
        <v>123.44200987968603</v>
      </c>
      <c r="BB16" s="63" t="s">
        <v>176</v>
      </c>
      <c r="BC16" s="63">
        <v>17.132704273407473</v>
      </c>
      <c r="BD16" s="63"/>
      <c r="BE16" s="63"/>
      <c r="BF16" s="63"/>
      <c r="BG16" s="63"/>
      <c r="BH16" s="63"/>
      <c r="BI16" s="63"/>
      <c r="BJ16" s="63"/>
      <c r="BK16" s="63"/>
      <c r="BL16" s="63"/>
      <c r="BM16" s="63"/>
      <c r="BN16" s="63"/>
      <c r="BO16" s="63"/>
      <c r="BP16" s="63"/>
    </row>
    <row r="17" spans="1:68" x14ac:dyDescent="0.2">
      <c r="A17" s="62" t="s">
        <v>166</v>
      </c>
      <c r="C17" s="63">
        <v>2.9416342412451364</v>
      </c>
      <c r="D17" s="63">
        <v>7.4076433121019107</v>
      </c>
      <c r="E17" s="63">
        <v>5.291666666666667</v>
      </c>
      <c r="F17" s="63" t="s">
        <v>176</v>
      </c>
      <c r="G17" s="63" t="s">
        <v>176</v>
      </c>
      <c r="H17" s="63" t="s">
        <v>176</v>
      </c>
      <c r="I17" s="63" t="s">
        <v>176</v>
      </c>
      <c r="J17" s="63">
        <v>3.5462555066079293</v>
      </c>
      <c r="K17" s="63" t="s">
        <v>176</v>
      </c>
      <c r="L17" s="63">
        <v>3.019047619047619</v>
      </c>
      <c r="M17" s="63">
        <v>0.5839202886102044</v>
      </c>
      <c r="N17" s="63">
        <v>0.19178082191780821</v>
      </c>
      <c r="O17" s="63">
        <v>1.459438165226983</v>
      </c>
      <c r="P17" s="63">
        <v>1.5410628019323671</v>
      </c>
      <c r="Q17" s="63" t="s">
        <v>176</v>
      </c>
      <c r="R17" s="63">
        <v>5.8499346944387156</v>
      </c>
      <c r="S17" s="63">
        <v>2.512230215827338</v>
      </c>
      <c r="T17" s="63">
        <v>3.0067226890756302</v>
      </c>
      <c r="U17" s="63" t="s">
        <v>176</v>
      </c>
      <c r="V17" s="63">
        <v>23.2</v>
      </c>
      <c r="W17" s="63" t="s">
        <v>176</v>
      </c>
      <c r="X17" s="63" t="s">
        <v>176</v>
      </c>
      <c r="Y17" s="63">
        <v>1.1113152094048493</v>
      </c>
      <c r="Z17" s="63">
        <v>2.0267857142857144</v>
      </c>
      <c r="AA17" s="63"/>
      <c r="AB17" s="63">
        <v>5.6326530612244898</v>
      </c>
      <c r="AC17" s="63">
        <v>9.9235167977126526</v>
      </c>
      <c r="AD17" s="63">
        <v>6.0044642857142856</v>
      </c>
      <c r="AE17" s="63">
        <v>1.683248730964467</v>
      </c>
      <c r="AF17" s="63" t="s">
        <v>176</v>
      </c>
      <c r="AG17" s="63">
        <v>4.3703049759229531</v>
      </c>
      <c r="AH17" s="63">
        <v>8.0005155798867591</v>
      </c>
      <c r="AI17" s="63">
        <v>10.636363636363637</v>
      </c>
      <c r="AJ17" s="63">
        <v>17.481481481481481</v>
      </c>
      <c r="AK17" s="63">
        <v>1.4444444444444444</v>
      </c>
      <c r="AL17" s="63">
        <v>2.9375</v>
      </c>
      <c r="AM17" s="63">
        <v>28.902912621359224</v>
      </c>
      <c r="AN17" s="63" t="s">
        <v>176</v>
      </c>
      <c r="AO17" s="63" t="s">
        <v>176</v>
      </c>
      <c r="AP17" s="63">
        <v>4.837950138504155</v>
      </c>
      <c r="AQ17" s="63">
        <v>4.5714285714285712</v>
      </c>
      <c r="AR17" s="63">
        <v>2.1886792452830188</v>
      </c>
      <c r="AS17" s="63">
        <v>9.6131805157593124</v>
      </c>
      <c r="AT17" s="63"/>
      <c r="AU17" s="63">
        <v>2.9775561097256857</v>
      </c>
      <c r="AV17" s="63">
        <v>14.774647887323944</v>
      </c>
      <c r="AW17" s="63">
        <v>11.818181818181818</v>
      </c>
      <c r="AX17" s="63">
        <v>2.9500846023688663</v>
      </c>
      <c r="AY17" s="63">
        <v>0.49318181818181817</v>
      </c>
      <c r="AZ17" s="63">
        <v>2.8248175182481754</v>
      </c>
      <c r="BA17" s="63">
        <v>43.097372488408034</v>
      </c>
      <c r="BB17" s="63">
        <v>3.0823108384458076</v>
      </c>
      <c r="BC17" s="63">
        <v>2.2960893854748603</v>
      </c>
      <c r="BD17" s="63"/>
      <c r="BE17" s="63"/>
      <c r="BF17" s="63"/>
      <c r="BG17" s="63"/>
      <c r="BH17" s="63"/>
      <c r="BI17" s="63"/>
      <c r="BJ17" s="63"/>
      <c r="BK17" s="63"/>
      <c r="BL17" s="63"/>
      <c r="BM17" s="63"/>
      <c r="BN17" s="63"/>
      <c r="BO17" s="63"/>
      <c r="BP17" s="63"/>
    </row>
    <row r="18" spans="1:68" x14ac:dyDescent="0.2">
      <c r="A18" s="62" t="s">
        <v>167</v>
      </c>
      <c r="C18" s="63">
        <v>2.71875</v>
      </c>
      <c r="D18" s="63">
        <v>5.875</v>
      </c>
      <c r="E18" s="63">
        <v>2</v>
      </c>
      <c r="F18" s="63" t="s">
        <v>176</v>
      </c>
      <c r="G18" s="63" t="s">
        <v>176</v>
      </c>
      <c r="H18" s="63" t="s">
        <v>176</v>
      </c>
      <c r="I18" s="63" t="s">
        <v>176</v>
      </c>
      <c r="J18" s="63">
        <v>3.4232456140350878</v>
      </c>
      <c r="K18" s="63">
        <v>3.3934142114384747</v>
      </c>
      <c r="L18" s="63">
        <v>4.5972222222222223</v>
      </c>
      <c r="M18" s="63">
        <v>0.59401186616918467</v>
      </c>
      <c r="N18" s="63">
        <v>0.2711864406779661</v>
      </c>
      <c r="O18" s="63">
        <v>1.5908308931185944</v>
      </c>
      <c r="P18" s="63">
        <v>1.314868804664723</v>
      </c>
      <c r="Q18" s="63">
        <v>3</v>
      </c>
      <c r="R18" s="63">
        <v>5.7118847539015603</v>
      </c>
      <c r="S18" s="63">
        <v>1.2904907975460123</v>
      </c>
      <c r="T18" s="63">
        <v>2.9872904644133005</v>
      </c>
      <c r="U18" s="63">
        <v>3.3856209150326797</v>
      </c>
      <c r="V18" s="63">
        <v>20.283018867924529</v>
      </c>
      <c r="W18" s="63" t="s">
        <v>176</v>
      </c>
      <c r="X18" s="63" t="s">
        <v>176</v>
      </c>
      <c r="Y18" s="63">
        <v>1.1160164271047228</v>
      </c>
      <c r="Z18" s="63">
        <v>2.4779874213836477</v>
      </c>
      <c r="AA18" s="63"/>
      <c r="AB18" s="63">
        <v>6.2028985507246377</v>
      </c>
      <c r="AC18" s="63">
        <v>8.0807799442896933</v>
      </c>
      <c r="AD18" s="63">
        <v>4.9259770114942532</v>
      </c>
      <c r="AE18" s="63">
        <v>1.7413314840499305</v>
      </c>
      <c r="AF18" s="63" t="s">
        <v>176</v>
      </c>
      <c r="AG18" s="63">
        <v>4.8255102040816329</v>
      </c>
      <c r="AH18" s="63">
        <v>7.3792442987032345</v>
      </c>
      <c r="AI18" s="63">
        <v>12.82</v>
      </c>
      <c r="AJ18" s="63">
        <v>16.056338028169016</v>
      </c>
      <c r="AK18" s="63">
        <v>17.3</v>
      </c>
      <c r="AL18" s="63">
        <v>3.2250000000000001</v>
      </c>
      <c r="AM18" s="63">
        <v>25.736842105263158</v>
      </c>
      <c r="AN18" s="63">
        <v>78.666666666666671</v>
      </c>
      <c r="AO18" s="63" t="s">
        <v>176</v>
      </c>
      <c r="AP18" s="63">
        <v>4.1883239171374766</v>
      </c>
      <c r="AQ18" s="63">
        <v>6</v>
      </c>
      <c r="AR18" s="63">
        <v>3.5736040609137056</v>
      </c>
      <c r="AS18" s="63">
        <v>11.707506053268766</v>
      </c>
      <c r="AT18" s="63"/>
      <c r="AU18" s="63">
        <v>3.9019607843137254</v>
      </c>
      <c r="AV18" s="63">
        <v>9.1326530612244898</v>
      </c>
      <c r="AW18" s="63">
        <v>13.23076923076923</v>
      </c>
      <c r="AX18" s="63">
        <v>3.2510760401721663</v>
      </c>
      <c r="AY18" s="63">
        <v>0.61529808773903261</v>
      </c>
      <c r="AZ18" s="63">
        <v>2.8121546961325965</v>
      </c>
      <c r="BA18" s="63">
        <v>18.986376021798364</v>
      </c>
      <c r="BB18" s="63">
        <v>3.145966709346991</v>
      </c>
      <c r="BC18" s="63">
        <v>2.8578352180936997</v>
      </c>
    </row>
    <row r="19" spans="1:68" x14ac:dyDescent="0.2">
      <c r="A19" s="62" t="s">
        <v>168</v>
      </c>
      <c r="C19" s="63">
        <v>2.8796433878157504</v>
      </c>
      <c r="D19" s="63" t="s">
        <v>176</v>
      </c>
      <c r="E19" s="63" t="s">
        <v>176</v>
      </c>
      <c r="F19" s="63" t="s">
        <v>176</v>
      </c>
      <c r="G19" s="63" t="s">
        <v>176</v>
      </c>
      <c r="H19" s="63" t="s">
        <v>176</v>
      </c>
      <c r="I19" s="63" t="s">
        <v>176</v>
      </c>
      <c r="J19" s="63">
        <v>3.265457543281121</v>
      </c>
      <c r="K19" s="63">
        <v>3.4371584699453552</v>
      </c>
      <c r="L19" s="63">
        <v>3.9951100244498776</v>
      </c>
      <c r="M19" s="63">
        <v>0.57826558834856279</v>
      </c>
      <c r="N19" s="63" t="s">
        <v>176</v>
      </c>
      <c r="O19" s="63">
        <v>1.7072196091927652</v>
      </c>
      <c r="P19" s="63">
        <v>1.4899103139013452</v>
      </c>
      <c r="Q19" s="63" t="s">
        <v>176</v>
      </c>
      <c r="R19" s="63">
        <v>5.3732354601919816</v>
      </c>
      <c r="S19" s="63">
        <v>1.1390443392165304</v>
      </c>
      <c r="T19" s="63">
        <v>2.4867898854745434</v>
      </c>
      <c r="U19" s="63">
        <v>6.333333333333333</v>
      </c>
      <c r="V19" s="63">
        <v>8.1132075471698109</v>
      </c>
      <c r="W19" s="63"/>
      <c r="X19" s="63" t="s">
        <v>176</v>
      </c>
      <c r="Y19" s="63">
        <v>1.0791252485089464</v>
      </c>
      <c r="Z19" s="63">
        <v>1.8164665523156089</v>
      </c>
      <c r="AA19" s="63"/>
      <c r="AB19" s="63">
        <v>7.3652173913043475</v>
      </c>
      <c r="AC19" s="63">
        <v>8.3920570264765786</v>
      </c>
      <c r="AD19" s="63">
        <v>4.9996227838551492</v>
      </c>
      <c r="AE19" s="63">
        <v>1.9897025171624714</v>
      </c>
      <c r="AF19" s="63">
        <v>216.75700934579439</v>
      </c>
      <c r="AG19" s="63">
        <v>4.5910639150470844</v>
      </c>
      <c r="AH19" s="63">
        <v>6.956192195670317</v>
      </c>
      <c r="AI19" s="63">
        <v>12.412213740458014</v>
      </c>
      <c r="AJ19" s="63">
        <v>23.566502463054189</v>
      </c>
      <c r="AK19" s="63">
        <v>1.2352941176470589</v>
      </c>
      <c r="AL19" s="63" t="s">
        <v>176</v>
      </c>
      <c r="AM19" s="63">
        <v>22.691897654584221</v>
      </c>
      <c r="AN19" s="63">
        <v>55.222222222222221</v>
      </c>
      <c r="AO19" s="63" t="s">
        <v>176</v>
      </c>
      <c r="AP19" s="63">
        <v>4.5201680672268907</v>
      </c>
      <c r="AQ19" s="63">
        <v>4.563380281690141</v>
      </c>
      <c r="AR19" s="63">
        <v>3.7690058479532165</v>
      </c>
      <c r="AS19" s="63">
        <v>8.30755064456722</v>
      </c>
      <c r="AT19" s="63"/>
      <c r="AU19" s="63">
        <v>4.742889647326507</v>
      </c>
      <c r="AV19" s="63">
        <v>6.2981818181818179</v>
      </c>
      <c r="AW19" s="63" t="s">
        <v>176</v>
      </c>
      <c r="AX19" s="63">
        <v>3.380875202593193</v>
      </c>
      <c r="AY19" s="63">
        <v>1.4396378269617707</v>
      </c>
      <c r="AZ19" s="63">
        <v>2.2241134751773051</v>
      </c>
      <c r="BA19" s="63">
        <v>21.024838012958963</v>
      </c>
      <c r="BB19" s="63">
        <v>3.3757725587144622</v>
      </c>
      <c r="BC19" s="63">
        <v>2.5472868217054265</v>
      </c>
    </row>
    <row r="20" spans="1:68" x14ac:dyDescent="0.2">
      <c r="A20" s="62" t="s">
        <v>169</v>
      </c>
      <c r="C20" s="63">
        <v>2.8751902587519025</v>
      </c>
      <c r="D20" s="63" t="s">
        <v>176</v>
      </c>
      <c r="E20" s="63" t="s">
        <v>176</v>
      </c>
      <c r="F20" s="63" t="s">
        <v>176</v>
      </c>
      <c r="G20" s="63" t="s">
        <v>176</v>
      </c>
      <c r="H20" s="63" t="s">
        <v>176</v>
      </c>
      <c r="I20" s="63" t="s">
        <v>176</v>
      </c>
      <c r="J20" s="63">
        <v>2.8768864177918982</v>
      </c>
      <c r="K20" s="63">
        <v>3.3991507430997876</v>
      </c>
      <c r="L20" s="63">
        <v>3.6607142857142856</v>
      </c>
      <c r="M20" s="63">
        <v>0.62944162436548223</v>
      </c>
      <c r="N20" s="63" t="s">
        <v>176</v>
      </c>
      <c r="O20" s="63">
        <v>1.7007073895711882</v>
      </c>
      <c r="P20" s="63">
        <v>1.5707100591715977</v>
      </c>
      <c r="Q20" s="63" t="s">
        <v>176</v>
      </c>
      <c r="R20" s="63">
        <v>5.2899505766062607</v>
      </c>
      <c r="S20" s="63">
        <v>3.1480562448304386</v>
      </c>
      <c r="T20" s="63">
        <v>2.5752110173256328</v>
      </c>
      <c r="U20" s="63">
        <v>7.0070921985815602</v>
      </c>
      <c r="V20" s="63">
        <v>2.7878787878787881</v>
      </c>
      <c r="W20" s="63">
        <v>1</v>
      </c>
      <c r="X20" s="63" t="s">
        <v>176</v>
      </c>
      <c r="Y20" s="63">
        <v>1.1043095004897159</v>
      </c>
      <c r="Z20" s="63">
        <v>2.1761006289308176</v>
      </c>
      <c r="AA20" s="63"/>
      <c r="AB20" s="63">
        <v>4.9796747967479673</v>
      </c>
      <c r="AC20" s="63">
        <v>7.8027522935779814</v>
      </c>
      <c r="AD20" s="63">
        <v>5.0479148181011535</v>
      </c>
      <c r="AE20" s="63">
        <v>1.8468244084682441</v>
      </c>
      <c r="AF20" s="63">
        <v>218.75</v>
      </c>
      <c r="AG20" s="63">
        <v>4.9176382660687592</v>
      </c>
      <c r="AH20" s="63">
        <v>6.7791554203840976</v>
      </c>
      <c r="AI20" s="63">
        <v>17.100000000000001</v>
      </c>
      <c r="AJ20" s="63">
        <v>23.675105485232066</v>
      </c>
      <c r="AK20" s="63">
        <v>17.375</v>
      </c>
      <c r="AL20" s="63" t="s">
        <v>176</v>
      </c>
      <c r="AM20" s="63">
        <v>26.121794871794872</v>
      </c>
      <c r="AN20" s="63">
        <v>52.903225806451616</v>
      </c>
      <c r="AO20" s="63">
        <v>2.474755700325733</v>
      </c>
      <c r="AP20" s="63">
        <v>4.6041114058355435</v>
      </c>
      <c r="AQ20" s="63" t="s">
        <v>176</v>
      </c>
      <c r="AR20" s="63">
        <v>3.19</v>
      </c>
      <c r="AS20" s="63">
        <v>18.330248212031972</v>
      </c>
      <c r="AT20" s="63"/>
      <c r="AU20" s="63">
        <v>4.1526181353767564</v>
      </c>
      <c r="AV20" s="63">
        <v>11.857923497267759</v>
      </c>
      <c r="AW20" s="63" t="s">
        <v>176</v>
      </c>
      <c r="AX20" s="63">
        <v>3.7965964343598055</v>
      </c>
      <c r="AY20" s="63">
        <v>1.3911894273127754</v>
      </c>
      <c r="AZ20" s="63">
        <v>1.9301801801801801</v>
      </c>
      <c r="BA20" s="63">
        <v>19.034523809523808</v>
      </c>
      <c r="BB20" s="63">
        <v>3.1704482567791921</v>
      </c>
      <c r="BC20" s="63">
        <v>2.6281725888324874</v>
      </c>
    </row>
    <row r="21" spans="1:68" x14ac:dyDescent="0.2">
      <c r="A21" s="62" t="s">
        <v>170</v>
      </c>
      <c r="C21" s="63">
        <v>2.7817047817047817</v>
      </c>
      <c r="D21" s="63" t="s">
        <v>176</v>
      </c>
      <c r="E21" s="63" t="s">
        <v>176</v>
      </c>
      <c r="F21" s="63" t="s">
        <v>176</v>
      </c>
      <c r="G21" s="63" t="s">
        <v>176</v>
      </c>
      <c r="H21" s="63" t="s">
        <v>176</v>
      </c>
      <c r="I21" s="63" t="s">
        <v>176</v>
      </c>
      <c r="J21" s="63">
        <v>3.2922337870296237</v>
      </c>
      <c r="K21" s="63">
        <v>3.3670133729569094</v>
      </c>
      <c r="L21" s="63">
        <v>8.0500000000000007</v>
      </c>
      <c r="M21" s="63">
        <v>0.69312640297236627</v>
      </c>
      <c r="N21" s="63" t="s">
        <v>176</v>
      </c>
      <c r="O21" s="63">
        <v>1.7035571084150949</v>
      </c>
      <c r="P21" s="63">
        <v>1.561372635283766</v>
      </c>
      <c r="Q21" s="63" t="s">
        <v>176</v>
      </c>
      <c r="R21" s="63">
        <v>5.5441831683168319</v>
      </c>
      <c r="S21" s="63">
        <v>1.7188995215311005</v>
      </c>
      <c r="T21" s="63">
        <v>2.543022737405261</v>
      </c>
      <c r="U21" s="63">
        <v>9.5666666666666664</v>
      </c>
      <c r="V21" s="63">
        <v>19.196721311475411</v>
      </c>
      <c r="W21" s="63">
        <v>1.1125</v>
      </c>
      <c r="X21" s="63" t="s">
        <v>176</v>
      </c>
      <c r="Y21" s="63">
        <v>1.2133333333333334</v>
      </c>
      <c r="Z21" s="63">
        <v>2.3607142857142858</v>
      </c>
      <c r="AA21" s="63"/>
      <c r="AB21" s="63">
        <v>4.5406976744186043</v>
      </c>
      <c r="AC21" s="63">
        <v>11.754152823920267</v>
      </c>
      <c r="AD21" s="63">
        <v>4.9942011834319526</v>
      </c>
      <c r="AE21" s="63">
        <v>1.7611662531017369</v>
      </c>
      <c r="AF21" s="63" t="s">
        <v>176</v>
      </c>
      <c r="AG21" s="63">
        <v>5.1554179566563469</v>
      </c>
      <c r="AH21" s="63">
        <v>6.8584863801219234</v>
      </c>
      <c r="AI21" s="63">
        <v>9.4360189573459721</v>
      </c>
      <c r="AJ21" s="63">
        <v>22.2015503875969</v>
      </c>
      <c r="AK21" s="63">
        <v>12.9</v>
      </c>
      <c r="AL21" s="63" t="s">
        <v>176</v>
      </c>
      <c r="AM21" s="63">
        <v>19</v>
      </c>
      <c r="AN21" s="63">
        <v>64.304347826086953</v>
      </c>
      <c r="AO21" s="63">
        <v>5.8787061994609164</v>
      </c>
      <c r="AP21" s="63">
        <v>12.531958762886598</v>
      </c>
      <c r="AQ21" s="63" t="s">
        <v>176</v>
      </c>
      <c r="AR21" s="63">
        <v>4.9840637450199203</v>
      </c>
      <c r="AS21" s="63">
        <v>26.946263125386039</v>
      </c>
      <c r="AT21" s="63"/>
      <c r="AU21" s="63">
        <v>4.275779376498801</v>
      </c>
      <c r="AV21" s="63">
        <v>11.89922480620155</v>
      </c>
      <c r="AW21" s="63" t="s">
        <v>176</v>
      </c>
      <c r="AX21" s="63">
        <v>2.9814814814814814</v>
      </c>
      <c r="AY21" s="63">
        <v>1.5748393021120295</v>
      </c>
      <c r="AZ21" s="63">
        <v>2.6533333333333333</v>
      </c>
      <c r="BA21" s="63">
        <v>17.466666666666665</v>
      </c>
      <c r="BB21" s="63">
        <v>3.0764367816091953</v>
      </c>
      <c r="BC21" s="63">
        <v>2.2734375</v>
      </c>
    </row>
    <row r="22" spans="1:68" x14ac:dyDescent="0.2">
      <c r="A22" s="62" t="s">
        <v>171</v>
      </c>
      <c r="C22" s="63">
        <v>3.4189497716894977</v>
      </c>
      <c r="D22" s="63" t="s">
        <v>176</v>
      </c>
      <c r="E22" s="63" t="s">
        <v>176</v>
      </c>
      <c r="F22" s="63" t="s">
        <v>176</v>
      </c>
      <c r="G22" s="63" t="s">
        <v>176</v>
      </c>
      <c r="H22" s="63" t="s">
        <v>176</v>
      </c>
      <c r="I22" s="63" t="s">
        <v>176</v>
      </c>
      <c r="J22" s="63">
        <v>2.8965773809523809</v>
      </c>
      <c r="K22" s="63">
        <v>3.4626777251184833</v>
      </c>
      <c r="L22" s="63">
        <v>6.3415637860082308</v>
      </c>
      <c r="M22" s="63">
        <v>0.91358871362790239</v>
      </c>
      <c r="N22" s="63" t="s">
        <v>176</v>
      </c>
      <c r="O22" s="63">
        <v>1.8244308445532436</v>
      </c>
      <c r="P22" s="63">
        <v>1.8819362455726092</v>
      </c>
      <c r="Q22" s="63" t="s">
        <v>176</v>
      </c>
      <c r="R22" s="63">
        <v>6.7515579071134626</v>
      </c>
      <c r="S22" s="63">
        <v>1.5123966942148761</v>
      </c>
      <c r="T22" s="63">
        <v>3.093362831858407</v>
      </c>
      <c r="U22" s="63">
        <v>4.7827586206896555</v>
      </c>
      <c r="V22" s="63">
        <v>19.372093023255815</v>
      </c>
      <c r="W22" s="63">
        <v>1.0434782608695652</v>
      </c>
      <c r="X22" s="63" t="s">
        <v>176</v>
      </c>
      <c r="Y22" s="63">
        <v>8.8231292517006796</v>
      </c>
      <c r="Z22" s="63">
        <v>2.4117043121149897</v>
      </c>
      <c r="AA22" s="63"/>
      <c r="AB22" s="63">
        <v>11.656716417910447</v>
      </c>
      <c r="AC22" s="63">
        <v>9.3898540653231404</v>
      </c>
      <c r="AD22" s="63">
        <v>5.3644067796610173</v>
      </c>
      <c r="AE22" s="63">
        <v>5.4060773480662982</v>
      </c>
      <c r="AF22" s="63" t="s">
        <v>176</v>
      </c>
      <c r="AG22" s="63">
        <v>5.7519036411463382</v>
      </c>
      <c r="AH22" s="63">
        <v>6.8477157360406089</v>
      </c>
      <c r="AI22" s="63">
        <v>12.782485875706215</v>
      </c>
      <c r="AJ22" s="63">
        <v>30.161490683229815</v>
      </c>
      <c r="AK22" s="63">
        <v>137</v>
      </c>
      <c r="AL22" s="63" t="s">
        <v>176</v>
      </c>
      <c r="AM22" s="63">
        <v>31.073800738007382</v>
      </c>
      <c r="AN22" s="63">
        <v>94.375</v>
      </c>
      <c r="AO22" s="63">
        <v>7.8588957055214728</v>
      </c>
      <c r="AP22" s="63">
        <v>6.4005486968449929</v>
      </c>
      <c r="AQ22" s="63" t="s">
        <v>176</v>
      </c>
      <c r="AR22" s="63">
        <v>2.7385786802030458</v>
      </c>
      <c r="AS22" s="63">
        <v>26.741691842900302</v>
      </c>
      <c r="AT22" s="63"/>
      <c r="AU22" s="63">
        <v>6.3003575685339692</v>
      </c>
      <c r="AV22" s="63">
        <v>15.674796747967479</v>
      </c>
      <c r="AW22" s="63">
        <v>29.636363636363637</v>
      </c>
      <c r="AX22" s="63">
        <v>3.5678807947019866</v>
      </c>
      <c r="AY22" s="63">
        <v>1.4058487874465051</v>
      </c>
      <c r="AZ22" s="63">
        <v>2.7930029154518952</v>
      </c>
      <c r="BA22" s="63">
        <v>15.148194271481943</v>
      </c>
      <c r="BB22" s="63">
        <v>3.4144645340751043</v>
      </c>
      <c r="BC22" s="63">
        <v>3.0598290598290596</v>
      </c>
    </row>
  </sheetData>
  <pageMargins left="0.75" right="0.75" top="1" bottom="1" header="0.5" footer="0.5"/>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A21"/>
  <sheetViews>
    <sheetView zoomScaleNormal="100" workbookViewId="0">
      <pane xSplit="2" ySplit="7" topLeftCell="W14" activePane="bottomRight" state="frozenSplit"/>
      <selection activeCell="AU14" sqref="AU14"/>
      <selection pane="topRight" activeCell="AU14" sqref="AU14"/>
      <selection pane="bottomLeft" activeCell="AU14" sqref="AU14"/>
      <selection pane="bottomRight" activeCell="AK6" sqref="AK6"/>
    </sheetView>
  </sheetViews>
  <sheetFormatPr defaultColWidth="9.6640625" defaultRowHeight="12" x14ac:dyDescent="0.2"/>
  <cols>
    <col min="1" max="1" width="6.44140625" style="49" customWidth="1"/>
    <col min="2" max="2" width="13.88671875" style="48" customWidth="1"/>
    <col min="3" max="4" width="11.88671875" style="48" customWidth="1"/>
    <col min="5" max="5" width="10.77734375" style="48" customWidth="1"/>
    <col min="6" max="6" width="11.77734375" style="48" customWidth="1"/>
    <col min="7" max="7" width="13.109375" style="48" customWidth="1"/>
    <col min="8" max="8" width="11.5546875" style="48" customWidth="1"/>
    <col min="9" max="9" width="10.6640625" style="48" customWidth="1"/>
    <col min="10" max="10" width="9.6640625" style="48"/>
    <col min="11" max="11" width="15.77734375" style="48" customWidth="1"/>
    <col min="12" max="12" width="7.21875" style="48" customWidth="1"/>
    <col min="13" max="13" width="11.88671875" style="48" customWidth="1"/>
    <col min="14" max="17" width="9.6640625" style="48"/>
    <col min="18" max="18" width="7.109375" style="48" customWidth="1"/>
    <col min="19" max="20" width="9.6640625" style="48"/>
    <col min="21" max="22" width="18.6640625" style="48" customWidth="1"/>
    <col min="23" max="23" width="12.77734375" style="48" customWidth="1"/>
    <col min="24" max="24" width="12" style="48" customWidth="1"/>
    <col min="25" max="25" width="15.33203125" style="48" customWidth="1"/>
    <col min="26" max="26" width="15.21875" style="48" customWidth="1"/>
    <col min="27" max="27" width="21.44140625" style="48" customWidth="1"/>
    <col min="28" max="34" width="9.6640625" style="48"/>
    <col min="35" max="35" width="10.44140625" style="48" customWidth="1"/>
    <col min="36" max="43" width="9.6640625" style="48"/>
    <col min="44" max="45" width="13.44140625" style="48" customWidth="1"/>
    <col min="46" max="46" width="9.6640625" style="48"/>
    <col min="47" max="47" width="13.88671875" style="48" customWidth="1"/>
    <col min="48" max="48" width="10.6640625" style="48" customWidth="1"/>
    <col min="49" max="49" width="17.33203125" style="48" customWidth="1"/>
    <col min="50" max="51" width="12.6640625" style="48" customWidth="1"/>
    <col min="52" max="52" width="11.21875" style="48" customWidth="1"/>
    <col min="53" max="53" width="18.33203125" style="48" customWidth="1"/>
    <col min="54" max="54" width="12.88671875" style="48" customWidth="1"/>
    <col min="55" max="56" width="13.21875" style="48" customWidth="1"/>
    <col min="57" max="57" width="10.88671875" style="48" customWidth="1"/>
    <col min="58" max="58" width="11.109375" style="48" customWidth="1"/>
    <col min="59" max="59" width="15.21875" style="48" customWidth="1"/>
    <col min="60" max="60" width="9.6640625" style="48"/>
    <col min="61" max="61" width="11" style="48" customWidth="1"/>
    <col min="62" max="62" width="10.77734375" style="48" customWidth="1"/>
    <col min="63" max="63" width="11.44140625" style="48" customWidth="1"/>
    <col min="64" max="64" width="4" style="48" customWidth="1"/>
    <col min="65" max="255" width="9.6640625" style="48"/>
    <col min="256" max="256" width="6.44140625" style="48" customWidth="1"/>
    <col min="257" max="257" width="13.88671875" style="48" customWidth="1"/>
    <col min="258" max="258" width="11.88671875" style="48" customWidth="1"/>
    <col min="259" max="261" width="9.6640625" style="48"/>
    <col min="262" max="262" width="15.44140625" style="48" customWidth="1"/>
    <col min="263" max="263" width="16.21875" style="48" customWidth="1"/>
    <col min="264" max="275" width="9.6640625" style="48"/>
    <col min="276" max="276" width="12" style="48" customWidth="1"/>
    <col min="277" max="277" width="12.77734375" style="48" customWidth="1"/>
    <col min="278" max="278" width="11.109375" style="48" customWidth="1"/>
    <col min="279" max="279" width="12" style="48" customWidth="1"/>
    <col min="280" max="280" width="9.6640625" style="48"/>
    <col min="281" max="281" width="15.33203125" style="48" customWidth="1"/>
    <col min="282" max="282" width="15.21875" style="48" customWidth="1"/>
    <col min="283" max="283" width="21.44140625" style="48" customWidth="1"/>
    <col min="284" max="299" width="9.6640625" style="48"/>
    <col min="300" max="301" width="13.44140625" style="48" customWidth="1"/>
    <col min="302" max="302" width="9.6640625" style="48"/>
    <col min="303" max="303" width="13.88671875" style="48" customWidth="1"/>
    <col min="304" max="304" width="10.6640625" style="48" customWidth="1"/>
    <col min="305" max="305" width="17.33203125" style="48" customWidth="1"/>
    <col min="306" max="307" width="12.6640625" style="48" customWidth="1"/>
    <col min="308" max="308" width="11.21875" style="48" customWidth="1"/>
    <col min="309" max="309" width="18.33203125" style="48" customWidth="1"/>
    <col min="310" max="310" width="12.88671875" style="48" customWidth="1"/>
    <col min="311" max="312" width="13.21875" style="48" customWidth="1"/>
    <col min="313" max="313" width="10.88671875" style="48" customWidth="1"/>
    <col min="314" max="314" width="11.109375" style="48" customWidth="1"/>
    <col min="315" max="315" width="15.21875" style="48" customWidth="1"/>
    <col min="316" max="316" width="9.6640625" style="48"/>
    <col min="317" max="317" width="11" style="48" customWidth="1"/>
    <col min="318" max="318" width="10.77734375" style="48" customWidth="1"/>
    <col min="319" max="319" width="11.44140625" style="48" customWidth="1"/>
    <col min="320" max="320" width="4" style="48" customWidth="1"/>
    <col min="321" max="511" width="9.6640625" style="48"/>
    <col min="512" max="512" width="6.44140625" style="48" customWidth="1"/>
    <col min="513" max="513" width="13.88671875" style="48" customWidth="1"/>
    <col min="514" max="514" width="11.88671875" style="48" customWidth="1"/>
    <col min="515" max="517" width="9.6640625" style="48"/>
    <col min="518" max="518" width="15.44140625" style="48" customWidth="1"/>
    <col min="519" max="519" width="16.21875" style="48" customWidth="1"/>
    <col min="520" max="531" width="9.6640625" style="48"/>
    <col min="532" max="532" width="12" style="48" customWidth="1"/>
    <col min="533" max="533" width="12.77734375" style="48" customWidth="1"/>
    <col min="534" max="534" width="11.109375" style="48" customWidth="1"/>
    <col min="535" max="535" width="12" style="48" customWidth="1"/>
    <col min="536" max="536" width="9.6640625" style="48"/>
    <col min="537" max="537" width="15.33203125" style="48" customWidth="1"/>
    <col min="538" max="538" width="15.21875" style="48" customWidth="1"/>
    <col min="539" max="539" width="21.44140625" style="48" customWidth="1"/>
    <col min="540" max="555" width="9.6640625" style="48"/>
    <col min="556" max="557" width="13.44140625" style="48" customWidth="1"/>
    <col min="558" max="558" width="9.6640625" style="48"/>
    <col min="559" max="559" width="13.88671875" style="48" customWidth="1"/>
    <col min="560" max="560" width="10.6640625" style="48" customWidth="1"/>
    <col min="561" max="561" width="17.33203125" style="48" customWidth="1"/>
    <col min="562" max="563" width="12.6640625" style="48" customWidth="1"/>
    <col min="564" max="564" width="11.21875" style="48" customWidth="1"/>
    <col min="565" max="565" width="18.33203125" style="48" customWidth="1"/>
    <col min="566" max="566" width="12.88671875" style="48" customWidth="1"/>
    <col min="567" max="568" width="13.21875" style="48" customWidth="1"/>
    <col min="569" max="569" width="10.88671875" style="48" customWidth="1"/>
    <col min="570" max="570" width="11.109375" style="48" customWidth="1"/>
    <col min="571" max="571" width="15.21875" style="48" customWidth="1"/>
    <col min="572" max="572" width="9.6640625" style="48"/>
    <col min="573" max="573" width="11" style="48" customWidth="1"/>
    <col min="574" max="574" width="10.77734375" style="48" customWidth="1"/>
    <col min="575" max="575" width="11.44140625" style="48" customWidth="1"/>
    <col min="576" max="576" width="4" style="48" customWidth="1"/>
    <col min="577" max="767" width="9.6640625" style="48"/>
    <col min="768" max="768" width="6.44140625" style="48" customWidth="1"/>
    <col min="769" max="769" width="13.88671875" style="48" customWidth="1"/>
    <col min="770" max="770" width="11.88671875" style="48" customWidth="1"/>
    <col min="771" max="773" width="9.6640625" style="48"/>
    <col min="774" max="774" width="15.44140625" style="48" customWidth="1"/>
    <col min="775" max="775" width="16.21875" style="48" customWidth="1"/>
    <col min="776" max="787" width="9.6640625" style="48"/>
    <col min="788" max="788" width="12" style="48" customWidth="1"/>
    <col min="789" max="789" width="12.77734375" style="48" customWidth="1"/>
    <col min="790" max="790" width="11.109375" style="48" customWidth="1"/>
    <col min="791" max="791" width="12" style="48" customWidth="1"/>
    <col min="792" max="792" width="9.6640625" style="48"/>
    <col min="793" max="793" width="15.33203125" style="48" customWidth="1"/>
    <col min="794" max="794" width="15.21875" style="48" customWidth="1"/>
    <col min="795" max="795" width="21.44140625" style="48" customWidth="1"/>
    <col min="796" max="811" width="9.6640625" style="48"/>
    <col min="812" max="813" width="13.44140625" style="48" customWidth="1"/>
    <col min="814" max="814" width="9.6640625" style="48"/>
    <col min="815" max="815" width="13.88671875" style="48" customWidth="1"/>
    <col min="816" max="816" width="10.6640625" style="48" customWidth="1"/>
    <col min="817" max="817" width="17.33203125" style="48" customWidth="1"/>
    <col min="818" max="819" width="12.6640625" style="48" customWidth="1"/>
    <col min="820" max="820" width="11.21875" style="48" customWidth="1"/>
    <col min="821" max="821" width="18.33203125" style="48" customWidth="1"/>
    <col min="822" max="822" width="12.88671875" style="48" customWidth="1"/>
    <col min="823" max="824" width="13.21875" style="48" customWidth="1"/>
    <col min="825" max="825" width="10.88671875" style="48" customWidth="1"/>
    <col min="826" max="826" width="11.109375" style="48" customWidth="1"/>
    <col min="827" max="827" width="15.21875" style="48" customWidth="1"/>
    <col min="828" max="828" width="9.6640625" style="48"/>
    <col min="829" max="829" width="11" style="48" customWidth="1"/>
    <col min="830" max="830" width="10.77734375" style="48" customWidth="1"/>
    <col min="831" max="831" width="11.44140625" style="48" customWidth="1"/>
    <col min="832" max="832" width="4" style="48" customWidth="1"/>
    <col min="833" max="1023" width="9.6640625" style="48"/>
    <col min="1024" max="1024" width="6.44140625" style="48" customWidth="1"/>
    <col min="1025" max="1025" width="13.88671875" style="48" customWidth="1"/>
    <col min="1026" max="1026" width="11.88671875" style="48" customWidth="1"/>
    <col min="1027" max="1029" width="9.6640625" style="48"/>
    <col min="1030" max="1030" width="15.44140625" style="48" customWidth="1"/>
    <col min="1031" max="1031" width="16.21875" style="48" customWidth="1"/>
    <col min="1032" max="1043" width="9.6640625" style="48"/>
    <col min="1044" max="1044" width="12" style="48" customWidth="1"/>
    <col min="1045" max="1045" width="12.77734375" style="48" customWidth="1"/>
    <col min="1046" max="1046" width="11.109375" style="48" customWidth="1"/>
    <col min="1047" max="1047" width="12" style="48" customWidth="1"/>
    <col min="1048" max="1048" width="9.6640625" style="48"/>
    <col min="1049" max="1049" width="15.33203125" style="48" customWidth="1"/>
    <col min="1050" max="1050" width="15.21875" style="48" customWidth="1"/>
    <col min="1051" max="1051" width="21.44140625" style="48" customWidth="1"/>
    <col min="1052" max="1067" width="9.6640625" style="48"/>
    <col min="1068" max="1069" width="13.44140625" style="48" customWidth="1"/>
    <col min="1070" max="1070" width="9.6640625" style="48"/>
    <col min="1071" max="1071" width="13.88671875" style="48" customWidth="1"/>
    <col min="1072" max="1072" width="10.6640625" style="48" customWidth="1"/>
    <col min="1073" max="1073" width="17.33203125" style="48" customWidth="1"/>
    <col min="1074" max="1075" width="12.6640625" style="48" customWidth="1"/>
    <col min="1076" max="1076" width="11.21875" style="48" customWidth="1"/>
    <col min="1077" max="1077" width="18.33203125" style="48" customWidth="1"/>
    <col min="1078" max="1078" width="12.88671875" style="48" customWidth="1"/>
    <col min="1079" max="1080" width="13.21875" style="48" customWidth="1"/>
    <col min="1081" max="1081" width="10.88671875" style="48" customWidth="1"/>
    <col min="1082" max="1082" width="11.109375" style="48" customWidth="1"/>
    <col min="1083" max="1083" width="15.21875" style="48" customWidth="1"/>
    <col min="1084" max="1084" width="9.6640625" style="48"/>
    <col min="1085" max="1085" width="11" style="48" customWidth="1"/>
    <col min="1086" max="1086" width="10.77734375" style="48" customWidth="1"/>
    <col min="1087" max="1087" width="11.44140625" style="48" customWidth="1"/>
    <col min="1088" max="1088" width="4" style="48" customWidth="1"/>
    <col min="1089" max="1279" width="9.6640625" style="48"/>
    <col min="1280" max="1280" width="6.44140625" style="48" customWidth="1"/>
    <col min="1281" max="1281" width="13.88671875" style="48" customWidth="1"/>
    <col min="1282" max="1282" width="11.88671875" style="48" customWidth="1"/>
    <col min="1283" max="1285" width="9.6640625" style="48"/>
    <col min="1286" max="1286" width="15.44140625" style="48" customWidth="1"/>
    <col min="1287" max="1287" width="16.21875" style="48" customWidth="1"/>
    <col min="1288" max="1299" width="9.6640625" style="48"/>
    <col min="1300" max="1300" width="12" style="48" customWidth="1"/>
    <col min="1301" max="1301" width="12.77734375" style="48" customWidth="1"/>
    <col min="1302" max="1302" width="11.109375" style="48" customWidth="1"/>
    <col min="1303" max="1303" width="12" style="48" customWidth="1"/>
    <col min="1304" max="1304" width="9.6640625" style="48"/>
    <col min="1305" max="1305" width="15.33203125" style="48" customWidth="1"/>
    <col min="1306" max="1306" width="15.21875" style="48" customWidth="1"/>
    <col min="1307" max="1307" width="21.44140625" style="48" customWidth="1"/>
    <col min="1308" max="1323" width="9.6640625" style="48"/>
    <col min="1324" max="1325" width="13.44140625" style="48" customWidth="1"/>
    <col min="1326" max="1326" width="9.6640625" style="48"/>
    <col min="1327" max="1327" width="13.88671875" style="48" customWidth="1"/>
    <col min="1328" max="1328" width="10.6640625" style="48" customWidth="1"/>
    <col min="1329" max="1329" width="17.33203125" style="48" customWidth="1"/>
    <col min="1330" max="1331" width="12.6640625" style="48" customWidth="1"/>
    <col min="1332" max="1332" width="11.21875" style="48" customWidth="1"/>
    <col min="1333" max="1333" width="18.33203125" style="48" customWidth="1"/>
    <col min="1334" max="1334" width="12.88671875" style="48" customWidth="1"/>
    <col min="1335" max="1336" width="13.21875" style="48" customWidth="1"/>
    <col min="1337" max="1337" width="10.88671875" style="48" customWidth="1"/>
    <col min="1338" max="1338" width="11.109375" style="48" customWidth="1"/>
    <col min="1339" max="1339" width="15.21875" style="48" customWidth="1"/>
    <col min="1340" max="1340" width="9.6640625" style="48"/>
    <col min="1341" max="1341" width="11" style="48" customWidth="1"/>
    <col min="1342" max="1342" width="10.77734375" style="48" customWidth="1"/>
    <col min="1343" max="1343" width="11.44140625" style="48" customWidth="1"/>
    <col min="1344" max="1344" width="4" style="48" customWidth="1"/>
    <col min="1345" max="1535" width="9.6640625" style="48"/>
    <col min="1536" max="1536" width="6.44140625" style="48" customWidth="1"/>
    <col min="1537" max="1537" width="13.88671875" style="48" customWidth="1"/>
    <col min="1538" max="1538" width="11.88671875" style="48" customWidth="1"/>
    <col min="1539" max="1541" width="9.6640625" style="48"/>
    <col min="1542" max="1542" width="15.44140625" style="48" customWidth="1"/>
    <col min="1543" max="1543" width="16.21875" style="48" customWidth="1"/>
    <col min="1544" max="1555" width="9.6640625" style="48"/>
    <col min="1556" max="1556" width="12" style="48" customWidth="1"/>
    <col min="1557" max="1557" width="12.77734375" style="48" customWidth="1"/>
    <col min="1558" max="1558" width="11.109375" style="48" customWidth="1"/>
    <col min="1559" max="1559" width="12" style="48" customWidth="1"/>
    <col min="1560" max="1560" width="9.6640625" style="48"/>
    <col min="1561" max="1561" width="15.33203125" style="48" customWidth="1"/>
    <col min="1562" max="1562" width="15.21875" style="48" customWidth="1"/>
    <col min="1563" max="1563" width="21.44140625" style="48" customWidth="1"/>
    <col min="1564" max="1579" width="9.6640625" style="48"/>
    <col min="1580" max="1581" width="13.44140625" style="48" customWidth="1"/>
    <col min="1582" max="1582" width="9.6640625" style="48"/>
    <col min="1583" max="1583" width="13.88671875" style="48" customWidth="1"/>
    <col min="1584" max="1584" width="10.6640625" style="48" customWidth="1"/>
    <col min="1585" max="1585" width="17.33203125" style="48" customWidth="1"/>
    <col min="1586" max="1587" width="12.6640625" style="48" customWidth="1"/>
    <col min="1588" max="1588" width="11.21875" style="48" customWidth="1"/>
    <col min="1589" max="1589" width="18.33203125" style="48" customWidth="1"/>
    <col min="1590" max="1590" width="12.88671875" style="48" customWidth="1"/>
    <col min="1591" max="1592" width="13.21875" style="48" customWidth="1"/>
    <col min="1593" max="1593" width="10.88671875" style="48" customWidth="1"/>
    <col min="1594" max="1594" width="11.109375" style="48" customWidth="1"/>
    <col min="1595" max="1595" width="15.21875" style="48" customWidth="1"/>
    <col min="1596" max="1596" width="9.6640625" style="48"/>
    <col min="1597" max="1597" width="11" style="48" customWidth="1"/>
    <col min="1598" max="1598" width="10.77734375" style="48" customWidth="1"/>
    <col min="1599" max="1599" width="11.44140625" style="48" customWidth="1"/>
    <col min="1600" max="1600" width="4" style="48" customWidth="1"/>
    <col min="1601" max="1791" width="9.6640625" style="48"/>
    <col min="1792" max="1792" width="6.44140625" style="48" customWidth="1"/>
    <col min="1793" max="1793" width="13.88671875" style="48" customWidth="1"/>
    <col min="1794" max="1794" width="11.88671875" style="48" customWidth="1"/>
    <col min="1795" max="1797" width="9.6640625" style="48"/>
    <col min="1798" max="1798" width="15.44140625" style="48" customWidth="1"/>
    <col min="1799" max="1799" width="16.21875" style="48" customWidth="1"/>
    <col min="1800" max="1811" width="9.6640625" style="48"/>
    <col min="1812" max="1812" width="12" style="48" customWidth="1"/>
    <col min="1813" max="1813" width="12.77734375" style="48" customWidth="1"/>
    <col min="1814" max="1814" width="11.109375" style="48" customWidth="1"/>
    <col min="1815" max="1815" width="12" style="48" customWidth="1"/>
    <col min="1816" max="1816" width="9.6640625" style="48"/>
    <col min="1817" max="1817" width="15.33203125" style="48" customWidth="1"/>
    <col min="1818" max="1818" width="15.21875" style="48" customWidth="1"/>
    <col min="1819" max="1819" width="21.44140625" style="48" customWidth="1"/>
    <col min="1820" max="1835" width="9.6640625" style="48"/>
    <col min="1836" max="1837" width="13.44140625" style="48" customWidth="1"/>
    <col min="1838" max="1838" width="9.6640625" style="48"/>
    <col min="1839" max="1839" width="13.88671875" style="48" customWidth="1"/>
    <col min="1840" max="1840" width="10.6640625" style="48" customWidth="1"/>
    <col min="1841" max="1841" width="17.33203125" style="48" customWidth="1"/>
    <col min="1842" max="1843" width="12.6640625" style="48" customWidth="1"/>
    <col min="1844" max="1844" width="11.21875" style="48" customWidth="1"/>
    <col min="1845" max="1845" width="18.33203125" style="48" customWidth="1"/>
    <col min="1846" max="1846" width="12.88671875" style="48" customWidth="1"/>
    <col min="1847" max="1848" width="13.21875" style="48" customWidth="1"/>
    <col min="1849" max="1849" width="10.88671875" style="48" customWidth="1"/>
    <col min="1850" max="1850" width="11.109375" style="48" customWidth="1"/>
    <col min="1851" max="1851" width="15.21875" style="48" customWidth="1"/>
    <col min="1852" max="1852" width="9.6640625" style="48"/>
    <col min="1853" max="1853" width="11" style="48" customWidth="1"/>
    <col min="1854" max="1854" width="10.77734375" style="48" customWidth="1"/>
    <col min="1855" max="1855" width="11.44140625" style="48" customWidth="1"/>
    <col min="1856" max="1856" width="4" style="48" customWidth="1"/>
    <col min="1857" max="2047" width="9.6640625" style="48"/>
    <col min="2048" max="2048" width="6.44140625" style="48" customWidth="1"/>
    <col min="2049" max="2049" width="13.88671875" style="48" customWidth="1"/>
    <col min="2050" max="2050" width="11.88671875" style="48" customWidth="1"/>
    <col min="2051" max="2053" width="9.6640625" style="48"/>
    <col min="2054" max="2054" width="15.44140625" style="48" customWidth="1"/>
    <col min="2055" max="2055" width="16.21875" style="48" customWidth="1"/>
    <col min="2056" max="2067" width="9.6640625" style="48"/>
    <col min="2068" max="2068" width="12" style="48" customWidth="1"/>
    <col min="2069" max="2069" width="12.77734375" style="48" customWidth="1"/>
    <col min="2070" max="2070" width="11.109375" style="48" customWidth="1"/>
    <col min="2071" max="2071" width="12" style="48" customWidth="1"/>
    <col min="2072" max="2072" width="9.6640625" style="48"/>
    <col min="2073" max="2073" width="15.33203125" style="48" customWidth="1"/>
    <col min="2074" max="2074" width="15.21875" style="48" customWidth="1"/>
    <col min="2075" max="2075" width="21.44140625" style="48" customWidth="1"/>
    <col min="2076" max="2091" width="9.6640625" style="48"/>
    <col min="2092" max="2093" width="13.44140625" style="48" customWidth="1"/>
    <col min="2094" max="2094" width="9.6640625" style="48"/>
    <col min="2095" max="2095" width="13.88671875" style="48" customWidth="1"/>
    <col min="2096" max="2096" width="10.6640625" style="48" customWidth="1"/>
    <col min="2097" max="2097" width="17.33203125" style="48" customWidth="1"/>
    <col min="2098" max="2099" width="12.6640625" style="48" customWidth="1"/>
    <col min="2100" max="2100" width="11.21875" style="48" customWidth="1"/>
    <col min="2101" max="2101" width="18.33203125" style="48" customWidth="1"/>
    <col min="2102" max="2102" width="12.88671875" style="48" customWidth="1"/>
    <col min="2103" max="2104" width="13.21875" style="48" customWidth="1"/>
    <col min="2105" max="2105" width="10.88671875" style="48" customWidth="1"/>
    <col min="2106" max="2106" width="11.109375" style="48" customWidth="1"/>
    <col min="2107" max="2107" width="15.21875" style="48" customWidth="1"/>
    <col min="2108" max="2108" width="9.6640625" style="48"/>
    <col min="2109" max="2109" width="11" style="48" customWidth="1"/>
    <col min="2110" max="2110" width="10.77734375" style="48" customWidth="1"/>
    <col min="2111" max="2111" width="11.44140625" style="48" customWidth="1"/>
    <col min="2112" max="2112" width="4" style="48" customWidth="1"/>
    <col min="2113" max="2303" width="9.6640625" style="48"/>
    <col min="2304" max="2304" width="6.44140625" style="48" customWidth="1"/>
    <col min="2305" max="2305" width="13.88671875" style="48" customWidth="1"/>
    <col min="2306" max="2306" width="11.88671875" style="48" customWidth="1"/>
    <col min="2307" max="2309" width="9.6640625" style="48"/>
    <col min="2310" max="2310" width="15.44140625" style="48" customWidth="1"/>
    <col min="2311" max="2311" width="16.21875" style="48" customWidth="1"/>
    <col min="2312" max="2323" width="9.6640625" style="48"/>
    <col min="2324" max="2324" width="12" style="48" customWidth="1"/>
    <col min="2325" max="2325" width="12.77734375" style="48" customWidth="1"/>
    <col min="2326" max="2326" width="11.109375" style="48" customWidth="1"/>
    <col min="2327" max="2327" width="12" style="48" customWidth="1"/>
    <col min="2328" max="2328" width="9.6640625" style="48"/>
    <col min="2329" max="2329" width="15.33203125" style="48" customWidth="1"/>
    <col min="2330" max="2330" width="15.21875" style="48" customWidth="1"/>
    <col min="2331" max="2331" width="21.44140625" style="48" customWidth="1"/>
    <col min="2332" max="2347" width="9.6640625" style="48"/>
    <col min="2348" max="2349" width="13.44140625" style="48" customWidth="1"/>
    <col min="2350" max="2350" width="9.6640625" style="48"/>
    <col min="2351" max="2351" width="13.88671875" style="48" customWidth="1"/>
    <col min="2352" max="2352" width="10.6640625" style="48" customWidth="1"/>
    <col min="2353" max="2353" width="17.33203125" style="48" customWidth="1"/>
    <col min="2354" max="2355" width="12.6640625" style="48" customWidth="1"/>
    <col min="2356" max="2356" width="11.21875" style="48" customWidth="1"/>
    <col min="2357" max="2357" width="18.33203125" style="48" customWidth="1"/>
    <col min="2358" max="2358" width="12.88671875" style="48" customWidth="1"/>
    <col min="2359" max="2360" width="13.21875" style="48" customWidth="1"/>
    <col min="2361" max="2361" width="10.88671875" style="48" customWidth="1"/>
    <col min="2362" max="2362" width="11.109375" style="48" customWidth="1"/>
    <col min="2363" max="2363" width="15.21875" style="48" customWidth="1"/>
    <col min="2364" max="2364" width="9.6640625" style="48"/>
    <col min="2365" max="2365" width="11" style="48" customWidth="1"/>
    <col min="2366" max="2366" width="10.77734375" style="48" customWidth="1"/>
    <col min="2367" max="2367" width="11.44140625" style="48" customWidth="1"/>
    <col min="2368" max="2368" width="4" style="48" customWidth="1"/>
    <col min="2369" max="2559" width="9.6640625" style="48"/>
    <col min="2560" max="2560" width="6.44140625" style="48" customWidth="1"/>
    <col min="2561" max="2561" width="13.88671875" style="48" customWidth="1"/>
    <col min="2562" max="2562" width="11.88671875" style="48" customWidth="1"/>
    <col min="2563" max="2565" width="9.6640625" style="48"/>
    <col min="2566" max="2566" width="15.44140625" style="48" customWidth="1"/>
    <col min="2567" max="2567" width="16.21875" style="48" customWidth="1"/>
    <col min="2568" max="2579" width="9.6640625" style="48"/>
    <col min="2580" max="2580" width="12" style="48" customWidth="1"/>
    <col min="2581" max="2581" width="12.77734375" style="48" customWidth="1"/>
    <col min="2582" max="2582" width="11.109375" style="48" customWidth="1"/>
    <col min="2583" max="2583" width="12" style="48" customWidth="1"/>
    <col min="2584" max="2584" width="9.6640625" style="48"/>
    <col min="2585" max="2585" width="15.33203125" style="48" customWidth="1"/>
    <col min="2586" max="2586" width="15.21875" style="48" customWidth="1"/>
    <col min="2587" max="2587" width="21.44140625" style="48" customWidth="1"/>
    <col min="2588" max="2603" width="9.6640625" style="48"/>
    <col min="2604" max="2605" width="13.44140625" style="48" customWidth="1"/>
    <col min="2606" max="2606" width="9.6640625" style="48"/>
    <col min="2607" max="2607" width="13.88671875" style="48" customWidth="1"/>
    <col min="2608" max="2608" width="10.6640625" style="48" customWidth="1"/>
    <col min="2609" max="2609" width="17.33203125" style="48" customWidth="1"/>
    <col min="2610" max="2611" width="12.6640625" style="48" customWidth="1"/>
    <col min="2612" max="2612" width="11.21875" style="48" customWidth="1"/>
    <col min="2613" max="2613" width="18.33203125" style="48" customWidth="1"/>
    <col min="2614" max="2614" width="12.88671875" style="48" customWidth="1"/>
    <col min="2615" max="2616" width="13.21875" style="48" customWidth="1"/>
    <col min="2617" max="2617" width="10.88671875" style="48" customWidth="1"/>
    <col min="2618" max="2618" width="11.109375" style="48" customWidth="1"/>
    <col min="2619" max="2619" width="15.21875" style="48" customWidth="1"/>
    <col min="2620" max="2620" width="9.6640625" style="48"/>
    <col min="2621" max="2621" width="11" style="48" customWidth="1"/>
    <col min="2622" max="2622" width="10.77734375" style="48" customWidth="1"/>
    <col min="2623" max="2623" width="11.44140625" style="48" customWidth="1"/>
    <col min="2624" max="2624" width="4" style="48" customWidth="1"/>
    <col min="2625" max="2815" width="9.6640625" style="48"/>
    <col min="2816" max="2816" width="6.44140625" style="48" customWidth="1"/>
    <col min="2817" max="2817" width="13.88671875" style="48" customWidth="1"/>
    <col min="2818" max="2818" width="11.88671875" style="48" customWidth="1"/>
    <col min="2819" max="2821" width="9.6640625" style="48"/>
    <col min="2822" max="2822" width="15.44140625" style="48" customWidth="1"/>
    <col min="2823" max="2823" width="16.21875" style="48" customWidth="1"/>
    <col min="2824" max="2835" width="9.6640625" style="48"/>
    <col min="2836" max="2836" width="12" style="48" customWidth="1"/>
    <col min="2837" max="2837" width="12.77734375" style="48" customWidth="1"/>
    <col min="2838" max="2838" width="11.109375" style="48" customWidth="1"/>
    <col min="2839" max="2839" width="12" style="48" customWidth="1"/>
    <col min="2840" max="2840" width="9.6640625" style="48"/>
    <col min="2841" max="2841" width="15.33203125" style="48" customWidth="1"/>
    <col min="2842" max="2842" width="15.21875" style="48" customWidth="1"/>
    <col min="2843" max="2843" width="21.44140625" style="48" customWidth="1"/>
    <col min="2844" max="2859" width="9.6640625" style="48"/>
    <col min="2860" max="2861" width="13.44140625" style="48" customWidth="1"/>
    <col min="2862" max="2862" width="9.6640625" style="48"/>
    <col min="2863" max="2863" width="13.88671875" style="48" customWidth="1"/>
    <col min="2864" max="2864" width="10.6640625" style="48" customWidth="1"/>
    <col min="2865" max="2865" width="17.33203125" style="48" customWidth="1"/>
    <col min="2866" max="2867" width="12.6640625" style="48" customWidth="1"/>
    <col min="2868" max="2868" width="11.21875" style="48" customWidth="1"/>
    <col min="2869" max="2869" width="18.33203125" style="48" customWidth="1"/>
    <col min="2870" max="2870" width="12.88671875" style="48" customWidth="1"/>
    <col min="2871" max="2872" width="13.21875" style="48" customWidth="1"/>
    <col min="2873" max="2873" width="10.88671875" style="48" customWidth="1"/>
    <col min="2874" max="2874" width="11.109375" style="48" customWidth="1"/>
    <col min="2875" max="2875" width="15.21875" style="48" customWidth="1"/>
    <col min="2876" max="2876" width="9.6640625" style="48"/>
    <col min="2877" max="2877" width="11" style="48" customWidth="1"/>
    <col min="2878" max="2878" width="10.77734375" style="48" customWidth="1"/>
    <col min="2879" max="2879" width="11.44140625" style="48" customWidth="1"/>
    <col min="2880" max="2880" width="4" style="48" customWidth="1"/>
    <col min="2881" max="3071" width="9.6640625" style="48"/>
    <col min="3072" max="3072" width="6.44140625" style="48" customWidth="1"/>
    <col min="3073" max="3073" width="13.88671875" style="48" customWidth="1"/>
    <col min="3074" max="3074" width="11.88671875" style="48" customWidth="1"/>
    <col min="3075" max="3077" width="9.6640625" style="48"/>
    <col min="3078" max="3078" width="15.44140625" style="48" customWidth="1"/>
    <col min="3079" max="3079" width="16.21875" style="48" customWidth="1"/>
    <col min="3080" max="3091" width="9.6640625" style="48"/>
    <col min="3092" max="3092" width="12" style="48" customWidth="1"/>
    <col min="3093" max="3093" width="12.77734375" style="48" customWidth="1"/>
    <col min="3094" max="3094" width="11.109375" style="48" customWidth="1"/>
    <col min="3095" max="3095" width="12" style="48" customWidth="1"/>
    <col min="3096" max="3096" width="9.6640625" style="48"/>
    <col min="3097" max="3097" width="15.33203125" style="48" customWidth="1"/>
    <col min="3098" max="3098" width="15.21875" style="48" customWidth="1"/>
    <col min="3099" max="3099" width="21.44140625" style="48" customWidth="1"/>
    <col min="3100" max="3115" width="9.6640625" style="48"/>
    <col min="3116" max="3117" width="13.44140625" style="48" customWidth="1"/>
    <col min="3118" max="3118" width="9.6640625" style="48"/>
    <col min="3119" max="3119" width="13.88671875" style="48" customWidth="1"/>
    <col min="3120" max="3120" width="10.6640625" style="48" customWidth="1"/>
    <col min="3121" max="3121" width="17.33203125" style="48" customWidth="1"/>
    <col min="3122" max="3123" width="12.6640625" style="48" customWidth="1"/>
    <col min="3124" max="3124" width="11.21875" style="48" customWidth="1"/>
    <col min="3125" max="3125" width="18.33203125" style="48" customWidth="1"/>
    <col min="3126" max="3126" width="12.88671875" style="48" customWidth="1"/>
    <col min="3127" max="3128" width="13.21875" style="48" customWidth="1"/>
    <col min="3129" max="3129" width="10.88671875" style="48" customWidth="1"/>
    <col min="3130" max="3130" width="11.109375" style="48" customWidth="1"/>
    <col min="3131" max="3131" width="15.21875" style="48" customWidth="1"/>
    <col min="3132" max="3132" width="9.6640625" style="48"/>
    <col min="3133" max="3133" width="11" style="48" customWidth="1"/>
    <col min="3134" max="3134" width="10.77734375" style="48" customWidth="1"/>
    <col min="3135" max="3135" width="11.44140625" style="48" customWidth="1"/>
    <col min="3136" max="3136" width="4" style="48" customWidth="1"/>
    <col min="3137" max="3327" width="9.6640625" style="48"/>
    <col min="3328" max="3328" width="6.44140625" style="48" customWidth="1"/>
    <col min="3329" max="3329" width="13.88671875" style="48" customWidth="1"/>
    <col min="3330" max="3330" width="11.88671875" style="48" customWidth="1"/>
    <col min="3331" max="3333" width="9.6640625" style="48"/>
    <col min="3334" max="3334" width="15.44140625" style="48" customWidth="1"/>
    <col min="3335" max="3335" width="16.21875" style="48" customWidth="1"/>
    <col min="3336" max="3347" width="9.6640625" style="48"/>
    <col min="3348" max="3348" width="12" style="48" customWidth="1"/>
    <col min="3349" max="3349" width="12.77734375" style="48" customWidth="1"/>
    <col min="3350" max="3350" width="11.109375" style="48" customWidth="1"/>
    <col min="3351" max="3351" width="12" style="48" customWidth="1"/>
    <col min="3352" max="3352" width="9.6640625" style="48"/>
    <col min="3353" max="3353" width="15.33203125" style="48" customWidth="1"/>
    <col min="3354" max="3354" width="15.21875" style="48" customWidth="1"/>
    <col min="3355" max="3355" width="21.44140625" style="48" customWidth="1"/>
    <col min="3356" max="3371" width="9.6640625" style="48"/>
    <col min="3372" max="3373" width="13.44140625" style="48" customWidth="1"/>
    <col min="3374" max="3374" width="9.6640625" style="48"/>
    <col min="3375" max="3375" width="13.88671875" style="48" customWidth="1"/>
    <col min="3376" max="3376" width="10.6640625" style="48" customWidth="1"/>
    <col min="3377" max="3377" width="17.33203125" style="48" customWidth="1"/>
    <col min="3378" max="3379" width="12.6640625" style="48" customWidth="1"/>
    <col min="3380" max="3380" width="11.21875" style="48" customWidth="1"/>
    <col min="3381" max="3381" width="18.33203125" style="48" customWidth="1"/>
    <col min="3382" max="3382" width="12.88671875" style="48" customWidth="1"/>
    <col min="3383" max="3384" width="13.21875" style="48" customWidth="1"/>
    <col min="3385" max="3385" width="10.88671875" style="48" customWidth="1"/>
    <col min="3386" max="3386" width="11.109375" style="48" customWidth="1"/>
    <col min="3387" max="3387" width="15.21875" style="48" customWidth="1"/>
    <col min="3388" max="3388" width="9.6640625" style="48"/>
    <col min="3389" max="3389" width="11" style="48" customWidth="1"/>
    <col min="3390" max="3390" width="10.77734375" style="48" customWidth="1"/>
    <col min="3391" max="3391" width="11.44140625" style="48" customWidth="1"/>
    <col min="3392" max="3392" width="4" style="48" customWidth="1"/>
    <col min="3393" max="3583" width="9.6640625" style="48"/>
    <col min="3584" max="3584" width="6.44140625" style="48" customWidth="1"/>
    <col min="3585" max="3585" width="13.88671875" style="48" customWidth="1"/>
    <col min="3586" max="3586" width="11.88671875" style="48" customWidth="1"/>
    <col min="3587" max="3589" width="9.6640625" style="48"/>
    <col min="3590" max="3590" width="15.44140625" style="48" customWidth="1"/>
    <col min="3591" max="3591" width="16.21875" style="48" customWidth="1"/>
    <col min="3592" max="3603" width="9.6640625" style="48"/>
    <col min="3604" max="3604" width="12" style="48" customWidth="1"/>
    <col min="3605" max="3605" width="12.77734375" style="48" customWidth="1"/>
    <col min="3606" max="3606" width="11.109375" style="48" customWidth="1"/>
    <col min="3607" max="3607" width="12" style="48" customWidth="1"/>
    <col min="3608" max="3608" width="9.6640625" style="48"/>
    <col min="3609" max="3609" width="15.33203125" style="48" customWidth="1"/>
    <col min="3610" max="3610" width="15.21875" style="48" customWidth="1"/>
    <col min="3611" max="3611" width="21.44140625" style="48" customWidth="1"/>
    <col min="3612" max="3627" width="9.6640625" style="48"/>
    <col min="3628" max="3629" width="13.44140625" style="48" customWidth="1"/>
    <col min="3630" max="3630" width="9.6640625" style="48"/>
    <col min="3631" max="3631" width="13.88671875" style="48" customWidth="1"/>
    <col min="3632" max="3632" width="10.6640625" style="48" customWidth="1"/>
    <col min="3633" max="3633" width="17.33203125" style="48" customWidth="1"/>
    <col min="3634" max="3635" width="12.6640625" style="48" customWidth="1"/>
    <col min="3636" max="3636" width="11.21875" style="48" customWidth="1"/>
    <col min="3637" max="3637" width="18.33203125" style="48" customWidth="1"/>
    <col min="3638" max="3638" width="12.88671875" style="48" customWidth="1"/>
    <col min="3639" max="3640" width="13.21875" style="48" customWidth="1"/>
    <col min="3641" max="3641" width="10.88671875" style="48" customWidth="1"/>
    <col min="3642" max="3642" width="11.109375" style="48" customWidth="1"/>
    <col min="3643" max="3643" width="15.21875" style="48" customWidth="1"/>
    <col min="3644" max="3644" width="9.6640625" style="48"/>
    <col min="3645" max="3645" width="11" style="48" customWidth="1"/>
    <col min="3646" max="3646" width="10.77734375" style="48" customWidth="1"/>
    <col min="3647" max="3647" width="11.44140625" style="48" customWidth="1"/>
    <col min="3648" max="3648" width="4" style="48" customWidth="1"/>
    <col min="3649" max="3839" width="9.6640625" style="48"/>
    <col min="3840" max="3840" width="6.44140625" style="48" customWidth="1"/>
    <col min="3841" max="3841" width="13.88671875" style="48" customWidth="1"/>
    <col min="3842" max="3842" width="11.88671875" style="48" customWidth="1"/>
    <col min="3843" max="3845" width="9.6640625" style="48"/>
    <col min="3846" max="3846" width="15.44140625" style="48" customWidth="1"/>
    <col min="3847" max="3847" width="16.21875" style="48" customWidth="1"/>
    <col min="3848" max="3859" width="9.6640625" style="48"/>
    <col min="3860" max="3860" width="12" style="48" customWidth="1"/>
    <col min="3861" max="3861" width="12.77734375" style="48" customWidth="1"/>
    <col min="3862" max="3862" width="11.109375" style="48" customWidth="1"/>
    <col min="3863" max="3863" width="12" style="48" customWidth="1"/>
    <col min="3864" max="3864" width="9.6640625" style="48"/>
    <col min="3865" max="3865" width="15.33203125" style="48" customWidth="1"/>
    <col min="3866" max="3866" width="15.21875" style="48" customWidth="1"/>
    <col min="3867" max="3867" width="21.44140625" style="48" customWidth="1"/>
    <col min="3868" max="3883" width="9.6640625" style="48"/>
    <col min="3884" max="3885" width="13.44140625" style="48" customWidth="1"/>
    <col min="3886" max="3886" width="9.6640625" style="48"/>
    <col min="3887" max="3887" width="13.88671875" style="48" customWidth="1"/>
    <col min="3888" max="3888" width="10.6640625" style="48" customWidth="1"/>
    <col min="3889" max="3889" width="17.33203125" style="48" customWidth="1"/>
    <col min="3890" max="3891" width="12.6640625" style="48" customWidth="1"/>
    <col min="3892" max="3892" width="11.21875" style="48" customWidth="1"/>
    <col min="3893" max="3893" width="18.33203125" style="48" customWidth="1"/>
    <col min="3894" max="3894" width="12.88671875" style="48" customWidth="1"/>
    <col min="3895" max="3896" width="13.21875" style="48" customWidth="1"/>
    <col min="3897" max="3897" width="10.88671875" style="48" customWidth="1"/>
    <col min="3898" max="3898" width="11.109375" style="48" customWidth="1"/>
    <col min="3899" max="3899" width="15.21875" style="48" customWidth="1"/>
    <col min="3900" max="3900" width="9.6640625" style="48"/>
    <col min="3901" max="3901" width="11" style="48" customWidth="1"/>
    <col min="3902" max="3902" width="10.77734375" style="48" customWidth="1"/>
    <col min="3903" max="3903" width="11.44140625" style="48" customWidth="1"/>
    <col min="3904" max="3904" width="4" style="48" customWidth="1"/>
    <col min="3905" max="4095" width="9.6640625" style="48"/>
    <col min="4096" max="4096" width="6.44140625" style="48" customWidth="1"/>
    <col min="4097" max="4097" width="13.88671875" style="48" customWidth="1"/>
    <col min="4098" max="4098" width="11.88671875" style="48" customWidth="1"/>
    <col min="4099" max="4101" width="9.6640625" style="48"/>
    <col min="4102" max="4102" width="15.44140625" style="48" customWidth="1"/>
    <col min="4103" max="4103" width="16.21875" style="48" customWidth="1"/>
    <col min="4104" max="4115" width="9.6640625" style="48"/>
    <col min="4116" max="4116" width="12" style="48" customWidth="1"/>
    <col min="4117" max="4117" width="12.77734375" style="48" customWidth="1"/>
    <col min="4118" max="4118" width="11.109375" style="48" customWidth="1"/>
    <col min="4119" max="4119" width="12" style="48" customWidth="1"/>
    <col min="4120" max="4120" width="9.6640625" style="48"/>
    <col min="4121" max="4121" width="15.33203125" style="48" customWidth="1"/>
    <col min="4122" max="4122" width="15.21875" style="48" customWidth="1"/>
    <col min="4123" max="4123" width="21.44140625" style="48" customWidth="1"/>
    <col min="4124" max="4139" width="9.6640625" style="48"/>
    <col min="4140" max="4141" width="13.44140625" style="48" customWidth="1"/>
    <col min="4142" max="4142" width="9.6640625" style="48"/>
    <col min="4143" max="4143" width="13.88671875" style="48" customWidth="1"/>
    <col min="4144" max="4144" width="10.6640625" style="48" customWidth="1"/>
    <col min="4145" max="4145" width="17.33203125" style="48" customWidth="1"/>
    <col min="4146" max="4147" width="12.6640625" style="48" customWidth="1"/>
    <col min="4148" max="4148" width="11.21875" style="48" customWidth="1"/>
    <col min="4149" max="4149" width="18.33203125" style="48" customWidth="1"/>
    <col min="4150" max="4150" width="12.88671875" style="48" customWidth="1"/>
    <col min="4151" max="4152" width="13.21875" style="48" customWidth="1"/>
    <col min="4153" max="4153" width="10.88671875" style="48" customWidth="1"/>
    <col min="4154" max="4154" width="11.109375" style="48" customWidth="1"/>
    <col min="4155" max="4155" width="15.21875" style="48" customWidth="1"/>
    <col min="4156" max="4156" width="9.6640625" style="48"/>
    <col min="4157" max="4157" width="11" style="48" customWidth="1"/>
    <col min="4158" max="4158" width="10.77734375" style="48" customWidth="1"/>
    <col min="4159" max="4159" width="11.44140625" style="48" customWidth="1"/>
    <col min="4160" max="4160" width="4" style="48" customWidth="1"/>
    <col min="4161" max="4351" width="9.6640625" style="48"/>
    <col min="4352" max="4352" width="6.44140625" style="48" customWidth="1"/>
    <col min="4353" max="4353" width="13.88671875" style="48" customWidth="1"/>
    <col min="4354" max="4354" width="11.88671875" style="48" customWidth="1"/>
    <col min="4355" max="4357" width="9.6640625" style="48"/>
    <col min="4358" max="4358" width="15.44140625" style="48" customWidth="1"/>
    <col min="4359" max="4359" width="16.21875" style="48" customWidth="1"/>
    <col min="4360" max="4371" width="9.6640625" style="48"/>
    <col min="4372" max="4372" width="12" style="48" customWidth="1"/>
    <col min="4373" max="4373" width="12.77734375" style="48" customWidth="1"/>
    <col min="4374" max="4374" width="11.109375" style="48" customWidth="1"/>
    <col min="4375" max="4375" width="12" style="48" customWidth="1"/>
    <col min="4376" max="4376" width="9.6640625" style="48"/>
    <col min="4377" max="4377" width="15.33203125" style="48" customWidth="1"/>
    <col min="4378" max="4378" width="15.21875" style="48" customWidth="1"/>
    <col min="4379" max="4379" width="21.44140625" style="48" customWidth="1"/>
    <col min="4380" max="4395" width="9.6640625" style="48"/>
    <col min="4396" max="4397" width="13.44140625" style="48" customWidth="1"/>
    <col min="4398" max="4398" width="9.6640625" style="48"/>
    <col min="4399" max="4399" width="13.88671875" style="48" customWidth="1"/>
    <col min="4400" max="4400" width="10.6640625" style="48" customWidth="1"/>
    <col min="4401" max="4401" width="17.33203125" style="48" customWidth="1"/>
    <col min="4402" max="4403" width="12.6640625" style="48" customWidth="1"/>
    <col min="4404" max="4404" width="11.21875" style="48" customWidth="1"/>
    <col min="4405" max="4405" width="18.33203125" style="48" customWidth="1"/>
    <col min="4406" max="4406" width="12.88671875" style="48" customWidth="1"/>
    <col min="4407" max="4408" width="13.21875" style="48" customWidth="1"/>
    <col min="4409" max="4409" width="10.88671875" style="48" customWidth="1"/>
    <col min="4410" max="4410" width="11.109375" style="48" customWidth="1"/>
    <col min="4411" max="4411" width="15.21875" style="48" customWidth="1"/>
    <col min="4412" max="4412" width="9.6640625" style="48"/>
    <col min="4413" max="4413" width="11" style="48" customWidth="1"/>
    <col min="4414" max="4414" width="10.77734375" style="48" customWidth="1"/>
    <col min="4415" max="4415" width="11.44140625" style="48" customWidth="1"/>
    <col min="4416" max="4416" width="4" style="48" customWidth="1"/>
    <col min="4417" max="4607" width="9.6640625" style="48"/>
    <col min="4608" max="4608" width="6.44140625" style="48" customWidth="1"/>
    <col min="4609" max="4609" width="13.88671875" style="48" customWidth="1"/>
    <col min="4610" max="4610" width="11.88671875" style="48" customWidth="1"/>
    <col min="4611" max="4613" width="9.6640625" style="48"/>
    <col min="4614" max="4614" width="15.44140625" style="48" customWidth="1"/>
    <col min="4615" max="4615" width="16.21875" style="48" customWidth="1"/>
    <col min="4616" max="4627" width="9.6640625" style="48"/>
    <col min="4628" max="4628" width="12" style="48" customWidth="1"/>
    <col min="4629" max="4629" width="12.77734375" style="48" customWidth="1"/>
    <col min="4630" max="4630" width="11.109375" style="48" customWidth="1"/>
    <col min="4631" max="4631" width="12" style="48" customWidth="1"/>
    <col min="4632" max="4632" width="9.6640625" style="48"/>
    <col min="4633" max="4633" width="15.33203125" style="48" customWidth="1"/>
    <col min="4634" max="4634" width="15.21875" style="48" customWidth="1"/>
    <col min="4635" max="4635" width="21.44140625" style="48" customWidth="1"/>
    <col min="4636" max="4651" width="9.6640625" style="48"/>
    <col min="4652" max="4653" width="13.44140625" style="48" customWidth="1"/>
    <col min="4654" max="4654" width="9.6640625" style="48"/>
    <col min="4655" max="4655" width="13.88671875" style="48" customWidth="1"/>
    <col min="4656" max="4656" width="10.6640625" style="48" customWidth="1"/>
    <col min="4657" max="4657" width="17.33203125" style="48" customWidth="1"/>
    <col min="4658" max="4659" width="12.6640625" style="48" customWidth="1"/>
    <col min="4660" max="4660" width="11.21875" style="48" customWidth="1"/>
    <col min="4661" max="4661" width="18.33203125" style="48" customWidth="1"/>
    <col min="4662" max="4662" width="12.88671875" style="48" customWidth="1"/>
    <col min="4663" max="4664" width="13.21875" style="48" customWidth="1"/>
    <col min="4665" max="4665" width="10.88671875" style="48" customWidth="1"/>
    <col min="4666" max="4666" width="11.109375" style="48" customWidth="1"/>
    <col min="4667" max="4667" width="15.21875" style="48" customWidth="1"/>
    <col min="4668" max="4668" width="9.6640625" style="48"/>
    <col min="4669" max="4669" width="11" style="48" customWidth="1"/>
    <col min="4670" max="4670" width="10.77734375" style="48" customWidth="1"/>
    <col min="4671" max="4671" width="11.44140625" style="48" customWidth="1"/>
    <col min="4672" max="4672" width="4" style="48" customWidth="1"/>
    <col min="4673" max="4863" width="9.6640625" style="48"/>
    <col min="4864" max="4864" width="6.44140625" style="48" customWidth="1"/>
    <col min="4865" max="4865" width="13.88671875" style="48" customWidth="1"/>
    <col min="4866" max="4866" width="11.88671875" style="48" customWidth="1"/>
    <col min="4867" max="4869" width="9.6640625" style="48"/>
    <col min="4870" max="4870" width="15.44140625" style="48" customWidth="1"/>
    <col min="4871" max="4871" width="16.21875" style="48" customWidth="1"/>
    <col min="4872" max="4883" width="9.6640625" style="48"/>
    <col min="4884" max="4884" width="12" style="48" customWidth="1"/>
    <col min="4885" max="4885" width="12.77734375" style="48" customWidth="1"/>
    <col min="4886" max="4886" width="11.109375" style="48" customWidth="1"/>
    <col min="4887" max="4887" width="12" style="48" customWidth="1"/>
    <col min="4888" max="4888" width="9.6640625" style="48"/>
    <col min="4889" max="4889" width="15.33203125" style="48" customWidth="1"/>
    <col min="4890" max="4890" width="15.21875" style="48" customWidth="1"/>
    <col min="4891" max="4891" width="21.44140625" style="48" customWidth="1"/>
    <col min="4892" max="4907" width="9.6640625" style="48"/>
    <col min="4908" max="4909" width="13.44140625" style="48" customWidth="1"/>
    <col min="4910" max="4910" width="9.6640625" style="48"/>
    <col min="4911" max="4911" width="13.88671875" style="48" customWidth="1"/>
    <col min="4912" max="4912" width="10.6640625" style="48" customWidth="1"/>
    <col min="4913" max="4913" width="17.33203125" style="48" customWidth="1"/>
    <col min="4914" max="4915" width="12.6640625" style="48" customWidth="1"/>
    <col min="4916" max="4916" width="11.21875" style="48" customWidth="1"/>
    <col min="4917" max="4917" width="18.33203125" style="48" customWidth="1"/>
    <col min="4918" max="4918" width="12.88671875" style="48" customWidth="1"/>
    <col min="4919" max="4920" width="13.21875" style="48" customWidth="1"/>
    <col min="4921" max="4921" width="10.88671875" style="48" customWidth="1"/>
    <col min="4922" max="4922" width="11.109375" style="48" customWidth="1"/>
    <col min="4923" max="4923" width="15.21875" style="48" customWidth="1"/>
    <col min="4924" max="4924" width="9.6640625" style="48"/>
    <col min="4925" max="4925" width="11" style="48" customWidth="1"/>
    <col min="4926" max="4926" width="10.77734375" style="48" customWidth="1"/>
    <col min="4927" max="4927" width="11.44140625" style="48" customWidth="1"/>
    <col min="4928" max="4928" width="4" style="48" customWidth="1"/>
    <col min="4929" max="5119" width="9.6640625" style="48"/>
    <col min="5120" max="5120" width="6.44140625" style="48" customWidth="1"/>
    <col min="5121" max="5121" width="13.88671875" style="48" customWidth="1"/>
    <col min="5122" max="5122" width="11.88671875" style="48" customWidth="1"/>
    <col min="5123" max="5125" width="9.6640625" style="48"/>
    <col min="5126" max="5126" width="15.44140625" style="48" customWidth="1"/>
    <col min="5127" max="5127" width="16.21875" style="48" customWidth="1"/>
    <col min="5128" max="5139" width="9.6640625" style="48"/>
    <col min="5140" max="5140" width="12" style="48" customWidth="1"/>
    <col min="5141" max="5141" width="12.77734375" style="48" customWidth="1"/>
    <col min="5142" max="5142" width="11.109375" style="48" customWidth="1"/>
    <col min="5143" max="5143" width="12" style="48" customWidth="1"/>
    <col min="5144" max="5144" width="9.6640625" style="48"/>
    <col min="5145" max="5145" width="15.33203125" style="48" customWidth="1"/>
    <col min="5146" max="5146" width="15.21875" style="48" customWidth="1"/>
    <col min="5147" max="5147" width="21.44140625" style="48" customWidth="1"/>
    <col min="5148" max="5163" width="9.6640625" style="48"/>
    <col min="5164" max="5165" width="13.44140625" style="48" customWidth="1"/>
    <col min="5166" max="5166" width="9.6640625" style="48"/>
    <col min="5167" max="5167" width="13.88671875" style="48" customWidth="1"/>
    <col min="5168" max="5168" width="10.6640625" style="48" customWidth="1"/>
    <col min="5169" max="5169" width="17.33203125" style="48" customWidth="1"/>
    <col min="5170" max="5171" width="12.6640625" style="48" customWidth="1"/>
    <col min="5172" max="5172" width="11.21875" style="48" customWidth="1"/>
    <col min="5173" max="5173" width="18.33203125" style="48" customWidth="1"/>
    <col min="5174" max="5174" width="12.88671875" style="48" customWidth="1"/>
    <col min="5175" max="5176" width="13.21875" style="48" customWidth="1"/>
    <col min="5177" max="5177" width="10.88671875" style="48" customWidth="1"/>
    <col min="5178" max="5178" width="11.109375" style="48" customWidth="1"/>
    <col min="5179" max="5179" width="15.21875" style="48" customWidth="1"/>
    <col min="5180" max="5180" width="9.6640625" style="48"/>
    <col min="5181" max="5181" width="11" style="48" customWidth="1"/>
    <col min="5182" max="5182" width="10.77734375" style="48" customWidth="1"/>
    <col min="5183" max="5183" width="11.44140625" style="48" customWidth="1"/>
    <col min="5184" max="5184" width="4" style="48" customWidth="1"/>
    <col min="5185" max="5375" width="9.6640625" style="48"/>
    <col min="5376" max="5376" width="6.44140625" style="48" customWidth="1"/>
    <col min="5377" max="5377" width="13.88671875" style="48" customWidth="1"/>
    <col min="5378" max="5378" width="11.88671875" style="48" customWidth="1"/>
    <col min="5379" max="5381" width="9.6640625" style="48"/>
    <col min="5382" max="5382" width="15.44140625" style="48" customWidth="1"/>
    <col min="5383" max="5383" width="16.21875" style="48" customWidth="1"/>
    <col min="5384" max="5395" width="9.6640625" style="48"/>
    <col min="5396" max="5396" width="12" style="48" customWidth="1"/>
    <col min="5397" max="5397" width="12.77734375" style="48" customWidth="1"/>
    <col min="5398" max="5398" width="11.109375" style="48" customWidth="1"/>
    <col min="5399" max="5399" width="12" style="48" customWidth="1"/>
    <col min="5400" max="5400" width="9.6640625" style="48"/>
    <col min="5401" max="5401" width="15.33203125" style="48" customWidth="1"/>
    <col min="5402" max="5402" width="15.21875" style="48" customWidth="1"/>
    <col min="5403" max="5403" width="21.44140625" style="48" customWidth="1"/>
    <col min="5404" max="5419" width="9.6640625" style="48"/>
    <col min="5420" max="5421" width="13.44140625" style="48" customWidth="1"/>
    <col min="5422" max="5422" width="9.6640625" style="48"/>
    <col min="5423" max="5423" width="13.88671875" style="48" customWidth="1"/>
    <col min="5424" max="5424" width="10.6640625" style="48" customWidth="1"/>
    <col min="5425" max="5425" width="17.33203125" style="48" customWidth="1"/>
    <col min="5426" max="5427" width="12.6640625" style="48" customWidth="1"/>
    <col min="5428" max="5428" width="11.21875" style="48" customWidth="1"/>
    <col min="5429" max="5429" width="18.33203125" style="48" customWidth="1"/>
    <col min="5430" max="5430" width="12.88671875" style="48" customWidth="1"/>
    <col min="5431" max="5432" width="13.21875" style="48" customWidth="1"/>
    <col min="5433" max="5433" width="10.88671875" style="48" customWidth="1"/>
    <col min="5434" max="5434" width="11.109375" style="48" customWidth="1"/>
    <col min="5435" max="5435" width="15.21875" style="48" customWidth="1"/>
    <col min="5436" max="5436" width="9.6640625" style="48"/>
    <col min="5437" max="5437" width="11" style="48" customWidth="1"/>
    <col min="5438" max="5438" width="10.77734375" style="48" customWidth="1"/>
    <col min="5439" max="5439" width="11.44140625" style="48" customWidth="1"/>
    <col min="5440" max="5440" width="4" style="48" customWidth="1"/>
    <col min="5441" max="5631" width="9.6640625" style="48"/>
    <col min="5632" max="5632" width="6.44140625" style="48" customWidth="1"/>
    <col min="5633" max="5633" width="13.88671875" style="48" customWidth="1"/>
    <col min="5634" max="5634" width="11.88671875" style="48" customWidth="1"/>
    <col min="5635" max="5637" width="9.6640625" style="48"/>
    <col min="5638" max="5638" width="15.44140625" style="48" customWidth="1"/>
    <col min="5639" max="5639" width="16.21875" style="48" customWidth="1"/>
    <col min="5640" max="5651" width="9.6640625" style="48"/>
    <col min="5652" max="5652" width="12" style="48" customWidth="1"/>
    <col min="5653" max="5653" width="12.77734375" style="48" customWidth="1"/>
    <col min="5654" max="5654" width="11.109375" style="48" customWidth="1"/>
    <col min="5655" max="5655" width="12" style="48" customWidth="1"/>
    <col min="5656" max="5656" width="9.6640625" style="48"/>
    <col min="5657" max="5657" width="15.33203125" style="48" customWidth="1"/>
    <col min="5658" max="5658" width="15.21875" style="48" customWidth="1"/>
    <col min="5659" max="5659" width="21.44140625" style="48" customWidth="1"/>
    <col min="5660" max="5675" width="9.6640625" style="48"/>
    <col min="5676" max="5677" width="13.44140625" style="48" customWidth="1"/>
    <col min="5678" max="5678" width="9.6640625" style="48"/>
    <col min="5679" max="5679" width="13.88671875" style="48" customWidth="1"/>
    <col min="5680" max="5680" width="10.6640625" style="48" customWidth="1"/>
    <col min="5681" max="5681" width="17.33203125" style="48" customWidth="1"/>
    <col min="5682" max="5683" width="12.6640625" style="48" customWidth="1"/>
    <col min="5684" max="5684" width="11.21875" style="48" customWidth="1"/>
    <col min="5685" max="5685" width="18.33203125" style="48" customWidth="1"/>
    <col min="5686" max="5686" width="12.88671875" style="48" customWidth="1"/>
    <col min="5687" max="5688" width="13.21875" style="48" customWidth="1"/>
    <col min="5689" max="5689" width="10.88671875" style="48" customWidth="1"/>
    <col min="5690" max="5690" width="11.109375" style="48" customWidth="1"/>
    <col min="5691" max="5691" width="15.21875" style="48" customWidth="1"/>
    <col min="5692" max="5692" width="9.6640625" style="48"/>
    <col min="5693" max="5693" width="11" style="48" customWidth="1"/>
    <col min="5694" max="5694" width="10.77734375" style="48" customWidth="1"/>
    <col min="5695" max="5695" width="11.44140625" style="48" customWidth="1"/>
    <col min="5696" max="5696" width="4" style="48" customWidth="1"/>
    <col min="5697" max="5887" width="9.6640625" style="48"/>
    <col min="5888" max="5888" width="6.44140625" style="48" customWidth="1"/>
    <col min="5889" max="5889" width="13.88671875" style="48" customWidth="1"/>
    <col min="5890" max="5890" width="11.88671875" style="48" customWidth="1"/>
    <col min="5891" max="5893" width="9.6640625" style="48"/>
    <col min="5894" max="5894" width="15.44140625" style="48" customWidth="1"/>
    <col min="5895" max="5895" width="16.21875" style="48" customWidth="1"/>
    <col min="5896" max="5907" width="9.6640625" style="48"/>
    <col min="5908" max="5908" width="12" style="48" customWidth="1"/>
    <col min="5909" max="5909" width="12.77734375" style="48" customWidth="1"/>
    <col min="5910" max="5910" width="11.109375" style="48" customWidth="1"/>
    <col min="5911" max="5911" width="12" style="48" customWidth="1"/>
    <col min="5912" max="5912" width="9.6640625" style="48"/>
    <col min="5913" max="5913" width="15.33203125" style="48" customWidth="1"/>
    <col min="5914" max="5914" width="15.21875" style="48" customWidth="1"/>
    <col min="5915" max="5915" width="21.44140625" style="48" customWidth="1"/>
    <col min="5916" max="5931" width="9.6640625" style="48"/>
    <col min="5932" max="5933" width="13.44140625" style="48" customWidth="1"/>
    <col min="5934" max="5934" width="9.6640625" style="48"/>
    <col min="5935" max="5935" width="13.88671875" style="48" customWidth="1"/>
    <col min="5936" max="5936" width="10.6640625" style="48" customWidth="1"/>
    <col min="5937" max="5937" width="17.33203125" style="48" customWidth="1"/>
    <col min="5938" max="5939" width="12.6640625" style="48" customWidth="1"/>
    <col min="5940" max="5940" width="11.21875" style="48" customWidth="1"/>
    <col min="5941" max="5941" width="18.33203125" style="48" customWidth="1"/>
    <col min="5942" max="5942" width="12.88671875" style="48" customWidth="1"/>
    <col min="5943" max="5944" width="13.21875" style="48" customWidth="1"/>
    <col min="5945" max="5945" width="10.88671875" style="48" customWidth="1"/>
    <col min="5946" max="5946" width="11.109375" style="48" customWidth="1"/>
    <col min="5947" max="5947" width="15.21875" style="48" customWidth="1"/>
    <col min="5948" max="5948" width="9.6640625" style="48"/>
    <col min="5949" max="5949" width="11" style="48" customWidth="1"/>
    <col min="5950" max="5950" width="10.77734375" style="48" customWidth="1"/>
    <col min="5951" max="5951" width="11.44140625" style="48" customWidth="1"/>
    <col min="5952" max="5952" width="4" style="48" customWidth="1"/>
    <col min="5953" max="6143" width="9.6640625" style="48"/>
    <col min="6144" max="6144" width="6.44140625" style="48" customWidth="1"/>
    <col min="6145" max="6145" width="13.88671875" style="48" customWidth="1"/>
    <col min="6146" max="6146" width="11.88671875" style="48" customWidth="1"/>
    <col min="6147" max="6149" width="9.6640625" style="48"/>
    <col min="6150" max="6150" width="15.44140625" style="48" customWidth="1"/>
    <col min="6151" max="6151" width="16.21875" style="48" customWidth="1"/>
    <col min="6152" max="6163" width="9.6640625" style="48"/>
    <col min="6164" max="6164" width="12" style="48" customWidth="1"/>
    <col min="6165" max="6165" width="12.77734375" style="48" customWidth="1"/>
    <col min="6166" max="6166" width="11.109375" style="48" customWidth="1"/>
    <col min="6167" max="6167" width="12" style="48" customWidth="1"/>
    <col min="6168" max="6168" width="9.6640625" style="48"/>
    <col min="6169" max="6169" width="15.33203125" style="48" customWidth="1"/>
    <col min="6170" max="6170" width="15.21875" style="48" customWidth="1"/>
    <col min="6171" max="6171" width="21.44140625" style="48" customWidth="1"/>
    <col min="6172" max="6187" width="9.6640625" style="48"/>
    <col min="6188" max="6189" width="13.44140625" style="48" customWidth="1"/>
    <col min="6190" max="6190" width="9.6640625" style="48"/>
    <col min="6191" max="6191" width="13.88671875" style="48" customWidth="1"/>
    <col min="6192" max="6192" width="10.6640625" style="48" customWidth="1"/>
    <col min="6193" max="6193" width="17.33203125" style="48" customWidth="1"/>
    <col min="6194" max="6195" width="12.6640625" style="48" customWidth="1"/>
    <col min="6196" max="6196" width="11.21875" style="48" customWidth="1"/>
    <col min="6197" max="6197" width="18.33203125" style="48" customWidth="1"/>
    <col min="6198" max="6198" width="12.88671875" style="48" customWidth="1"/>
    <col min="6199" max="6200" width="13.21875" style="48" customWidth="1"/>
    <col min="6201" max="6201" width="10.88671875" style="48" customWidth="1"/>
    <col min="6202" max="6202" width="11.109375" style="48" customWidth="1"/>
    <col min="6203" max="6203" width="15.21875" style="48" customWidth="1"/>
    <col min="6204" max="6204" width="9.6640625" style="48"/>
    <col min="6205" max="6205" width="11" style="48" customWidth="1"/>
    <col min="6206" max="6206" width="10.77734375" style="48" customWidth="1"/>
    <col min="6207" max="6207" width="11.44140625" style="48" customWidth="1"/>
    <col min="6208" max="6208" width="4" style="48" customWidth="1"/>
    <col min="6209" max="6399" width="9.6640625" style="48"/>
    <col min="6400" max="6400" width="6.44140625" style="48" customWidth="1"/>
    <col min="6401" max="6401" width="13.88671875" style="48" customWidth="1"/>
    <col min="6402" max="6402" width="11.88671875" style="48" customWidth="1"/>
    <col min="6403" max="6405" width="9.6640625" style="48"/>
    <col min="6406" max="6406" width="15.44140625" style="48" customWidth="1"/>
    <col min="6407" max="6407" width="16.21875" style="48" customWidth="1"/>
    <col min="6408" max="6419" width="9.6640625" style="48"/>
    <col min="6420" max="6420" width="12" style="48" customWidth="1"/>
    <col min="6421" max="6421" width="12.77734375" style="48" customWidth="1"/>
    <col min="6422" max="6422" width="11.109375" style="48" customWidth="1"/>
    <col min="6423" max="6423" width="12" style="48" customWidth="1"/>
    <col min="6424" max="6424" width="9.6640625" style="48"/>
    <col min="6425" max="6425" width="15.33203125" style="48" customWidth="1"/>
    <col min="6426" max="6426" width="15.21875" style="48" customWidth="1"/>
    <col min="6427" max="6427" width="21.44140625" style="48" customWidth="1"/>
    <col min="6428" max="6443" width="9.6640625" style="48"/>
    <col min="6444" max="6445" width="13.44140625" style="48" customWidth="1"/>
    <col min="6446" max="6446" width="9.6640625" style="48"/>
    <col min="6447" max="6447" width="13.88671875" style="48" customWidth="1"/>
    <col min="6448" max="6448" width="10.6640625" style="48" customWidth="1"/>
    <col min="6449" max="6449" width="17.33203125" style="48" customWidth="1"/>
    <col min="6450" max="6451" width="12.6640625" style="48" customWidth="1"/>
    <col min="6452" max="6452" width="11.21875" style="48" customWidth="1"/>
    <col min="6453" max="6453" width="18.33203125" style="48" customWidth="1"/>
    <col min="6454" max="6454" width="12.88671875" style="48" customWidth="1"/>
    <col min="6455" max="6456" width="13.21875" style="48" customWidth="1"/>
    <col min="6457" max="6457" width="10.88671875" style="48" customWidth="1"/>
    <col min="6458" max="6458" width="11.109375" style="48" customWidth="1"/>
    <col min="6459" max="6459" width="15.21875" style="48" customWidth="1"/>
    <col min="6460" max="6460" width="9.6640625" style="48"/>
    <col min="6461" max="6461" width="11" style="48" customWidth="1"/>
    <col min="6462" max="6462" width="10.77734375" style="48" customWidth="1"/>
    <col min="6463" max="6463" width="11.44140625" style="48" customWidth="1"/>
    <col min="6464" max="6464" width="4" style="48" customWidth="1"/>
    <col min="6465" max="6655" width="9.6640625" style="48"/>
    <col min="6656" max="6656" width="6.44140625" style="48" customWidth="1"/>
    <col min="6657" max="6657" width="13.88671875" style="48" customWidth="1"/>
    <col min="6658" max="6658" width="11.88671875" style="48" customWidth="1"/>
    <col min="6659" max="6661" width="9.6640625" style="48"/>
    <col min="6662" max="6662" width="15.44140625" style="48" customWidth="1"/>
    <col min="6663" max="6663" width="16.21875" style="48" customWidth="1"/>
    <col min="6664" max="6675" width="9.6640625" style="48"/>
    <col min="6676" max="6676" width="12" style="48" customWidth="1"/>
    <col min="6677" max="6677" width="12.77734375" style="48" customWidth="1"/>
    <col min="6678" max="6678" width="11.109375" style="48" customWidth="1"/>
    <col min="6679" max="6679" width="12" style="48" customWidth="1"/>
    <col min="6680" max="6680" width="9.6640625" style="48"/>
    <col min="6681" max="6681" width="15.33203125" style="48" customWidth="1"/>
    <col min="6682" max="6682" width="15.21875" style="48" customWidth="1"/>
    <col min="6683" max="6683" width="21.44140625" style="48" customWidth="1"/>
    <col min="6684" max="6699" width="9.6640625" style="48"/>
    <col min="6700" max="6701" width="13.44140625" style="48" customWidth="1"/>
    <col min="6702" max="6702" width="9.6640625" style="48"/>
    <col min="6703" max="6703" width="13.88671875" style="48" customWidth="1"/>
    <col min="6704" max="6704" width="10.6640625" style="48" customWidth="1"/>
    <col min="6705" max="6705" width="17.33203125" style="48" customWidth="1"/>
    <col min="6706" max="6707" width="12.6640625" style="48" customWidth="1"/>
    <col min="6708" max="6708" width="11.21875" style="48" customWidth="1"/>
    <col min="6709" max="6709" width="18.33203125" style="48" customWidth="1"/>
    <col min="6710" max="6710" width="12.88671875" style="48" customWidth="1"/>
    <col min="6711" max="6712" width="13.21875" style="48" customWidth="1"/>
    <col min="6713" max="6713" width="10.88671875" style="48" customWidth="1"/>
    <col min="6714" max="6714" width="11.109375" style="48" customWidth="1"/>
    <col min="6715" max="6715" width="15.21875" style="48" customWidth="1"/>
    <col min="6716" max="6716" width="9.6640625" style="48"/>
    <col min="6717" max="6717" width="11" style="48" customWidth="1"/>
    <col min="6718" max="6718" width="10.77734375" style="48" customWidth="1"/>
    <col min="6719" max="6719" width="11.44140625" style="48" customWidth="1"/>
    <col min="6720" max="6720" width="4" style="48" customWidth="1"/>
    <col min="6721" max="6911" width="9.6640625" style="48"/>
    <col min="6912" max="6912" width="6.44140625" style="48" customWidth="1"/>
    <col min="6913" max="6913" width="13.88671875" style="48" customWidth="1"/>
    <col min="6914" max="6914" width="11.88671875" style="48" customWidth="1"/>
    <col min="6915" max="6917" width="9.6640625" style="48"/>
    <col min="6918" max="6918" width="15.44140625" style="48" customWidth="1"/>
    <col min="6919" max="6919" width="16.21875" style="48" customWidth="1"/>
    <col min="6920" max="6931" width="9.6640625" style="48"/>
    <col min="6932" max="6932" width="12" style="48" customWidth="1"/>
    <col min="6933" max="6933" width="12.77734375" style="48" customWidth="1"/>
    <col min="6934" max="6934" width="11.109375" style="48" customWidth="1"/>
    <col min="6935" max="6935" width="12" style="48" customWidth="1"/>
    <col min="6936" max="6936" width="9.6640625" style="48"/>
    <col min="6937" max="6937" width="15.33203125" style="48" customWidth="1"/>
    <col min="6938" max="6938" width="15.21875" style="48" customWidth="1"/>
    <col min="6939" max="6939" width="21.44140625" style="48" customWidth="1"/>
    <col min="6940" max="6955" width="9.6640625" style="48"/>
    <col min="6956" max="6957" width="13.44140625" style="48" customWidth="1"/>
    <col min="6958" max="6958" width="9.6640625" style="48"/>
    <col min="6959" max="6959" width="13.88671875" style="48" customWidth="1"/>
    <col min="6960" max="6960" width="10.6640625" style="48" customWidth="1"/>
    <col min="6961" max="6961" width="17.33203125" style="48" customWidth="1"/>
    <col min="6962" max="6963" width="12.6640625" style="48" customWidth="1"/>
    <col min="6964" max="6964" width="11.21875" style="48" customWidth="1"/>
    <col min="6965" max="6965" width="18.33203125" style="48" customWidth="1"/>
    <col min="6966" max="6966" width="12.88671875" style="48" customWidth="1"/>
    <col min="6967" max="6968" width="13.21875" style="48" customWidth="1"/>
    <col min="6969" max="6969" width="10.88671875" style="48" customWidth="1"/>
    <col min="6970" max="6970" width="11.109375" style="48" customWidth="1"/>
    <col min="6971" max="6971" width="15.21875" style="48" customWidth="1"/>
    <col min="6972" max="6972" width="9.6640625" style="48"/>
    <col min="6973" max="6973" width="11" style="48" customWidth="1"/>
    <col min="6974" max="6974" width="10.77734375" style="48" customWidth="1"/>
    <col min="6975" max="6975" width="11.44140625" style="48" customWidth="1"/>
    <col min="6976" max="6976" width="4" style="48" customWidth="1"/>
    <col min="6977" max="7167" width="9.6640625" style="48"/>
    <col min="7168" max="7168" width="6.44140625" style="48" customWidth="1"/>
    <col min="7169" max="7169" width="13.88671875" style="48" customWidth="1"/>
    <col min="7170" max="7170" width="11.88671875" style="48" customWidth="1"/>
    <col min="7171" max="7173" width="9.6640625" style="48"/>
    <col min="7174" max="7174" width="15.44140625" style="48" customWidth="1"/>
    <col min="7175" max="7175" width="16.21875" style="48" customWidth="1"/>
    <col min="7176" max="7187" width="9.6640625" style="48"/>
    <col min="7188" max="7188" width="12" style="48" customWidth="1"/>
    <col min="7189" max="7189" width="12.77734375" style="48" customWidth="1"/>
    <col min="7190" max="7190" width="11.109375" style="48" customWidth="1"/>
    <col min="7191" max="7191" width="12" style="48" customWidth="1"/>
    <col min="7192" max="7192" width="9.6640625" style="48"/>
    <col min="7193" max="7193" width="15.33203125" style="48" customWidth="1"/>
    <col min="7194" max="7194" width="15.21875" style="48" customWidth="1"/>
    <col min="7195" max="7195" width="21.44140625" style="48" customWidth="1"/>
    <col min="7196" max="7211" width="9.6640625" style="48"/>
    <col min="7212" max="7213" width="13.44140625" style="48" customWidth="1"/>
    <col min="7214" max="7214" width="9.6640625" style="48"/>
    <col min="7215" max="7215" width="13.88671875" style="48" customWidth="1"/>
    <col min="7216" max="7216" width="10.6640625" style="48" customWidth="1"/>
    <col min="7217" max="7217" width="17.33203125" style="48" customWidth="1"/>
    <col min="7218" max="7219" width="12.6640625" style="48" customWidth="1"/>
    <col min="7220" max="7220" width="11.21875" style="48" customWidth="1"/>
    <col min="7221" max="7221" width="18.33203125" style="48" customWidth="1"/>
    <col min="7222" max="7222" width="12.88671875" style="48" customWidth="1"/>
    <col min="7223" max="7224" width="13.21875" style="48" customWidth="1"/>
    <col min="7225" max="7225" width="10.88671875" style="48" customWidth="1"/>
    <col min="7226" max="7226" width="11.109375" style="48" customWidth="1"/>
    <col min="7227" max="7227" width="15.21875" style="48" customWidth="1"/>
    <col min="7228" max="7228" width="9.6640625" style="48"/>
    <col min="7229" max="7229" width="11" style="48" customWidth="1"/>
    <col min="7230" max="7230" width="10.77734375" style="48" customWidth="1"/>
    <col min="7231" max="7231" width="11.44140625" style="48" customWidth="1"/>
    <col min="7232" max="7232" width="4" style="48" customWidth="1"/>
    <col min="7233" max="7423" width="9.6640625" style="48"/>
    <col min="7424" max="7424" width="6.44140625" style="48" customWidth="1"/>
    <col min="7425" max="7425" width="13.88671875" style="48" customWidth="1"/>
    <col min="7426" max="7426" width="11.88671875" style="48" customWidth="1"/>
    <col min="7427" max="7429" width="9.6640625" style="48"/>
    <col min="7430" max="7430" width="15.44140625" style="48" customWidth="1"/>
    <col min="7431" max="7431" width="16.21875" style="48" customWidth="1"/>
    <col min="7432" max="7443" width="9.6640625" style="48"/>
    <col min="7444" max="7444" width="12" style="48" customWidth="1"/>
    <col min="7445" max="7445" width="12.77734375" style="48" customWidth="1"/>
    <col min="7446" max="7446" width="11.109375" style="48" customWidth="1"/>
    <col min="7447" max="7447" width="12" style="48" customWidth="1"/>
    <col min="7448" max="7448" width="9.6640625" style="48"/>
    <col min="7449" max="7449" width="15.33203125" style="48" customWidth="1"/>
    <col min="7450" max="7450" width="15.21875" style="48" customWidth="1"/>
    <col min="7451" max="7451" width="21.44140625" style="48" customWidth="1"/>
    <col min="7452" max="7467" width="9.6640625" style="48"/>
    <col min="7468" max="7469" width="13.44140625" style="48" customWidth="1"/>
    <col min="7470" max="7470" width="9.6640625" style="48"/>
    <col min="7471" max="7471" width="13.88671875" style="48" customWidth="1"/>
    <col min="7472" max="7472" width="10.6640625" style="48" customWidth="1"/>
    <col min="7473" max="7473" width="17.33203125" style="48" customWidth="1"/>
    <col min="7474" max="7475" width="12.6640625" style="48" customWidth="1"/>
    <col min="7476" max="7476" width="11.21875" style="48" customWidth="1"/>
    <col min="7477" max="7477" width="18.33203125" style="48" customWidth="1"/>
    <col min="7478" max="7478" width="12.88671875" style="48" customWidth="1"/>
    <col min="7479" max="7480" width="13.21875" style="48" customWidth="1"/>
    <col min="7481" max="7481" width="10.88671875" style="48" customWidth="1"/>
    <col min="7482" max="7482" width="11.109375" style="48" customWidth="1"/>
    <col min="7483" max="7483" width="15.21875" style="48" customWidth="1"/>
    <col min="7484" max="7484" width="9.6640625" style="48"/>
    <col min="7485" max="7485" width="11" style="48" customWidth="1"/>
    <col min="7486" max="7486" width="10.77734375" style="48" customWidth="1"/>
    <col min="7487" max="7487" width="11.44140625" style="48" customWidth="1"/>
    <col min="7488" max="7488" width="4" style="48" customWidth="1"/>
    <col min="7489" max="7679" width="9.6640625" style="48"/>
    <col min="7680" max="7680" width="6.44140625" style="48" customWidth="1"/>
    <col min="7681" max="7681" width="13.88671875" style="48" customWidth="1"/>
    <col min="7682" max="7682" width="11.88671875" style="48" customWidth="1"/>
    <col min="7683" max="7685" width="9.6640625" style="48"/>
    <col min="7686" max="7686" width="15.44140625" style="48" customWidth="1"/>
    <col min="7687" max="7687" width="16.21875" style="48" customWidth="1"/>
    <col min="7688" max="7699" width="9.6640625" style="48"/>
    <col min="7700" max="7700" width="12" style="48" customWidth="1"/>
    <col min="7701" max="7701" width="12.77734375" style="48" customWidth="1"/>
    <col min="7702" max="7702" width="11.109375" style="48" customWidth="1"/>
    <col min="7703" max="7703" width="12" style="48" customWidth="1"/>
    <col min="7704" max="7704" width="9.6640625" style="48"/>
    <col min="7705" max="7705" width="15.33203125" style="48" customWidth="1"/>
    <col min="7706" max="7706" width="15.21875" style="48" customWidth="1"/>
    <col min="7707" max="7707" width="21.44140625" style="48" customWidth="1"/>
    <col min="7708" max="7723" width="9.6640625" style="48"/>
    <col min="7724" max="7725" width="13.44140625" style="48" customWidth="1"/>
    <col min="7726" max="7726" width="9.6640625" style="48"/>
    <col min="7727" max="7727" width="13.88671875" style="48" customWidth="1"/>
    <col min="7728" max="7728" width="10.6640625" style="48" customWidth="1"/>
    <col min="7729" max="7729" width="17.33203125" style="48" customWidth="1"/>
    <col min="7730" max="7731" width="12.6640625" style="48" customWidth="1"/>
    <col min="7732" max="7732" width="11.21875" style="48" customWidth="1"/>
    <col min="7733" max="7733" width="18.33203125" style="48" customWidth="1"/>
    <col min="7734" max="7734" width="12.88671875" style="48" customWidth="1"/>
    <col min="7735" max="7736" width="13.21875" style="48" customWidth="1"/>
    <col min="7737" max="7737" width="10.88671875" style="48" customWidth="1"/>
    <col min="7738" max="7738" width="11.109375" style="48" customWidth="1"/>
    <col min="7739" max="7739" width="15.21875" style="48" customWidth="1"/>
    <col min="7740" max="7740" width="9.6640625" style="48"/>
    <col min="7741" max="7741" width="11" style="48" customWidth="1"/>
    <col min="7742" max="7742" width="10.77734375" style="48" customWidth="1"/>
    <col min="7743" max="7743" width="11.44140625" style="48" customWidth="1"/>
    <col min="7744" max="7744" width="4" style="48" customWidth="1"/>
    <col min="7745" max="7935" width="9.6640625" style="48"/>
    <col min="7936" max="7936" width="6.44140625" style="48" customWidth="1"/>
    <col min="7937" max="7937" width="13.88671875" style="48" customWidth="1"/>
    <col min="7938" max="7938" width="11.88671875" style="48" customWidth="1"/>
    <col min="7939" max="7941" width="9.6640625" style="48"/>
    <col min="7942" max="7942" width="15.44140625" style="48" customWidth="1"/>
    <col min="7943" max="7943" width="16.21875" style="48" customWidth="1"/>
    <col min="7944" max="7955" width="9.6640625" style="48"/>
    <col min="7956" max="7956" width="12" style="48" customWidth="1"/>
    <col min="7957" max="7957" width="12.77734375" style="48" customWidth="1"/>
    <col min="7958" max="7958" width="11.109375" style="48" customWidth="1"/>
    <col min="7959" max="7959" width="12" style="48" customWidth="1"/>
    <col min="7960" max="7960" width="9.6640625" style="48"/>
    <col min="7961" max="7961" width="15.33203125" style="48" customWidth="1"/>
    <col min="7962" max="7962" width="15.21875" style="48" customWidth="1"/>
    <col min="7963" max="7963" width="21.44140625" style="48" customWidth="1"/>
    <col min="7964" max="7979" width="9.6640625" style="48"/>
    <col min="7980" max="7981" width="13.44140625" style="48" customWidth="1"/>
    <col min="7982" max="7982" width="9.6640625" style="48"/>
    <col min="7983" max="7983" width="13.88671875" style="48" customWidth="1"/>
    <col min="7984" max="7984" width="10.6640625" style="48" customWidth="1"/>
    <col min="7985" max="7985" width="17.33203125" style="48" customWidth="1"/>
    <col min="7986" max="7987" width="12.6640625" style="48" customWidth="1"/>
    <col min="7988" max="7988" width="11.21875" style="48" customWidth="1"/>
    <col min="7989" max="7989" width="18.33203125" style="48" customWidth="1"/>
    <col min="7990" max="7990" width="12.88671875" style="48" customWidth="1"/>
    <col min="7991" max="7992" width="13.21875" style="48" customWidth="1"/>
    <col min="7993" max="7993" width="10.88671875" style="48" customWidth="1"/>
    <col min="7994" max="7994" width="11.109375" style="48" customWidth="1"/>
    <col min="7995" max="7995" width="15.21875" style="48" customWidth="1"/>
    <col min="7996" max="7996" width="9.6640625" style="48"/>
    <col min="7997" max="7997" width="11" style="48" customWidth="1"/>
    <col min="7998" max="7998" width="10.77734375" style="48" customWidth="1"/>
    <col min="7999" max="7999" width="11.44140625" style="48" customWidth="1"/>
    <col min="8000" max="8000" width="4" style="48" customWidth="1"/>
    <col min="8001" max="8191" width="9.6640625" style="48"/>
    <col min="8192" max="8192" width="6.44140625" style="48" customWidth="1"/>
    <col min="8193" max="8193" width="13.88671875" style="48" customWidth="1"/>
    <col min="8194" max="8194" width="11.88671875" style="48" customWidth="1"/>
    <col min="8195" max="8197" width="9.6640625" style="48"/>
    <col min="8198" max="8198" width="15.44140625" style="48" customWidth="1"/>
    <col min="8199" max="8199" width="16.21875" style="48" customWidth="1"/>
    <col min="8200" max="8211" width="9.6640625" style="48"/>
    <col min="8212" max="8212" width="12" style="48" customWidth="1"/>
    <col min="8213" max="8213" width="12.77734375" style="48" customWidth="1"/>
    <col min="8214" max="8214" width="11.109375" style="48" customWidth="1"/>
    <col min="8215" max="8215" width="12" style="48" customWidth="1"/>
    <col min="8216" max="8216" width="9.6640625" style="48"/>
    <col min="8217" max="8217" width="15.33203125" style="48" customWidth="1"/>
    <col min="8218" max="8218" width="15.21875" style="48" customWidth="1"/>
    <col min="8219" max="8219" width="21.44140625" style="48" customWidth="1"/>
    <col min="8220" max="8235" width="9.6640625" style="48"/>
    <col min="8236" max="8237" width="13.44140625" style="48" customWidth="1"/>
    <col min="8238" max="8238" width="9.6640625" style="48"/>
    <col min="8239" max="8239" width="13.88671875" style="48" customWidth="1"/>
    <col min="8240" max="8240" width="10.6640625" style="48" customWidth="1"/>
    <col min="8241" max="8241" width="17.33203125" style="48" customWidth="1"/>
    <col min="8242" max="8243" width="12.6640625" style="48" customWidth="1"/>
    <col min="8244" max="8244" width="11.21875" style="48" customWidth="1"/>
    <col min="8245" max="8245" width="18.33203125" style="48" customWidth="1"/>
    <col min="8246" max="8246" width="12.88671875" style="48" customWidth="1"/>
    <col min="8247" max="8248" width="13.21875" style="48" customWidth="1"/>
    <col min="8249" max="8249" width="10.88671875" style="48" customWidth="1"/>
    <col min="8250" max="8250" width="11.109375" style="48" customWidth="1"/>
    <col min="8251" max="8251" width="15.21875" style="48" customWidth="1"/>
    <col min="8252" max="8252" width="9.6640625" style="48"/>
    <col min="8253" max="8253" width="11" style="48" customWidth="1"/>
    <col min="8254" max="8254" width="10.77734375" style="48" customWidth="1"/>
    <col min="8255" max="8255" width="11.44140625" style="48" customWidth="1"/>
    <col min="8256" max="8256" width="4" style="48" customWidth="1"/>
    <col min="8257" max="8447" width="9.6640625" style="48"/>
    <col min="8448" max="8448" width="6.44140625" style="48" customWidth="1"/>
    <col min="8449" max="8449" width="13.88671875" style="48" customWidth="1"/>
    <col min="8450" max="8450" width="11.88671875" style="48" customWidth="1"/>
    <col min="8451" max="8453" width="9.6640625" style="48"/>
    <col min="8454" max="8454" width="15.44140625" style="48" customWidth="1"/>
    <col min="8455" max="8455" width="16.21875" style="48" customWidth="1"/>
    <col min="8456" max="8467" width="9.6640625" style="48"/>
    <col min="8468" max="8468" width="12" style="48" customWidth="1"/>
    <col min="8469" max="8469" width="12.77734375" style="48" customWidth="1"/>
    <col min="8470" max="8470" width="11.109375" style="48" customWidth="1"/>
    <col min="8471" max="8471" width="12" style="48" customWidth="1"/>
    <col min="8472" max="8472" width="9.6640625" style="48"/>
    <col min="8473" max="8473" width="15.33203125" style="48" customWidth="1"/>
    <col min="8474" max="8474" width="15.21875" style="48" customWidth="1"/>
    <col min="8475" max="8475" width="21.44140625" style="48" customWidth="1"/>
    <col min="8476" max="8491" width="9.6640625" style="48"/>
    <col min="8492" max="8493" width="13.44140625" style="48" customWidth="1"/>
    <col min="8494" max="8494" width="9.6640625" style="48"/>
    <col min="8495" max="8495" width="13.88671875" style="48" customWidth="1"/>
    <col min="8496" max="8496" width="10.6640625" style="48" customWidth="1"/>
    <col min="8497" max="8497" width="17.33203125" style="48" customWidth="1"/>
    <col min="8498" max="8499" width="12.6640625" style="48" customWidth="1"/>
    <col min="8500" max="8500" width="11.21875" style="48" customWidth="1"/>
    <col min="8501" max="8501" width="18.33203125" style="48" customWidth="1"/>
    <col min="8502" max="8502" width="12.88671875" style="48" customWidth="1"/>
    <col min="8503" max="8504" width="13.21875" style="48" customWidth="1"/>
    <col min="8505" max="8505" width="10.88671875" style="48" customWidth="1"/>
    <col min="8506" max="8506" width="11.109375" style="48" customWidth="1"/>
    <col min="8507" max="8507" width="15.21875" style="48" customWidth="1"/>
    <col min="8508" max="8508" width="9.6640625" style="48"/>
    <col min="8509" max="8509" width="11" style="48" customWidth="1"/>
    <col min="8510" max="8510" width="10.77734375" style="48" customWidth="1"/>
    <col min="8511" max="8511" width="11.44140625" style="48" customWidth="1"/>
    <col min="8512" max="8512" width="4" style="48" customWidth="1"/>
    <col min="8513" max="8703" width="9.6640625" style="48"/>
    <col min="8704" max="8704" width="6.44140625" style="48" customWidth="1"/>
    <col min="8705" max="8705" width="13.88671875" style="48" customWidth="1"/>
    <col min="8706" max="8706" width="11.88671875" style="48" customWidth="1"/>
    <col min="8707" max="8709" width="9.6640625" style="48"/>
    <col min="8710" max="8710" width="15.44140625" style="48" customWidth="1"/>
    <col min="8711" max="8711" width="16.21875" style="48" customWidth="1"/>
    <col min="8712" max="8723" width="9.6640625" style="48"/>
    <col min="8724" max="8724" width="12" style="48" customWidth="1"/>
    <col min="8725" max="8725" width="12.77734375" style="48" customWidth="1"/>
    <col min="8726" max="8726" width="11.109375" style="48" customWidth="1"/>
    <col min="8727" max="8727" width="12" style="48" customWidth="1"/>
    <col min="8728" max="8728" width="9.6640625" style="48"/>
    <col min="8729" max="8729" width="15.33203125" style="48" customWidth="1"/>
    <col min="8730" max="8730" width="15.21875" style="48" customWidth="1"/>
    <col min="8731" max="8731" width="21.44140625" style="48" customWidth="1"/>
    <col min="8732" max="8747" width="9.6640625" style="48"/>
    <col min="8748" max="8749" width="13.44140625" style="48" customWidth="1"/>
    <col min="8750" max="8750" width="9.6640625" style="48"/>
    <col min="8751" max="8751" width="13.88671875" style="48" customWidth="1"/>
    <col min="8752" max="8752" width="10.6640625" style="48" customWidth="1"/>
    <col min="8753" max="8753" width="17.33203125" style="48" customWidth="1"/>
    <col min="8754" max="8755" width="12.6640625" style="48" customWidth="1"/>
    <col min="8756" max="8756" width="11.21875" style="48" customWidth="1"/>
    <col min="8757" max="8757" width="18.33203125" style="48" customWidth="1"/>
    <col min="8758" max="8758" width="12.88671875" style="48" customWidth="1"/>
    <col min="8759" max="8760" width="13.21875" style="48" customWidth="1"/>
    <col min="8761" max="8761" width="10.88671875" style="48" customWidth="1"/>
    <col min="8762" max="8762" width="11.109375" style="48" customWidth="1"/>
    <col min="8763" max="8763" width="15.21875" style="48" customWidth="1"/>
    <col min="8764" max="8764" width="9.6640625" style="48"/>
    <col min="8765" max="8765" width="11" style="48" customWidth="1"/>
    <col min="8766" max="8766" width="10.77734375" style="48" customWidth="1"/>
    <col min="8767" max="8767" width="11.44140625" style="48" customWidth="1"/>
    <col min="8768" max="8768" width="4" style="48" customWidth="1"/>
    <col min="8769" max="8959" width="9.6640625" style="48"/>
    <col min="8960" max="8960" width="6.44140625" style="48" customWidth="1"/>
    <col min="8961" max="8961" width="13.88671875" style="48" customWidth="1"/>
    <col min="8962" max="8962" width="11.88671875" style="48" customWidth="1"/>
    <col min="8963" max="8965" width="9.6640625" style="48"/>
    <col min="8966" max="8966" width="15.44140625" style="48" customWidth="1"/>
    <col min="8967" max="8967" width="16.21875" style="48" customWidth="1"/>
    <col min="8968" max="8979" width="9.6640625" style="48"/>
    <col min="8980" max="8980" width="12" style="48" customWidth="1"/>
    <col min="8981" max="8981" width="12.77734375" style="48" customWidth="1"/>
    <col min="8982" max="8982" width="11.109375" style="48" customWidth="1"/>
    <col min="8983" max="8983" width="12" style="48" customWidth="1"/>
    <col min="8984" max="8984" width="9.6640625" style="48"/>
    <col min="8985" max="8985" width="15.33203125" style="48" customWidth="1"/>
    <col min="8986" max="8986" width="15.21875" style="48" customWidth="1"/>
    <col min="8987" max="8987" width="21.44140625" style="48" customWidth="1"/>
    <col min="8988" max="9003" width="9.6640625" style="48"/>
    <col min="9004" max="9005" width="13.44140625" style="48" customWidth="1"/>
    <col min="9006" max="9006" width="9.6640625" style="48"/>
    <col min="9007" max="9007" width="13.88671875" style="48" customWidth="1"/>
    <col min="9008" max="9008" width="10.6640625" style="48" customWidth="1"/>
    <col min="9009" max="9009" width="17.33203125" style="48" customWidth="1"/>
    <col min="9010" max="9011" width="12.6640625" style="48" customWidth="1"/>
    <col min="9012" max="9012" width="11.21875" style="48" customWidth="1"/>
    <col min="9013" max="9013" width="18.33203125" style="48" customWidth="1"/>
    <col min="9014" max="9014" width="12.88671875" style="48" customWidth="1"/>
    <col min="9015" max="9016" width="13.21875" style="48" customWidth="1"/>
    <col min="9017" max="9017" width="10.88671875" style="48" customWidth="1"/>
    <col min="9018" max="9018" width="11.109375" style="48" customWidth="1"/>
    <col min="9019" max="9019" width="15.21875" style="48" customWidth="1"/>
    <col min="9020" max="9020" width="9.6640625" style="48"/>
    <col min="9021" max="9021" width="11" style="48" customWidth="1"/>
    <col min="9022" max="9022" width="10.77734375" style="48" customWidth="1"/>
    <col min="9023" max="9023" width="11.44140625" style="48" customWidth="1"/>
    <col min="9024" max="9024" width="4" style="48" customWidth="1"/>
    <col min="9025" max="9215" width="9.6640625" style="48"/>
    <col min="9216" max="9216" width="6.44140625" style="48" customWidth="1"/>
    <col min="9217" max="9217" width="13.88671875" style="48" customWidth="1"/>
    <col min="9218" max="9218" width="11.88671875" style="48" customWidth="1"/>
    <col min="9219" max="9221" width="9.6640625" style="48"/>
    <col min="9222" max="9222" width="15.44140625" style="48" customWidth="1"/>
    <col min="9223" max="9223" width="16.21875" style="48" customWidth="1"/>
    <col min="9224" max="9235" width="9.6640625" style="48"/>
    <col min="9236" max="9236" width="12" style="48" customWidth="1"/>
    <col min="9237" max="9237" width="12.77734375" style="48" customWidth="1"/>
    <col min="9238" max="9238" width="11.109375" style="48" customWidth="1"/>
    <col min="9239" max="9239" width="12" style="48" customWidth="1"/>
    <col min="9240" max="9240" width="9.6640625" style="48"/>
    <col min="9241" max="9241" width="15.33203125" style="48" customWidth="1"/>
    <col min="9242" max="9242" width="15.21875" style="48" customWidth="1"/>
    <col min="9243" max="9243" width="21.44140625" style="48" customWidth="1"/>
    <col min="9244" max="9259" width="9.6640625" style="48"/>
    <col min="9260" max="9261" width="13.44140625" style="48" customWidth="1"/>
    <col min="9262" max="9262" width="9.6640625" style="48"/>
    <col min="9263" max="9263" width="13.88671875" style="48" customWidth="1"/>
    <col min="9264" max="9264" width="10.6640625" style="48" customWidth="1"/>
    <col min="9265" max="9265" width="17.33203125" style="48" customWidth="1"/>
    <col min="9266" max="9267" width="12.6640625" style="48" customWidth="1"/>
    <col min="9268" max="9268" width="11.21875" style="48" customWidth="1"/>
    <col min="9269" max="9269" width="18.33203125" style="48" customWidth="1"/>
    <col min="9270" max="9270" width="12.88671875" style="48" customWidth="1"/>
    <col min="9271" max="9272" width="13.21875" style="48" customWidth="1"/>
    <col min="9273" max="9273" width="10.88671875" style="48" customWidth="1"/>
    <col min="9274" max="9274" width="11.109375" style="48" customWidth="1"/>
    <col min="9275" max="9275" width="15.21875" style="48" customWidth="1"/>
    <col min="9276" max="9276" width="9.6640625" style="48"/>
    <col min="9277" max="9277" width="11" style="48" customWidth="1"/>
    <col min="9278" max="9278" width="10.77734375" style="48" customWidth="1"/>
    <col min="9279" max="9279" width="11.44140625" style="48" customWidth="1"/>
    <col min="9280" max="9280" width="4" style="48" customWidth="1"/>
    <col min="9281" max="9471" width="9.6640625" style="48"/>
    <col min="9472" max="9472" width="6.44140625" style="48" customWidth="1"/>
    <col min="9473" max="9473" width="13.88671875" style="48" customWidth="1"/>
    <col min="9474" max="9474" width="11.88671875" style="48" customWidth="1"/>
    <col min="9475" max="9477" width="9.6640625" style="48"/>
    <col min="9478" max="9478" width="15.44140625" style="48" customWidth="1"/>
    <col min="9479" max="9479" width="16.21875" style="48" customWidth="1"/>
    <col min="9480" max="9491" width="9.6640625" style="48"/>
    <col min="9492" max="9492" width="12" style="48" customWidth="1"/>
    <col min="9493" max="9493" width="12.77734375" style="48" customWidth="1"/>
    <col min="9494" max="9494" width="11.109375" style="48" customWidth="1"/>
    <col min="9495" max="9495" width="12" style="48" customWidth="1"/>
    <col min="9496" max="9496" width="9.6640625" style="48"/>
    <col min="9497" max="9497" width="15.33203125" style="48" customWidth="1"/>
    <col min="9498" max="9498" width="15.21875" style="48" customWidth="1"/>
    <col min="9499" max="9499" width="21.44140625" style="48" customWidth="1"/>
    <col min="9500" max="9515" width="9.6640625" style="48"/>
    <col min="9516" max="9517" width="13.44140625" style="48" customWidth="1"/>
    <col min="9518" max="9518" width="9.6640625" style="48"/>
    <col min="9519" max="9519" width="13.88671875" style="48" customWidth="1"/>
    <col min="9520" max="9520" width="10.6640625" style="48" customWidth="1"/>
    <col min="9521" max="9521" width="17.33203125" style="48" customWidth="1"/>
    <col min="9522" max="9523" width="12.6640625" style="48" customWidth="1"/>
    <col min="9524" max="9524" width="11.21875" style="48" customWidth="1"/>
    <col min="9525" max="9525" width="18.33203125" style="48" customWidth="1"/>
    <col min="9526" max="9526" width="12.88671875" style="48" customWidth="1"/>
    <col min="9527" max="9528" width="13.21875" style="48" customWidth="1"/>
    <col min="9529" max="9529" width="10.88671875" style="48" customWidth="1"/>
    <col min="9530" max="9530" width="11.109375" style="48" customWidth="1"/>
    <col min="9531" max="9531" width="15.21875" style="48" customWidth="1"/>
    <col min="9532" max="9532" width="9.6640625" style="48"/>
    <col min="9533" max="9533" width="11" style="48" customWidth="1"/>
    <col min="9534" max="9534" width="10.77734375" style="48" customWidth="1"/>
    <col min="9535" max="9535" width="11.44140625" style="48" customWidth="1"/>
    <col min="9536" max="9536" width="4" style="48" customWidth="1"/>
    <col min="9537" max="9727" width="9.6640625" style="48"/>
    <col min="9728" max="9728" width="6.44140625" style="48" customWidth="1"/>
    <col min="9729" max="9729" width="13.88671875" style="48" customWidth="1"/>
    <col min="9730" max="9730" width="11.88671875" style="48" customWidth="1"/>
    <col min="9731" max="9733" width="9.6640625" style="48"/>
    <col min="9734" max="9734" width="15.44140625" style="48" customWidth="1"/>
    <col min="9735" max="9735" width="16.21875" style="48" customWidth="1"/>
    <col min="9736" max="9747" width="9.6640625" style="48"/>
    <col min="9748" max="9748" width="12" style="48" customWidth="1"/>
    <col min="9749" max="9749" width="12.77734375" style="48" customWidth="1"/>
    <col min="9750" max="9750" width="11.109375" style="48" customWidth="1"/>
    <col min="9751" max="9751" width="12" style="48" customWidth="1"/>
    <col min="9752" max="9752" width="9.6640625" style="48"/>
    <col min="9753" max="9753" width="15.33203125" style="48" customWidth="1"/>
    <col min="9754" max="9754" width="15.21875" style="48" customWidth="1"/>
    <col min="9755" max="9755" width="21.44140625" style="48" customWidth="1"/>
    <col min="9756" max="9771" width="9.6640625" style="48"/>
    <col min="9772" max="9773" width="13.44140625" style="48" customWidth="1"/>
    <col min="9774" max="9774" width="9.6640625" style="48"/>
    <col min="9775" max="9775" width="13.88671875" style="48" customWidth="1"/>
    <col min="9776" max="9776" width="10.6640625" style="48" customWidth="1"/>
    <col min="9777" max="9777" width="17.33203125" style="48" customWidth="1"/>
    <col min="9778" max="9779" width="12.6640625" style="48" customWidth="1"/>
    <col min="9780" max="9780" width="11.21875" style="48" customWidth="1"/>
    <col min="9781" max="9781" width="18.33203125" style="48" customWidth="1"/>
    <col min="9782" max="9782" width="12.88671875" style="48" customWidth="1"/>
    <col min="9783" max="9784" width="13.21875" style="48" customWidth="1"/>
    <col min="9785" max="9785" width="10.88671875" style="48" customWidth="1"/>
    <col min="9786" max="9786" width="11.109375" style="48" customWidth="1"/>
    <col min="9787" max="9787" width="15.21875" style="48" customWidth="1"/>
    <col min="9788" max="9788" width="9.6640625" style="48"/>
    <col min="9789" max="9789" width="11" style="48" customWidth="1"/>
    <col min="9790" max="9790" width="10.77734375" style="48" customWidth="1"/>
    <col min="9791" max="9791" width="11.44140625" style="48" customWidth="1"/>
    <col min="9792" max="9792" width="4" style="48" customWidth="1"/>
    <col min="9793" max="9983" width="9.6640625" style="48"/>
    <col min="9984" max="9984" width="6.44140625" style="48" customWidth="1"/>
    <col min="9985" max="9985" width="13.88671875" style="48" customWidth="1"/>
    <col min="9986" max="9986" width="11.88671875" style="48" customWidth="1"/>
    <col min="9987" max="9989" width="9.6640625" style="48"/>
    <col min="9990" max="9990" width="15.44140625" style="48" customWidth="1"/>
    <col min="9991" max="9991" width="16.21875" style="48" customWidth="1"/>
    <col min="9992" max="10003" width="9.6640625" style="48"/>
    <col min="10004" max="10004" width="12" style="48" customWidth="1"/>
    <col min="10005" max="10005" width="12.77734375" style="48" customWidth="1"/>
    <col min="10006" max="10006" width="11.109375" style="48" customWidth="1"/>
    <col min="10007" max="10007" width="12" style="48" customWidth="1"/>
    <col min="10008" max="10008" width="9.6640625" style="48"/>
    <col min="10009" max="10009" width="15.33203125" style="48" customWidth="1"/>
    <col min="10010" max="10010" width="15.21875" style="48" customWidth="1"/>
    <col min="10011" max="10011" width="21.44140625" style="48" customWidth="1"/>
    <col min="10012" max="10027" width="9.6640625" style="48"/>
    <col min="10028" max="10029" width="13.44140625" style="48" customWidth="1"/>
    <col min="10030" max="10030" width="9.6640625" style="48"/>
    <col min="10031" max="10031" width="13.88671875" style="48" customWidth="1"/>
    <col min="10032" max="10032" width="10.6640625" style="48" customWidth="1"/>
    <col min="10033" max="10033" width="17.33203125" style="48" customWidth="1"/>
    <col min="10034" max="10035" width="12.6640625" style="48" customWidth="1"/>
    <col min="10036" max="10036" width="11.21875" style="48" customWidth="1"/>
    <col min="10037" max="10037" width="18.33203125" style="48" customWidth="1"/>
    <col min="10038" max="10038" width="12.88671875" style="48" customWidth="1"/>
    <col min="10039" max="10040" width="13.21875" style="48" customWidth="1"/>
    <col min="10041" max="10041" width="10.88671875" style="48" customWidth="1"/>
    <col min="10042" max="10042" width="11.109375" style="48" customWidth="1"/>
    <col min="10043" max="10043" width="15.21875" style="48" customWidth="1"/>
    <col min="10044" max="10044" width="9.6640625" style="48"/>
    <col min="10045" max="10045" width="11" style="48" customWidth="1"/>
    <col min="10046" max="10046" width="10.77734375" style="48" customWidth="1"/>
    <col min="10047" max="10047" width="11.44140625" style="48" customWidth="1"/>
    <col min="10048" max="10048" width="4" style="48" customWidth="1"/>
    <col min="10049" max="10239" width="9.6640625" style="48"/>
    <col min="10240" max="10240" width="6.44140625" style="48" customWidth="1"/>
    <col min="10241" max="10241" width="13.88671875" style="48" customWidth="1"/>
    <col min="10242" max="10242" width="11.88671875" style="48" customWidth="1"/>
    <col min="10243" max="10245" width="9.6640625" style="48"/>
    <col min="10246" max="10246" width="15.44140625" style="48" customWidth="1"/>
    <col min="10247" max="10247" width="16.21875" style="48" customWidth="1"/>
    <col min="10248" max="10259" width="9.6640625" style="48"/>
    <col min="10260" max="10260" width="12" style="48" customWidth="1"/>
    <col min="10261" max="10261" width="12.77734375" style="48" customWidth="1"/>
    <col min="10262" max="10262" width="11.109375" style="48" customWidth="1"/>
    <col min="10263" max="10263" width="12" style="48" customWidth="1"/>
    <col min="10264" max="10264" width="9.6640625" style="48"/>
    <col min="10265" max="10265" width="15.33203125" style="48" customWidth="1"/>
    <col min="10266" max="10266" width="15.21875" style="48" customWidth="1"/>
    <col min="10267" max="10267" width="21.44140625" style="48" customWidth="1"/>
    <col min="10268" max="10283" width="9.6640625" style="48"/>
    <col min="10284" max="10285" width="13.44140625" style="48" customWidth="1"/>
    <col min="10286" max="10286" width="9.6640625" style="48"/>
    <col min="10287" max="10287" width="13.88671875" style="48" customWidth="1"/>
    <col min="10288" max="10288" width="10.6640625" style="48" customWidth="1"/>
    <col min="10289" max="10289" width="17.33203125" style="48" customWidth="1"/>
    <col min="10290" max="10291" width="12.6640625" style="48" customWidth="1"/>
    <col min="10292" max="10292" width="11.21875" style="48" customWidth="1"/>
    <col min="10293" max="10293" width="18.33203125" style="48" customWidth="1"/>
    <col min="10294" max="10294" width="12.88671875" style="48" customWidth="1"/>
    <col min="10295" max="10296" width="13.21875" style="48" customWidth="1"/>
    <col min="10297" max="10297" width="10.88671875" style="48" customWidth="1"/>
    <col min="10298" max="10298" width="11.109375" style="48" customWidth="1"/>
    <col min="10299" max="10299" width="15.21875" style="48" customWidth="1"/>
    <col min="10300" max="10300" width="9.6640625" style="48"/>
    <col min="10301" max="10301" width="11" style="48" customWidth="1"/>
    <col min="10302" max="10302" width="10.77734375" style="48" customWidth="1"/>
    <col min="10303" max="10303" width="11.44140625" style="48" customWidth="1"/>
    <col min="10304" max="10304" width="4" style="48" customWidth="1"/>
    <col min="10305" max="10495" width="9.6640625" style="48"/>
    <col min="10496" max="10496" width="6.44140625" style="48" customWidth="1"/>
    <col min="10497" max="10497" width="13.88671875" style="48" customWidth="1"/>
    <col min="10498" max="10498" width="11.88671875" style="48" customWidth="1"/>
    <col min="10499" max="10501" width="9.6640625" style="48"/>
    <col min="10502" max="10502" width="15.44140625" style="48" customWidth="1"/>
    <col min="10503" max="10503" width="16.21875" style="48" customWidth="1"/>
    <col min="10504" max="10515" width="9.6640625" style="48"/>
    <col min="10516" max="10516" width="12" style="48" customWidth="1"/>
    <col min="10517" max="10517" width="12.77734375" style="48" customWidth="1"/>
    <col min="10518" max="10518" width="11.109375" style="48" customWidth="1"/>
    <col min="10519" max="10519" width="12" style="48" customWidth="1"/>
    <col min="10520" max="10520" width="9.6640625" style="48"/>
    <col min="10521" max="10521" width="15.33203125" style="48" customWidth="1"/>
    <col min="10522" max="10522" width="15.21875" style="48" customWidth="1"/>
    <col min="10523" max="10523" width="21.44140625" style="48" customWidth="1"/>
    <col min="10524" max="10539" width="9.6640625" style="48"/>
    <col min="10540" max="10541" width="13.44140625" style="48" customWidth="1"/>
    <col min="10542" max="10542" width="9.6640625" style="48"/>
    <col min="10543" max="10543" width="13.88671875" style="48" customWidth="1"/>
    <col min="10544" max="10544" width="10.6640625" style="48" customWidth="1"/>
    <col min="10545" max="10545" width="17.33203125" style="48" customWidth="1"/>
    <col min="10546" max="10547" width="12.6640625" style="48" customWidth="1"/>
    <col min="10548" max="10548" width="11.21875" style="48" customWidth="1"/>
    <col min="10549" max="10549" width="18.33203125" style="48" customWidth="1"/>
    <col min="10550" max="10550" width="12.88671875" style="48" customWidth="1"/>
    <col min="10551" max="10552" width="13.21875" style="48" customWidth="1"/>
    <col min="10553" max="10553" width="10.88671875" style="48" customWidth="1"/>
    <col min="10554" max="10554" width="11.109375" style="48" customWidth="1"/>
    <col min="10555" max="10555" width="15.21875" style="48" customWidth="1"/>
    <col min="10556" max="10556" width="9.6640625" style="48"/>
    <col min="10557" max="10557" width="11" style="48" customWidth="1"/>
    <col min="10558" max="10558" width="10.77734375" style="48" customWidth="1"/>
    <col min="10559" max="10559" width="11.44140625" style="48" customWidth="1"/>
    <col min="10560" max="10560" width="4" style="48" customWidth="1"/>
    <col min="10561" max="10751" width="9.6640625" style="48"/>
    <col min="10752" max="10752" width="6.44140625" style="48" customWidth="1"/>
    <col min="10753" max="10753" width="13.88671875" style="48" customWidth="1"/>
    <col min="10754" max="10754" width="11.88671875" style="48" customWidth="1"/>
    <col min="10755" max="10757" width="9.6640625" style="48"/>
    <col min="10758" max="10758" width="15.44140625" style="48" customWidth="1"/>
    <col min="10759" max="10759" width="16.21875" style="48" customWidth="1"/>
    <col min="10760" max="10771" width="9.6640625" style="48"/>
    <col min="10772" max="10772" width="12" style="48" customWidth="1"/>
    <col min="10773" max="10773" width="12.77734375" style="48" customWidth="1"/>
    <col min="10774" max="10774" width="11.109375" style="48" customWidth="1"/>
    <col min="10775" max="10775" width="12" style="48" customWidth="1"/>
    <col min="10776" max="10776" width="9.6640625" style="48"/>
    <col min="10777" max="10777" width="15.33203125" style="48" customWidth="1"/>
    <col min="10778" max="10778" width="15.21875" style="48" customWidth="1"/>
    <col min="10779" max="10779" width="21.44140625" style="48" customWidth="1"/>
    <col min="10780" max="10795" width="9.6640625" style="48"/>
    <col min="10796" max="10797" width="13.44140625" style="48" customWidth="1"/>
    <col min="10798" max="10798" width="9.6640625" style="48"/>
    <col min="10799" max="10799" width="13.88671875" style="48" customWidth="1"/>
    <col min="10800" max="10800" width="10.6640625" style="48" customWidth="1"/>
    <col min="10801" max="10801" width="17.33203125" style="48" customWidth="1"/>
    <col min="10802" max="10803" width="12.6640625" style="48" customWidth="1"/>
    <col min="10804" max="10804" width="11.21875" style="48" customWidth="1"/>
    <col min="10805" max="10805" width="18.33203125" style="48" customWidth="1"/>
    <col min="10806" max="10806" width="12.88671875" style="48" customWidth="1"/>
    <col min="10807" max="10808" width="13.21875" style="48" customWidth="1"/>
    <col min="10809" max="10809" width="10.88671875" style="48" customWidth="1"/>
    <col min="10810" max="10810" width="11.109375" style="48" customWidth="1"/>
    <col min="10811" max="10811" width="15.21875" style="48" customWidth="1"/>
    <col min="10812" max="10812" width="9.6640625" style="48"/>
    <col min="10813" max="10813" width="11" style="48" customWidth="1"/>
    <col min="10814" max="10814" width="10.77734375" style="48" customWidth="1"/>
    <col min="10815" max="10815" width="11.44140625" style="48" customWidth="1"/>
    <col min="10816" max="10816" width="4" style="48" customWidth="1"/>
    <col min="10817" max="11007" width="9.6640625" style="48"/>
    <col min="11008" max="11008" width="6.44140625" style="48" customWidth="1"/>
    <col min="11009" max="11009" width="13.88671875" style="48" customWidth="1"/>
    <col min="11010" max="11010" width="11.88671875" style="48" customWidth="1"/>
    <col min="11011" max="11013" width="9.6640625" style="48"/>
    <col min="11014" max="11014" width="15.44140625" style="48" customWidth="1"/>
    <col min="11015" max="11015" width="16.21875" style="48" customWidth="1"/>
    <col min="11016" max="11027" width="9.6640625" style="48"/>
    <col min="11028" max="11028" width="12" style="48" customWidth="1"/>
    <col min="11029" max="11029" width="12.77734375" style="48" customWidth="1"/>
    <col min="11030" max="11030" width="11.109375" style="48" customWidth="1"/>
    <col min="11031" max="11031" width="12" style="48" customWidth="1"/>
    <col min="11032" max="11032" width="9.6640625" style="48"/>
    <col min="11033" max="11033" width="15.33203125" style="48" customWidth="1"/>
    <col min="11034" max="11034" width="15.21875" style="48" customWidth="1"/>
    <col min="11035" max="11035" width="21.44140625" style="48" customWidth="1"/>
    <col min="11036" max="11051" width="9.6640625" style="48"/>
    <col min="11052" max="11053" width="13.44140625" style="48" customWidth="1"/>
    <col min="11054" max="11054" width="9.6640625" style="48"/>
    <col min="11055" max="11055" width="13.88671875" style="48" customWidth="1"/>
    <col min="11056" max="11056" width="10.6640625" style="48" customWidth="1"/>
    <col min="11057" max="11057" width="17.33203125" style="48" customWidth="1"/>
    <col min="11058" max="11059" width="12.6640625" style="48" customWidth="1"/>
    <col min="11060" max="11060" width="11.21875" style="48" customWidth="1"/>
    <col min="11061" max="11061" width="18.33203125" style="48" customWidth="1"/>
    <col min="11062" max="11062" width="12.88671875" style="48" customWidth="1"/>
    <col min="11063" max="11064" width="13.21875" style="48" customWidth="1"/>
    <col min="11065" max="11065" width="10.88671875" style="48" customWidth="1"/>
    <col min="11066" max="11066" width="11.109375" style="48" customWidth="1"/>
    <col min="11067" max="11067" width="15.21875" style="48" customWidth="1"/>
    <col min="11068" max="11068" width="9.6640625" style="48"/>
    <col min="11069" max="11069" width="11" style="48" customWidth="1"/>
    <col min="11070" max="11070" width="10.77734375" style="48" customWidth="1"/>
    <col min="11071" max="11071" width="11.44140625" style="48" customWidth="1"/>
    <col min="11072" max="11072" width="4" style="48" customWidth="1"/>
    <col min="11073" max="11263" width="9.6640625" style="48"/>
    <col min="11264" max="11264" width="6.44140625" style="48" customWidth="1"/>
    <col min="11265" max="11265" width="13.88671875" style="48" customWidth="1"/>
    <col min="11266" max="11266" width="11.88671875" style="48" customWidth="1"/>
    <col min="11267" max="11269" width="9.6640625" style="48"/>
    <col min="11270" max="11270" width="15.44140625" style="48" customWidth="1"/>
    <col min="11271" max="11271" width="16.21875" style="48" customWidth="1"/>
    <col min="11272" max="11283" width="9.6640625" style="48"/>
    <col min="11284" max="11284" width="12" style="48" customWidth="1"/>
    <col min="11285" max="11285" width="12.77734375" style="48" customWidth="1"/>
    <col min="11286" max="11286" width="11.109375" style="48" customWidth="1"/>
    <col min="11287" max="11287" width="12" style="48" customWidth="1"/>
    <col min="11288" max="11288" width="9.6640625" style="48"/>
    <col min="11289" max="11289" width="15.33203125" style="48" customWidth="1"/>
    <col min="11290" max="11290" width="15.21875" style="48" customWidth="1"/>
    <col min="11291" max="11291" width="21.44140625" style="48" customWidth="1"/>
    <col min="11292" max="11307" width="9.6640625" style="48"/>
    <col min="11308" max="11309" width="13.44140625" style="48" customWidth="1"/>
    <col min="11310" max="11310" width="9.6640625" style="48"/>
    <col min="11311" max="11311" width="13.88671875" style="48" customWidth="1"/>
    <col min="11312" max="11312" width="10.6640625" style="48" customWidth="1"/>
    <col min="11313" max="11313" width="17.33203125" style="48" customWidth="1"/>
    <col min="11314" max="11315" width="12.6640625" style="48" customWidth="1"/>
    <col min="11316" max="11316" width="11.21875" style="48" customWidth="1"/>
    <col min="11317" max="11317" width="18.33203125" style="48" customWidth="1"/>
    <col min="11318" max="11318" width="12.88671875" style="48" customWidth="1"/>
    <col min="11319" max="11320" width="13.21875" style="48" customWidth="1"/>
    <col min="11321" max="11321" width="10.88671875" style="48" customWidth="1"/>
    <col min="11322" max="11322" width="11.109375" style="48" customWidth="1"/>
    <col min="11323" max="11323" width="15.21875" style="48" customWidth="1"/>
    <col min="11324" max="11324" width="9.6640625" style="48"/>
    <col min="11325" max="11325" width="11" style="48" customWidth="1"/>
    <col min="11326" max="11326" width="10.77734375" style="48" customWidth="1"/>
    <col min="11327" max="11327" width="11.44140625" style="48" customWidth="1"/>
    <col min="11328" max="11328" width="4" style="48" customWidth="1"/>
    <col min="11329" max="11519" width="9.6640625" style="48"/>
    <col min="11520" max="11520" width="6.44140625" style="48" customWidth="1"/>
    <col min="11521" max="11521" width="13.88671875" style="48" customWidth="1"/>
    <col min="11522" max="11522" width="11.88671875" style="48" customWidth="1"/>
    <col min="11523" max="11525" width="9.6640625" style="48"/>
    <col min="11526" max="11526" width="15.44140625" style="48" customWidth="1"/>
    <col min="11527" max="11527" width="16.21875" style="48" customWidth="1"/>
    <col min="11528" max="11539" width="9.6640625" style="48"/>
    <col min="11540" max="11540" width="12" style="48" customWidth="1"/>
    <col min="11541" max="11541" width="12.77734375" style="48" customWidth="1"/>
    <col min="11542" max="11542" width="11.109375" style="48" customWidth="1"/>
    <col min="11543" max="11543" width="12" style="48" customWidth="1"/>
    <col min="11544" max="11544" width="9.6640625" style="48"/>
    <col min="11545" max="11545" width="15.33203125" style="48" customWidth="1"/>
    <col min="11546" max="11546" width="15.21875" style="48" customWidth="1"/>
    <col min="11547" max="11547" width="21.44140625" style="48" customWidth="1"/>
    <col min="11548" max="11563" width="9.6640625" style="48"/>
    <col min="11564" max="11565" width="13.44140625" style="48" customWidth="1"/>
    <col min="11566" max="11566" width="9.6640625" style="48"/>
    <col min="11567" max="11567" width="13.88671875" style="48" customWidth="1"/>
    <col min="11568" max="11568" width="10.6640625" style="48" customWidth="1"/>
    <col min="11569" max="11569" width="17.33203125" style="48" customWidth="1"/>
    <col min="11570" max="11571" width="12.6640625" style="48" customWidth="1"/>
    <col min="11572" max="11572" width="11.21875" style="48" customWidth="1"/>
    <col min="11573" max="11573" width="18.33203125" style="48" customWidth="1"/>
    <col min="11574" max="11574" width="12.88671875" style="48" customWidth="1"/>
    <col min="11575" max="11576" width="13.21875" style="48" customWidth="1"/>
    <col min="11577" max="11577" width="10.88671875" style="48" customWidth="1"/>
    <col min="11578" max="11578" width="11.109375" style="48" customWidth="1"/>
    <col min="11579" max="11579" width="15.21875" style="48" customWidth="1"/>
    <col min="11580" max="11580" width="9.6640625" style="48"/>
    <col min="11581" max="11581" width="11" style="48" customWidth="1"/>
    <col min="11582" max="11582" width="10.77734375" style="48" customWidth="1"/>
    <col min="11583" max="11583" width="11.44140625" style="48" customWidth="1"/>
    <col min="11584" max="11584" width="4" style="48" customWidth="1"/>
    <col min="11585" max="11775" width="9.6640625" style="48"/>
    <col min="11776" max="11776" width="6.44140625" style="48" customWidth="1"/>
    <col min="11777" max="11777" width="13.88671875" style="48" customWidth="1"/>
    <col min="11778" max="11778" width="11.88671875" style="48" customWidth="1"/>
    <col min="11779" max="11781" width="9.6640625" style="48"/>
    <col min="11782" max="11782" width="15.44140625" style="48" customWidth="1"/>
    <col min="11783" max="11783" width="16.21875" style="48" customWidth="1"/>
    <col min="11784" max="11795" width="9.6640625" style="48"/>
    <col min="11796" max="11796" width="12" style="48" customWidth="1"/>
    <col min="11797" max="11797" width="12.77734375" style="48" customWidth="1"/>
    <col min="11798" max="11798" width="11.109375" style="48" customWidth="1"/>
    <col min="11799" max="11799" width="12" style="48" customWidth="1"/>
    <col min="11800" max="11800" width="9.6640625" style="48"/>
    <col min="11801" max="11801" width="15.33203125" style="48" customWidth="1"/>
    <col min="11802" max="11802" width="15.21875" style="48" customWidth="1"/>
    <col min="11803" max="11803" width="21.44140625" style="48" customWidth="1"/>
    <col min="11804" max="11819" width="9.6640625" style="48"/>
    <col min="11820" max="11821" width="13.44140625" style="48" customWidth="1"/>
    <col min="11822" max="11822" width="9.6640625" style="48"/>
    <col min="11823" max="11823" width="13.88671875" style="48" customWidth="1"/>
    <col min="11824" max="11824" width="10.6640625" style="48" customWidth="1"/>
    <col min="11825" max="11825" width="17.33203125" style="48" customWidth="1"/>
    <col min="11826" max="11827" width="12.6640625" style="48" customWidth="1"/>
    <col min="11828" max="11828" width="11.21875" style="48" customWidth="1"/>
    <col min="11829" max="11829" width="18.33203125" style="48" customWidth="1"/>
    <col min="11830" max="11830" width="12.88671875" style="48" customWidth="1"/>
    <col min="11831" max="11832" width="13.21875" style="48" customWidth="1"/>
    <col min="11833" max="11833" width="10.88671875" style="48" customWidth="1"/>
    <col min="11834" max="11834" width="11.109375" style="48" customWidth="1"/>
    <col min="11835" max="11835" width="15.21875" style="48" customWidth="1"/>
    <col min="11836" max="11836" width="9.6640625" style="48"/>
    <col min="11837" max="11837" width="11" style="48" customWidth="1"/>
    <col min="11838" max="11838" width="10.77734375" style="48" customWidth="1"/>
    <col min="11839" max="11839" width="11.44140625" style="48" customWidth="1"/>
    <col min="11840" max="11840" width="4" style="48" customWidth="1"/>
    <col min="11841" max="12031" width="9.6640625" style="48"/>
    <col min="12032" max="12032" width="6.44140625" style="48" customWidth="1"/>
    <col min="12033" max="12033" width="13.88671875" style="48" customWidth="1"/>
    <col min="12034" max="12034" width="11.88671875" style="48" customWidth="1"/>
    <col min="12035" max="12037" width="9.6640625" style="48"/>
    <col min="12038" max="12038" width="15.44140625" style="48" customWidth="1"/>
    <col min="12039" max="12039" width="16.21875" style="48" customWidth="1"/>
    <col min="12040" max="12051" width="9.6640625" style="48"/>
    <col min="12052" max="12052" width="12" style="48" customWidth="1"/>
    <col min="12053" max="12053" width="12.77734375" style="48" customWidth="1"/>
    <col min="12054" max="12054" width="11.109375" style="48" customWidth="1"/>
    <col min="12055" max="12055" width="12" style="48" customWidth="1"/>
    <col min="12056" max="12056" width="9.6640625" style="48"/>
    <col min="12057" max="12057" width="15.33203125" style="48" customWidth="1"/>
    <col min="12058" max="12058" width="15.21875" style="48" customWidth="1"/>
    <col min="12059" max="12059" width="21.44140625" style="48" customWidth="1"/>
    <col min="12060" max="12075" width="9.6640625" style="48"/>
    <col min="12076" max="12077" width="13.44140625" style="48" customWidth="1"/>
    <col min="12078" max="12078" width="9.6640625" style="48"/>
    <col min="12079" max="12079" width="13.88671875" style="48" customWidth="1"/>
    <col min="12080" max="12080" width="10.6640625" style="48" customWidth="1"/>
    <col min="12081" max="12081" width="17.33203125" style="48" customWidth="1"/>
    <col min="12082" max="12083" width="12.6640625" style="48" customWidth="1"/>
    <col min="12084" max="12084" width="11.21875" style="48" customWidth="1"/>
    <col min="12085" max="12085" width="18.33203125" style="48" customWidth="1"/>
    <col min="12086" max="12086" width="12.88671875" style="48" customWidth="1"/>
    <col min="12087" max="12088" width="13.21875" style="48" customWidth="1"/>
    <col min="12089" max="12089" width="10.88671875" style="48" customWidth="1"/>
    <col min="12090" max="12090" width="11.109375" style="48" customWidth="1"/>
    <col min="12091" max="12091" width="15.21875" style="48" customWidth="1"/>
    <col min="12092" max="12092" width="9.6640625" style="48"/>
    <col min="12093" max="12093" width="11" style="48" customWidth="1"/>
    <col min="12094" max="12094" width="10.77734375" style="48" customWidth="1"/>
    <col min="12095" max="12095" width="11.44140625" style="48" customWidth="1"/>
    <col min="12096" max="12096" width="4" style="48" customWidth="1"/>
    <col min="12097" max="12287" width="9.6640625" style="48"/>
    <col min="12288" max="12288" width="6.44140625" style="48" customWidth="1"/>
    <col min="12289" max="12289" width="13.88671875" style="48" customWidth="1"/>
    <col min="12290" max="12290" width="11.88671875" style="48" customWidth="1"/>
    <col min="12291" max="12293" width="9.6640625" style="48"/>
    <col min="12294" max="12294" width="15.44140625" style="48" customWidth="1"/>
    <col min="12295" max="12295" width="16.21875" style="48" customWidth="1"/>
    <col min="12296" max="12307" width="9.6640625" style="48"/>
    <col min="12308" max="12308" width="12" style="48" customWidth="1"/>
    <col min="12309" max="12309" width="12.77734375" style="48" customWidth="1"/>
    <col min="12310" max="12310" width="11.109375" style="48" customWidth="1"/>
    <col min="12311" max="12311" width="12" style="48" customWidth="1"/>
    <col min="12312" max="12312" width="9.6640625" style="48"/>
    <col min="12313" max="12313" width="15.33203125" style="48" customWidth="1"/>
    <col min="12314" max="12314" width="15.21875" style="48" customWidth="1"/>
    <col min="12315" max="12315" width="21.44140625" style="48" customWidth="1"/>
    <col min="12316" max="12331" width="9.6640625" style="48"/>
    <col min="12332" max="12333" width="13.44140625" style="48" customWidth="1"/>
    <col min="12334" max="12334" width="9.6640625" style="48"/>
    <col min="12335" max="12335" width="13.88671875" style="48" customWidth="1"/>
    <col min="12336" max="12336" width="10.6640625" style="48" customWidth="1"/>
    <col min="12337" max="12337" width="17.33203125" style="48" customWidth="1"/>
    <col min="12338" max="12339" width="12.6640625" style="48" customWidth="1"/>
    <col min="12340" max="12340" width="11.21875" style="48" customWidth="1"/>
    <col min="12341" max="12341" width="18.33203125" style="48" customWidth="1"/>
    <col min="12342" max="12342" width="12.88671875" style="48" customWidth="1"/>
    <col min="12343" max="12344" width="13.21875" style="48" customWidth="1"/>
    <col min="12345" max="12345" width="10.88671875" style="48" customWidth="1"/>
    <col min="12346" max="12346" width="11.109375" style="48" customWidth="1"/>
    <col min="12347" max="12347" width="15.21875" style="48" customWidth="1"/>
    <col min="12348" max="12348" width="9.6640625" style="48"/>
    <col min="12349" max="12349" width="11" style="48" customWidth="1"/>
    <col min="12350" max="12350" width="10.77734375" style="48" customWidth="1"/>
    <col min="12351" max="12351" width="11.44140625" style="48" customWidth="1"/>
    <col min="12352" max="12352" width="4" style="48" customWidth="1"/>
    <col min="12353" max="12543" width="9.6640625" style="48"/>
    <col min="12544" max="12544" width="6.44140625" style="48" customWidth="1"/>
    <col min="12545" max="12545" width="13.88671875" style="48" customWidth="1"/>
    <col min="12546" max="12546" width="11.88671875" style="48" customWidth="1"/>
    <col min="12547" max="12549" width="9.6640625" style="48"/>
    <col min="12550" max="12550" width="15.44140625" style="48" customWidth="1"/>
    <col min="12551" max="12551" width="16.21875" style="48" customWidth="1"/>
    <col min="12552" max="12563" width="9.6640625" style="48"/>
    <col min="12564" max="12564" width="12" style="48" customWidth="1"/>
    <col min="12565" max="12565" width="12.77734375" style="48" customWidth="1"/>
    <col min="12566" max="12566" width="11.109375" style="48" customWidth="1"/>
    <col min="12567" max="12567" width="12" style="48" customWidth="1"/>
    <col min="12568" max="12568" width="9.6640625" style="48"/>
    <col min="12569" max="12569" width="15.33203125" style="48" customWidth="1"/>
    <col min="12570" max="12570" width="15.21875" style="48" customWidth="1"/>
    <col min="12571" max="12571" width="21.44140625" style="48" customWidth="1"/>
    <col min="12572" max="12587" width="9.6640625" style="48"/>
    <col min="12588" max="12589" width="13.44140625" style="48" customWidth="1"/>
    <col min="12590" max="12590" width="9.6640625" style="48"/>
    <col min="12591" max="12591" width="13.88671875" style="48" customWidth="1"/>
    <col min="12592" max="12592" width="10.6640625" style="48" customWidth="1"/>
    <col min="12593" max="12593" width="17.33203125" style="48" customWidth="1"/>
    <col min="12594" max="12595" width="12.6640625" style="48" customWidth="1"/>
    <col min="12596" max="12596" width="11.21875" style="48" customWidth="1"/>
    <col min="12597" max="12597" width="18.33203125" style="48" customWidth="1"/>
    <col min="12598" max="12598" width="12.88671875" style="48" customWidth="1"/>
    <col min="12599" max="12600" width="13.21875" style="48" customWidth="1"/>
    <col min="12601" max="12601" width="10.88671875" style="48" customWidth="1"/>
    <col min="12602" max="12602" width="11.109375" style="48" customWidth="1"/>
    <col min="12603" max="12603" width="15.21875" style="48" customWidth="1"/>
    <col min="12604" max="12604" width="9.6640625" style="48"/>
    <col min="12605" max="12605" width="11" style="48" customWidth="1"/>
    <col min="12606" max="12606" width="10.77734375" style="48" customWidth="1"/>
    <col min="12607" max="12607" width="11.44140625" style="48" customWidth="1"/>
    <col min="12608" max="12608" width="4" style="48" customWidth="1"/>
    <col min="12609" max="12799" width="9.6640625" style="48"/>
    <col min="12800" max="12800" width="6.44140625" style="48" customWidth="1"/>
    <col min="12801" max="12801" width="13.88671875" style="48" customWidth="1"/>
    <col min="12802" max="12802" width="11.88671875" style="48" customWidth="1"/>
    <col min="12803" max="12805" width="9.6640625" style="48"/>
    <col min="12806" max="12806" width="15.44140625" style="48" customWidth="1"/>
    <col min="12807" max="12807" width="16.21875" style="48" customWidth="1"/>
    <col min="12808" max="12819" width="9.6640625" style="48"/>
    <col min="12820" max="12820" width="12" style="48" customWidth="1"/>
    <col min="12821" max="12821" width="12.77734375" style="48" customWidth="1"/>
    <col min="12822" max="12822" width="11.109375" style="48" customWidth="1"/>
    <col min="12823" max="12823" width="12" style="48" customWidth="1"/>
    <col min="12824" max="12824" width="9.6640625" style="48"/>
    <col min="12825" max="12825" width="15.33203125" style="48" customWidth="1"/>
    <col min="12826" max="12826" width="15.21875" style="48" customWidth="1"/>
    <col min="12827" max="12827" width="21.44140625" style="48" customWidth="1"/>
    <col min="12828" max="12843" width="9.6640625" style="48"/>
    <col min="12844" max="12845" width="13.44140625" style="48" customWidth="1"/>
    <col min="12846" max="12846" width="9.6640625" style="48"/>
    <col min="12847" max="12847" width="13.88671875" style="48" customWidth="1"/>
    <col min="12848" max="12848" width="10.6640625" style="48" customWidth="1"/>
    <col min="12849" max="12849" width="17.33203125" style="48" customWidth="1"/>
    <col min="12850" max="12851" width="12.6640625" style="48" customWidth="1"/>
    <col min="12852" max="12852" width="11.21875" style="48" customWidth="1"/>
    <col min="12853" max="12853" width="18.33203125" style="48" customWidth="1"/>
    <col min="12854" max="12854" width="12.88671875" style="48" customWidth="1"/>
    <col min="12855" max="12856" width="13.21875" style="48" customWidth="1"/>
    <col min="12857" max="12857" width="10.88671875" style="48" customWidth="1"/>
    <col min="12858" max="12858" width="11.109375" style="48" customWidth="1"/>
    <col min="12859" max="12859" width="15.21875" style="48" customWidth="1"/>
    <col min="12860" max="12860" width="9.6640625" style="48"/>
    <col min="12861" max="12861" width="11" style="48" customWidth="1"/>
    <col min="12862" max="12862" width="10.77734375" style="48" customWidth="1"/>
    <col min="12863" max="12863" width="11.44140625" style="48" customWidth="1"/>
    <col min="12864" max="12864" width="4" style="48" customWidth="1"/>
    <col min="12865" max="13055" width="9.6640625" style="48"/>
    <col min="13056" max="13056" width="6.44140625" style="48" customWidth="1"/>
    <col min="13057" max="13057" width="13.88671875" style="48" customWidth="1"/>
    <col min="13058" max="13058" width="11.88671875" style="48" customWidth="1"/>
    <col min="13059" max="13061" width="9.6640625" style="48"/>
    <col min="13062" max="13062" width="15.44140625" style="48" customWidth="1"/>
    <col min="13063" max="13063" width="16.21875" style="48" customWidth="1"/>
    <col min="13064" max="13075" width="9.6640625" style="48"/>
    <col min="13076" max="13076" width="12" style="48" customWidth="1"/>
    <col min="13077" max="13077" width="12.77734375" style="48" customWidth="1"/>
    <col min="13078" max="13078" width="11.109375" style="48" customWidth="1"/>
    <col min="13079" max="13079" width="12" style="48" customWidth="1"/>
    <col min="13080" max="13080" width="9.6640625" style="48"/>
    <col min="13081" max="13081" width="15.33203125" style="48" customWidth="1"/>
    <col min="13082" max="13082" width="15.21875" style="48" customWidth="1"/>
    <col min="13083" max="13083" width="21.44140625" style="48" customWidth="1"/>
    <col min="13084" max="13099" width="9.6640625" style="48"/>
    <col min="13100" max="13101" width="13.44140625" style="48" customWidth="1"/>
    <col min="13102" max="13102" width="9.6640625" style="48"/>
    <col min="13103" max="13103" width="13.88671875" style="48" customWidth="1"/>
    <col min="13104" max="13104" width="10.6640625" style="48" customWidth="1"/>
    <col min="13105" max="13105" width="17.33203125" style="48" customWidth="1"/>
    <col min="13106" max="13107" width="12.6640625" style="48" customWidth="1"/>
    <col min="13108" max="13108" width="11.21875" style="48" customWidth="1"/>
    <col min="13109" max="13109" width="18.33203125" style="48" customWidth="1"/>
    <col min="13110" max="13110" width="12.88671875" style="48" customWidth="1"/>
    <col min="13111" max="13112" width="13.21875" style="48" customWidth="1"/>
    <col min="13113" max="13113" width="10.88671875" style="48" customWidth="1"/>
    <col min="13114" max="13114" width="11.109375" style="48" customWidth="1"/>
    <col min="13115" max="13115" width="15.21875" style="48" customWidth="1"/>
    <col min="13116" max="13116" width="9.6640625" style="48"/>
    <col min="13117" max="13117" width="11" style="48" customWidth="1"/>
    <col min="13118" max="13118" width="10.77734375" style="48" customWidth="1"/>
    <col min="13119" max="13119" width="11.44140625" style="48" customWidth="1"/>
    <col min="13120" max="13120" width="4" style="48" customWidth="1"/>
    <col min="13121" max="13311" width="9.6640625" style="48"/>
    <col min="13312" max="13312" width="6.44140625" style="48" customWidth="1"/>
    <col min="13313" max="13313" width="13.88671875" style="48" customWidth="1"/>
    <col min="13314" max="13314" width="11.88671875" style="48" customWidth="1"/>
    <col min="13315" max="13317" width="9.6640625" style="48"/>
    <col min="13318" max="13318" width="15.44140625" style="48" customWidth="1"/>
    <col min="13319" max="13319" width="16.21875" style="48" customWidth="1"/>
    <col min="13320" max="13331" width="9.6640625" style="48"/>
    <col min="13332" max="13332" width="12" style="48" customWidth="1"/>
    <col min="13333" max="13333" width="12.77734375" style="48" customWidth="1"/>
    <col min="13334" max="13334" width="11.109375" style="48" customWidth="1"/>
    <col min="13335" max="13335" width="12" style="48" customWidth="1"/>
    <col min="13336" max="13336" width="9.6640625" style="48"/>
    <col min="13337" max="13337" width="15.33203125" style="48" customWidth="1"/>
    <col min="13338" max="13338" width="15.21875" style="48" customWidth="1"/>
    <col min="13339" max="13339" width="21.44140625" style="48" customWidth="1"/>
    <col min="13340" max="13355" width="9.6640625" style="48"/>
    <col min="13356" max="13357" width="13.44140625" style="48" customWidth="1"/>
    <col min="13358" max="13358" width="9.6640625" style="48"/>
    <col min="13359" max="13359" width="13.88671875" style="48" customWidth="1"/>
    <col min="13360" max="13360" width="10.6640625" style="48" customWidth="1"/>
    <col min="13361" max="13361" width="17.33203125" style="48" customWidth="1"/>
    <col min="13362" max="13363" width="12.6640625" style="48" customWidth="1"/>
    <col min="13364" max="13364" width="11.21875" style="48" customWidth="1"/>
    <col min="13365" max="13365" width="18.33203125" style="48" customWidth="1"/>
    <col min="13366" max="13366" width="12.88671875" style="48" customWidth="1"/>
    <col min="13367" max="13368" width="13.21875" style="48" customWidth="1"/>
    <col min="13369" max="13369" width="10.88671875" style="48" customWidth="1"/>
    <col min="13370" max="13370" width="11.109375" style="48" customWidth="1"/>
    <col min="13371" max="13371" width="15.21875" style="48" customWidth="1"/>
    <col min="13372" max="13372" width="9.6640625" style="48"/>
    <col min="13373" max="13373" width="11" style="48" customWidth="1"/>
    <col min="13374" max="13374" width="10.77734375" style="48" customWidth="1"/>
    <col min="13375" max="13375" width="11.44140625" style="48" customWidth="1"/>
    <col min="13376" max="13376" width="4" style="48" customWidth="1"/>
    <col min="13377" max="13567" width="9.6640625" style="48"/>
    <col min="13568" max="13568" width="6.44140625" style="48" customWidth="1"/>
    <col min="13569" max="13569" width="13.88671875" style="48" customWidth="1"/>
    <col min="13570" max="13570" width="11.88671875" style="48" customWidth="1"/>
    <col min="13571" max="13573" width="9.6640625" style="48"/>
    <col min="13574" max="13574" width="15.44140625" style="48" customWidth="1"/>
    <col min="13575" max="13575" width="16.21875" style="48" customWidth="1"/>
    <col min="13576" max="13587" width="9.6640625" style="48"/>
    <col min="13588" max="13588" width="12" style="48" customWidth="1"/>
    <col min="13589" max="13589" width="12.77734375" style="48" customWidth="1"/>
    <col min="13590" max="13590" width="11.109375" style="48" customWidth="1"/>
    <col min="13591" max="13591" width="12" style="48" customWidth="1"/>
    <col min="13592" max="13592" width="9.6640625" style="48"/>
    <col min="13593" max="13593" width="15.33203125" style="48" customWidth="1"/>
    <col min="13594" max="13594" width="15.21875" style="48" customWidth="1"/>
    <col min="13595" max="13595" width="21.44140625" style="48" customWidth="1"/>
    <col min="13596" max="13611" width="9.6640625" style="48"/>
    <col min="13612" max="13613" width="13.44140625" style="48" customWidth="1"/>
    <col min="13614" max="13614" width="9.6640625" style="48"/>
    <col min="13615" max="13615" width="13.88671875" style="48" customWidth="1"/>
    <col min="13616" max="13616" width="10.6640625" style="48" customWidth="1"/>
    <col min="13617" max="13617" width="17.33203125" style="48" customWidth="1"/>
    <col min="13618" max="13619" width="12.6640625" style="48" customWidth="1"/>
    <col min="13620" max="13620" width="11.21875" style="48" customWidth="1"/>
    <col min="13621" max="13621" width="18.33203125" style="48" customWidth="1"/>
    <col min="13622" max="13622" width="12.88671875" style="48" customWidth="1"/>
    <col min="13623" max="13624" width="13.21875" style="48" customWidth="1"/>
    <col min="13625" max="13625" width="10.88671875" style="48" customWidth="1"/>
    <col min="13626" max="13626" width="11.109375" style="48" customWidth="1"/>
    <col min="13627" max="13627" width="15.21875" style="48" customWidth="1"/>
    <col min="13628" max="13628" width="9.6640625" style="48"/>
    <col min="13629" max="13629" width="11" style="48" customWidth="1"/>
    <col min="13630" max="13630" width="10.77734375" style="48" customWidth="1"/>
    <col min="13631" max="13631" width="11.44140625" style="48" customWidth="1"/>
    <col min="13632" max="13632" width="4" style="48" customWidth="1"/>
    <col min="13633" max="13823" width="9.6640625" style="48"/>
    <col min="13824" max="13824" width="6.44140625" style="48" customWidth="1"/>
    <col min="13825" max="13825" width="13.88671875" style="48" customWidth="1"/>
    <col min="13826" max="13826" width="11.88671875" style="48" customWidth="1"/>
    <col min="13827" max="13829" width="9.6640625" style="48"/>
    <col min="13830" max="13830" width="15.44140625" style="48" customWidth="1"/>
    <col min="13831" max="13831" width="16.21875" style="48" customWidth="1"/>
    <col min="13832" max="13843" width="9.6640625" style="48"/>
    <col min="13844" max="13844" width="12" style="48" customWidth="1"/>
    <col min="13845" max="13845" width="12.77734375" style="48" customWidth="1"/>
    <col min="13846" max="13846" width="11.109375" style="48" customWidth="1"/>
    <col min="13847" max="13847" width="12" style="48" customWidth="1"/>
    <col min="13848" max="13848" width="9.6640625" style="48"/>
    <col min="13849" max="13849" width="15.33203125" style="48" customWidth="1"/>
    <col min="13850" max="13850" width="15.21875" style="48" customWidth="1"/>
    <col min="13851" max="13851" width="21.44140625" style="48" customWidth="1"/>
    <col min="13852" max="13867" width="9.6640625" style="48"/>
    <col min="13868" max="13869" width="13.44140625" style="48" customWidth="1"/>
    <col min="13870" max="13870" width="9.6640625" style="48"/>
    <col min="13871" max="13871" width="13.88671875" style="48" customWidth="1"/>
    <col min="13872" max="13872" width="10.6640625" style="48" customWidth="1"/>
    <col min="13873" max="13873" width="17.33203125" style="48" customWidth="1"/>
    <col min="13874" max="13875" width="12.6640625" style="48" customWidth="1"/>
    <col min="13876" max="13876" width="11.21875" style="48" customWidth="1"/>
    <col min="13877" max="13877" width="18.33203125" style="48" customWidth="1"/>
    <col min="13878" max="13878" width="12.88671875" style="48" customWidth="1"/>
    <col min="13879" max="13880" width="13.21875" style="48" customWidth="1"/>
    <col min="13881" max="13881" width="10.88671875" style="48" customWidth="1"/>
    <col min="13882" max="13882" width="11.109375" style="48" customWidth="1"/>
    <col min="13883" max="13883" width="15.21875" style="48" customWidth="1"/>
    <col min="13884" max="13884" width="9.6640625" style="48"/>
    <col min="13885" max="13885" width="11" style="48" customWidth="1"/>
    <col min="13886" max="13886" width="10.77734375" style="48" customWidth="1"/>
    <col min="13887" max="13887" width="11.44140625" style="48" customWidth="1"/>
    <col min="13888" max="13888" width="4" style="48" customWidth="1"/>
    <col min="13889" max="14079" width="9.6640625" style="48"/>
    <col min="14080" max="14080" width="6.44140625" style="48" customWidth="1"/>
    <col min="14081" max="14081" width="13.88671875" style="48" customWidth="1"/>
    <col min="14082" max="14082" width="11.88671875" style="48" customWidth="1"/>
    <col min="14083" max="14085" width="9.6640625" style="48"/>
    <col min="14086" max="14086" width="15.44140625" style="48" customWidth="1"/>
    <col min="14087" max="14087" width="16.21875" style="48" customWidth="1"/>
    <col min="14088" max="14099" width="9.6640625" style="48"/>
    <col min="14100" max="14100" width="12" style="48" customWidth="1"/>
    <col min="14101" max="14101" width="12.77734375" style="48" customWidth="1"/>
    <col min="14102" max="14102" width="11.109375" style="48" customWidth="1"/>
    <col min="14103" max="14103" width="12" style="48" customWidth="1"/>
    <col min="14104" max="14104" width="9.6640625" style="48"/>
    <col min="14105" max="14105" width="15.33203125" style="48" customWidth="1"/>
    <col min="14106" max="14106" width="15.21875" style="48" customWidth="1"/>
    <col min="14107" max="14107" width="21.44140625" style="48" customWidth="1"/>
    <col min="14108" max="14123" width="9.6640625" style="48"/>
    <col min="14124" max="14125" width="13.44140625" style="48" customWidth="1"/>
    <col min="14126" max="14126" width="9.6640625" style="48"/>
    <col min="14127" max="14127" width="13.88671875" style="48" customWidth="1"/>
    <col min="14128" max="14128" width="10.6640625" style="48" customWidth="1"/>
    <col min="14129" max="14129" width="17.33203125" style="48" customWidth="1"/>
    <col min="14130" max="14131" width="12.6640625" style="48" customWidth="1"/>
    <col min="14132" max="14132" width="11.21875" style="48" customWidth="1"/>
    <col min="14133" max="14133" width="18.33203125" style="48" customWidth="1"/>
    <col min="14134" max="14134" width="12.88671875" style="48" customWidth="1"/>
    <col min="14135" max="14136" width="13.21875" style="48" customWidth="1"/>
    <col min="14137" max="14137" width="10.88671875" style="48" customWidth="1"/>
    <col min="14138" max="14138" width="11.109375" style="48" customWidth="1"/>
    <col min="14139" max="14139" width="15.21875" style="48" customWidth="1"/>
    <col min="14140" max="14140" width="9.6640625" style="48"/>
    <col min="14141" max="14141" width="11" style="48" customWidth="1"/>
    <col min="14142" max="14142" width="10.77734375" style="48" customWidth="1"/>
    <col min="14143" max="14143" width="11.44140625" style="48" customWidth="1"/>
    <col min="14144" max="14144" width="4" style="48" customWidth="1"/>
    <col min="14145" max="14335" width="9.6640625" style="48"/>
    <col min="14336" max="14336" width="6.44140625" style="48" customWidth="1"/>
    <col min="14337" max="14337" width="13.88671875" style="48" customWidth="1"/>
    <col min="14338" max="14338" width="11.88671875" style="48" customWidth="1"/>
    <col min="14339" max="14341" width="9.6640625" style="48"/>
    <col min="14342" max="14342" width="15.44140625" style="48" customWidth="1"/>
    <col min="14343" max="14343" width="16.21875" style="48" customWidth="1"/>
    <col min="14344" max="14355" width="9.6640625" style="48"/>
    <col min="14356" max="14356" width="12" style="48" customWidth="1"/>
    <col min="14357" max="14357" width="12.77734375" style="48" customWidth="1"/>
    <col min="14358" max="14358" width="11.109375" style="48" customWidth="1"/>
    <col min="14359" max="14359" width="12" style="48" customWidth="1"/>
    <col min="14360" max="14360" width="9.6640625" style="48"/>
    <col min="14361" max="14361" width="15.33203125" style="48" customWidth="1"/>
    <col min="14362" max="14362" width="15.21875" style="48" customWidth="1"/>
    <col min="14363" max="14363" width="21.44140625" style="48" customWidth="1"/>
    <col min="14364" max="14379" width="9.6640625" style="48"/>
    <col min="14380" max="14381" width="13.44140625" style="48" customWidth="1"/>
    <col min="14382" max="14382" width="9.6640625" style="48"/>
    <col min="14383" max="14383" width="13.88671875" style="48" customWidth="1"/>
    <col min="14384" max="14384" width="10.6640625" style="48" customWidth="1"/>
    <col min="14385" max="14385" width="17.33203125" style="48" customWidth="1"/>
    <col min="14386" max="14387" width="12.6640625" style="48" customWidth="1"/>
    <col min="14388" max="14388" width="11.21875" style="48" customWidth="1"/>
    <col min="14389" max="14389" width="18.33203125" style="48" customWidth="1"/>
    <col min="14390" max="14390" width="12.88671875" style="48" customWidth="1"/>
    <col min="14391" max="14392" width="13.21875" style="48" customWidth="1"/>
    <col min="14393" max="14393" width="10.88671875" style="48" customWidth="1"/>
    <col min="14394" max="14394" width="11.109375" style="48" customWidth="1"/>
    <col min="14395" max="14395" width="15.21875" style="48" customWidth="1"/>
    <col min="14396" max="14396" width="9.6640625" style="48"/>
    <col min="14397" max="14397" width="11" style="48" customWidth="1"/>
    <col min="14398" max="14398" width="10.77734375" style="48" customWidth="1"/>
    <col min="14399" max="14399" width="11.44140625" style="48" customWidth="1"/>
    <col min="14400" max="14400" width="4" style="48" customWidth="1"/>
    <col min="14401" max="14591" width="9.6640625" style="48"/>
    <col min="14592" max="14592" width="6.44140625" style="48" customWidth="1"/>
    <col min="14593" max="14593" width="13.88671875" style="48" customWidth="1"/>
    <col min="14594" max="14594" width="11.88671875" style="48" customWidth="1"/>
    <col min="14595" max="14597" width="9.6640625" style="48"/>
    <col min="14598" max="14598" width="15.44140625" style="48" customWidth="1"/>
    <col min="14599" max="14599" width="16.21875" style="48" customWidth="1"/>
    <col min="14600" max="14611" width="9.6640625" style="48"/>
    <col min="14612" max="14612" width="12" style="48" customWidth="1"/>
    <col min="14613" max="14613" width="12.77734375" style="48" customWidth="1"/>
    <col min="14614" max="14614" width="11.109375" style="48" customWidth="1"/>
    <col min="14615" max="14615" width="12" style="48" customWidth="1"/>
    <col min="14616" max="14616" width="9.6640625" style="48"/>
    <col min="14617" max="14617" width="15.33203125" style="48" customWidth="1"/>
    <col min="14618" max="14618" width="15.21875" style="48" customWidth="1"/>
    <col min="14619" max="14619" width="21.44140625" style="48" customWidth="1"/>
    <col min="14620" max="14635" width="9.6640625" style="48"/>
    <col min="14636" max="14637" width="13.44140625" style="48" customWidth="1"/>
    <col min="14638" max="14638" width="9.6640625" style="48"/>
    <col min="14639" max="14639" width="13.88671875" style="48" customWidth="1"/>
    <col min="14640" max="14640" width="10.6640625" style="48" customWidth="1"/>
    <col min="14641" max="14641" width="17.33203125" style="48" customWidth="1"/>
    <col min="14642" max="14643" width="12.6640625" style="48" customWidth="1"/>
    <col min="14644" max="14644" width="11.21875" style="48" customWidth="1"/>
    <col min="14645" max="14645" width="18.33203125" style="48" customWidth="1"/>
    <col min="14646" max="14646" width="12.88671875" style="48" customWidth="1"/>
    <col min="14647" max="14648" width="13.21875" style="48" customWidth="1"/>
    <col min="14649" max="14649" width="10.88671875" style="48" customWidth="1"/>
    <col min="14650" max="14650" width="11.109375" style="48" customWidth="1"/>
    <col min="14651" max="14651" width="15.21875" style="48" customWidth="1"/>
    <col min="14652" max="14652" width="9.6640625" style="48"/>
    <col min="14653" max="14653" width="11" style="48" customWidth="1"/>
    <col min="14654" max="14654" width="10.77734375" style="48" customWidth="1"/>
    <col min="14655" max="14655" width="11.44140625" style="48" customWidth="1"/>
    <col min="14656" max="14656" width="4" style="48" customWidth="1"/>
    <col min="14657" max="14847" width="9.6640625" style="48"/>
    <col min="14848" max="14848" width="6.44140625" style="48" customWidth="1"/>
    <col min="14849" max="14849" width="13.88671875" style="48" customWidth="1"/>
    <col min="14850" max="14850" width="11.88671875" style="48" customWidth="1"/>
    <col min="14851" max="14853" width="9.6640625" style="48"/>
    <col min="14854" max="14854" width="15.44140625" style="48" customWidth="1"/>
    <col min="14855" max="14855" width="16.21875" style="48" customWidth="1"/>
    <col min="14856" max="14867" width="9.6640625" style="48"/>
    <col min="14868" max="14868" width="12" style="48" customWidth="1"/>
    <col min="14869" max="14869" width="12.77734375" style="48" customWidth="1"/>
    <col min="14870" max="14870" width="11.109375" style="48" customWidth="1"/>
    <col min="14871" max="14871" width="12" style="48" customWidth="1"/>
    <col min="14872" max="14872" width="9.6640625" style="48"/>
    <col min="14873" max="14873" width="15.33203125" style="48" customWidth="1"/>
    <col min="14874" max="14874" width="15.21875" style="48" customWidth="1"/>
    <col min="14875" max="14875" width="21.44140625" style="48" customWidth="1"/>
    <col min="14876" max="14891" width="9.6640625" style="48"/>
    <col min="14892" max="14893" width="13.44140625" style="48" customWidth="1"/>
    <col min="14894" max="14894" width="9.6640625" style="48"/>
    <col min="14895" max="14895" width="13.88671875" style="48" customWidth="1"/>
    <col min="14896" max="14896" width="10.6640625" style="48" customWidth="1"/>
    <col min="14897" max="14897" width="17.33203125" style="48" customWidth="1"/>
    <col min="14898" max="14899" width="12.6640625" style="48" customWidth="1"/>
    <col min="14900" max="14900" width="11.21875" style="48" customWidth="1"/>
    <col min="14901" max="14901" width="18.33203125" style="48" customWidth="1"/>
    <col min="14902" max="14902" width="12.88671875" style="48" customWidth="1"/>
    <col min="14903" max="14904" width="13.21875" style="48" customWidth="1"/>
    <col min="14905" max="14905" width="10.88671875" style="48" customWidth="1"/>
    <col min="14906" max="14906" width="11.109375" style="48" customWidth="1"/>
    <col min="14907" max="14907" width="15.21875" style="48" customWidth="1"/>
    <col min="14908" max="14908" width="9.6640625" style="48"/>
    <col min="14909" max="14909" width="11" style="48" customWidth="1"/>
    <col min="14910" max="14910" width="10.77734375" style="48" customWidth="1"/>
    <col min="14911" max="14911" width="11.44140625" style="48" customWidth="1"/>
    <col min="14912" max="14912" width="4" style="48" customWidth="1"/>
    <col min="14913" max="15103" width="9.6640625" style="48"/>
    <col min="15104" max="15104" width="6.44140625" style="48" customWidth="1"/>
    <col min="15105" max="15105" width="13.88671875" style="48" customWidth="1"/>
    <col min="15106" max="15106" width="11.88671875" style="48" customWidth="1"/>
    <col min="15107" max="15109" width="9.6640625" style="48"/>
    <col min="15110" max="15110" width="15.44140625" style="48" customWidth="1"/>
    <col min="15111" max="15111" width="16.21875" style="48" customWidth="1"/>
    <col min="15112" max="15123" width="9.6640625" style="48"/>
    <col min="15124" max="15124" width="12" style="48" customWidth="1"/>
    <col min="15125" max="15125" width="12.77734375" style="48" customWidth="1"/>
    <col min="15126" max="15126" width="11.109375" style="48" customWidth="1"/>
    <col min="15127" max="15127" width="12" style="48" customWidth="1"/>
    <col min="15128" max="15128" width="9.6640625" style="48"/>
    <col min="15129" max="15129" width="15.33203125" style="48" customWidth="1"/>
    <col min="15130" max="15130" width="15.21875" style="48" customWidth="1"/>
    <col min="15131" max="15131" width="21.44140625" style="48" customWidth="1"/>
    <col min="15132" max="15147" width="9.6640625" style="48"/>
    <col min="15148" max="15149" width="13.44140625" style="48" customWidth="1"/>
    <col min="15150" max="15150" width="9.6640625" style="48"/>
    <col min="15151" max="15151" width="13.88671875" style="48" customWidth="1"/>
    <col min="15152" max="15152" width="10.6640625" style="48" customWidth="1"/>
    <col min="15153" max="15153" width="17.33203125" style="48" customWidth="1"/>
    <col min="15154" max="15155" width="12.6640625" style="48" customWidth="1"/>
    <col min="15156" max="15156" width="11.21875" style="48" customWidth="1"/>
    <col min="15157" max="15157" width="18.33203125" style="48" customWidth="1"/>
    <col min="15158" max="15158" width="12.88671875" style="48" customWidth="1"/>
    <col min="15159" max="15160" width="13.21875" style="48" customWidth="1"/>
    <col min="15161" max="15161" width="10.88671875" style="48" customWidth="1"/>
    <col min="15162" max="15162" width="11.109375" style="48" customWidth="1"/>
    <col min="15163" max="15163" width="15.21875" style="48" customWidth="1"/>
    <col min="15164" max="15164" width="9.6640625" style="48"/>
    <col min="15165" max="15165" width="11" style="48" customWidth="1"/>
    <col min="15166" max="15166" width="10.77734375" style="48" customWidth="1"/>
    <col min="15167" max="15167" width="11.44140625" style="48" customWidth="1"/>
    <col min="15168" max="15168" width="4" style="48" customWidth="1"/>
    <col min="15169" max="15359" width="9.6640625" style="48"/>
    <col min="15360" max="15360" width="6.44140625" style="48" customWidth="1"/>
    <col min="15361" max="15361" width="13.88671875" style="48" customWidth="1"/>
    <col min="15362" max="15362" width="11.88671875" style="48" customWidth="1"/>
    <col min="15363" max="15365" width="9.6640625" style="48"/>
    <col min="15366" max="15366" width="15.44140625" style="48" customWidth="1"/>
    <col min="15367" max="15367" width="16.21875" style="48" customWidth="1"/>
    <col min="15368" max="15379" width="9.6640625" style="48"/>
    <col min="15380" max="15380" width="12" style="48" customWidth="1"/>
    <col min="15381" max="15381" width="12.77734375" style="48" customWidth="1"/>
    <col min="15382" max="15382" width="11.109375" style="48" customWidth="1"/>
    <col min="15383" max="15383" width="12" style="48" customWidth="1"/>
    <col min="15384" max="15384" width="9.6640625" style="48"/>
    <col min="15385" max="15385" width="15.33203125" style="48" customWidth="1"/>
    <col min="15386" max="15386" width="15.21875" style="48" customWidth="1"/>
    <col min="15387" max="15387" width="21.44140625" style="48" customWidth="1"/>
    <col min="15388" max="15403" width="9.6640625" style="48"/>
    <col min="15404" max="15405" width="13.44140625" style="48" customWidth="1"/>
    <col min="15406" max="15406" width="9.6640625" style="48"/>
    <col min="15407" max="15407" width="13.88671875" style="48" customWidth="1"/>
    <col min="15408" max="15408" width="10.6640625" style="48" customWidth="1"/>
    <col min="15409" max="15409" width="17.33203125" style="48" customWidth="1"/>
    <col min="15410" max="15411" width="12.6640625" style="48" customWidth="1"/>
    <col min="15412" max="15412" width="11.21875" style="48" customWidth="1"/>
    <col min="15413" max="15413" width="18.33203125" style="48" customWidth="1"/>
    <col min="15414" max="15414" width="12.88671875" style="48" customWidth="1"/>
    <col min="15415" max="15416" width="13.21875" style="48" customWidth="1"/>
    <col min="15417" max="15417" width="10.88671875" style="48" customWidth="1"/>
    <col min="15418" max="15418" width="11.109375" style="48" customWidth="1"/>
    <col min="15419" max="15419" width="15.21875" style="48" customWidth="1"/>
    <col min="15420" max="15420" width="9.6640625" style="48"/>
    <col min="15421" max="15421" width="11" style="48" customWidth="1"/>
    <col min="15422" max="15422" width="10.77734375" style="48" customWidth="1"/>
    <col min="15423" max="15423" width="11.44140625" style="48" customWidth="1"/>
    <col min="15424" max="15424" width="4" style="48" customWidth="1"/>
    <col min="15425" max="15615" width="9.6640625" style="48"/>
    <col min="15616" max="15616" width="6.44140625" style="48" customWidth="1"/>
    <col min="15617" max="15617" width="13.88671875" style="48" customWidth="1"/>
    <col min="15618" max="15618" width="11.88671875" style="48" customWidth="1"/>
    <col min="15619" max="15621" width="9.6640625" style="48"/>
    <col min="15622" max="15622" width="15.44140625" style="48" customWidth="1"/>
    <col min="15623" max="15623" width="16.21875" style="48" customWidth="1"/>
    <col min="15624" max="15635" width="9.6640625" style="48"/>
    <col min="15636" max="15636" width="12" style="48" customWidth="1"/>
    <col min="15637" max="15637" width="12.77734375" style="48" customWidth="1"/>
    <col min="15638" max="15638" width="11.109375" style="48" customWidth="1"/>
    <col min="15639" max="15639" width="12" style="48" customWidth="1"/>
    <col min="15640" max="15640" width="9.6640625" style="48"/>
    <col min="15641" max="15641" width="15.33203125" style="48" customWidth="1"/>
    <col min="15642" max="15642" width="15.21875" style="48" customWidth="1"/>
    <col min="15643" max="15643" width="21.44140625" style="48" customWidth="1"/>
    <col min="15644" max="15659" width="9.6640625" style="48"/>
    <col min="15660" max="15661" width="13.44140625" style="48" customWidth="1"/>
    <col min="15662" max="15662" width="9.6640625" style="48"/>
    <col min="15663" max="15663" width="13.88671875" style="48" customWidth="1"/>
    <col min="15664" max="15664" width="10.6640625" style="48" customWidth="1"/>
    <col min="15665" max="15665" width="17.33203125" style="48" customWidth="1"/>
    <col min="15666" max="15667" width="12.6640625" style="48" customWidth="1"/>
    <col min="15668" max="15668" width="11.21875" style="48" customWidth="1"/>
    <col min="15669" max="15669" width="18.33203125" style="48" customWidth="1"/>
    <col min="15670" max="15670" width="12.88671875" style="48" customWidth="1"/>
    <col min="15671" max="15672" width="13.21875" style="48" customWidth="1"/>
    <col min="15673" max="15673" width="10.88671875" style="48" customWidth="1"/>
    <col min="15674" max="15674" width="11.109375" style="48" customWidth="1"/>
    <col min="15675" max="15675" width="15.21875" style="48" customWidth="1"/>
    <col min="15676" max="15676" width="9.6640625" style="48"/>
    <col min="15677" max="15677" width="11" style="48" customWidth="1"/>
    <col min="15678" max="15678" width="10.77734375" style="48" customWidth="1"/>
    <col min="15679" max="15679" width="11.44140625" style="48" customWidth="1"/>
    <col min="15680" max="15680" width="4" style="48" customWidth="1"/>
    <col min="15681" max="15871" width="9.6640625" style="48"/>
    <col min="15872" max="15872" width="6.44140625" style="48" customWidth="1"/>
    <col min="15873" max="15873" width="13.88671875" style="48" customWidth="1"/>
    <col min="15874" max="15874" width="11.88671875" style="48" customWidth="1"/>
    <col min="15875" max="15877" width="9.6640625" style="48"/>
    <col min="15878" max="15878" width="15.44140625" style="48" customWidth="1"/>
    <col min="15879" max="15879" width="16.21875" style="48" customWidth="1"/>
    <col min="15880" max="15891" width="9.6640625" style="48"/>
    <col min="15892" max="15892" width="12" style="48" customWidth="1"/>
    <col min="15893" max="15893" width="12.77734375" style="48" customWidth="1"/>
    <col min="15894" max="15894" width="11.109375" style="48" customWidth="1"/>
    <col min="15895" max="15895" width="12" style="48" customWidth="1"/>
    <col min="15896" max="15896" width="9.6640625" style="48"/>
    <col min="15897" max="15897" width="15.33203125" style="48" customWidth="1"/>
    <col min="15898" max="15898" width="15.21875" style="48" customWidth="1"/>
    <col min="15899" max="15899" width="21.44140625" style="48" customWidth="1"/>
    <col min="15900" max="15915" width="9.6640625" style="48"/>
    <col min="15916" max="15917" width="13.44140625" style="48" customWidth="1"/>
    <col min="15918" max="15918" width="9.6640625" style="48"/>
    <col min="15919" max="15919" width="13.88671875" style="48" customWidth="1"/>
    <col min="15920" max="15920" width="10.6640625" style="48" customWidth="1"/>
    <col min="15921" max="15921" width="17.33203125" style="48" customWidth="1"/>
    <col min="15922" max="15923" width="12.6640625" style="48" customWidth="1"/>
    <col min="15924" max="15924" width="11.21875" style="48" customWidth="1"/>
    <col min="15925" max="15925" width="18.33203125" style="48" customWidth="1"/>
    <col min="15926" max="15926" width="12.88671875" style="48" customWidth="1"/>
    <col min="15927" max="15928" width="13.21875" style="48" customWidth="1"/>
    <col min="15929" max="15929" width="10.88671875" style="48" customWidth="1"/>
    <col min="15930" max="15930" width="11.109375" style="48" customWidth="1"/>
    <col min="15931" max="15931" width="15.21875" style="48" customWidth="1"/>
    <col min="15932" max="15932" width="9.6640625" style="48"/>
    <col min="15933" max="15933" width="11" style="48" customWidth="1"/>
    <col min="15934" max="15934" width="10.77734375" style="48" customWidth="1"/>
    <col min="15935" max="15935" width="11.44140625" style="48" customWidth="1"/>
    <col min="15936" max="15936" width="4" style="48" customWidth="1"/>
    <col min="15937" max="16127" width="9.6640625" style="48"/>
    <col min="16128" max="16128" width="6.44140625" style="48" customWidth="1"/>
    <col min="16129" max="16129" width="13.88671875" style="48" customWidth="1"/>
    <col min="16130" max="16130" width="11.88671875" style="48" customWidth="1"/>
    <col min="16131" max="16133" width="9.6640625" style="48"/>
    <col min="16134" max="16134" width="15.44140625" style="48" customWidth="1"/>
    <col min="16135" max="16135" width="16.21875" style="48" customWidth="1"/>
    <col min="16136" max="16147" width="9.6640625" style="48"/>
    <col min="16148" max="16148" width="12" style="48" customWidth="1"/>
    <col min="16149" max="16149" width="12.77734375" style="48" customWidth="1"/>
    <col min="16150" max="16150" width="11.109375" style="48" customWidth="1"/>
    <col min="16151" max="16151" width="12" style="48" customWidth="1"/>
    <col min="16152" max="16152" width="9.6640625" style="48"/>
    <col min="16153" max="16153" width="15.33203125" style="48" customWidth="1"/>
    <col min="16154" max="16154" width="15.21875" style="48" customWidth="1"/>
    <col min="16155" max="16155" width="21.44140625" style="48" customWidth="1"/>
    <col min="16156" max="16171" width="9.6640625" style="48"/>
    <col min="16172" max="16173" width="13.44140625" style="48" customWidth="1"/>
    <col min="16174" max="16174" width="9.6640625" style="48"/>
    <col min="16175" max="16175" width="13.88671875" style="48" customWidth="1"/>
    <col min="16176" max="16176" width="10.6640625" style="48" customWidth="1"/>
    <col min="16177" max="16177" width="17.33203125" style="48" customWidth="1"/>
    <col min="16178" max="16179" width="12.6640625" style="48" customWidth="1"/>
    <col min="16180" max="16180" width="11.21875" style="48" customWidth="1"/>
    <col min="16181" max="16181" width="18.33203125" style="48" customWidth="1"/>
    <col min="16182" max="16182" width="12.88671875" style="48" customWidth="1"/>
    <col min="16183" max="16184" width="13.21875" style="48" customWidth="1"/>
    <col min="16185" max="16185" width="10.88671875" style="48" customWidth="1"/>
    <col min="16186" max="16186" width="11.109375" style="48" customWidth="1"/>
    <col min="16187" max="16187" width="15.21875" style="48" customWidth="1"/>
    <col min="16188" max="16188" width="9.6640625" style="48"/>
    <col min="16189" max="16189" width="11" style="48" customWidth="1"/>
    <col min="16190" max="16190" width="10.77734375" style="48" customWidth="1"/>
    <col min="16191" max="16191" width="11.44140625" style="48" customWidth="1"/>
    <col min="16192" max="16192" width="4" style="48" customWidth="1"/>
    <col min="16193" max="16384" width="9.6640625" style="48"/>
  </cols>
  <sheetData>
    <row r="1" spans="1:79" ht="13.2" x14ac:dyDescent="0.2">
      <c r="A1" s="47" t="s">
        <v>155</v>
      </c>
    </row>
    <row r="2" spans="1:79" x14ac:dyDescent="0.2">
      <c r="C2" s="50" t="s">
        <v>156</v>
      </c>
      <c r="D2" s="50"/>
      <c r="I2" s="50"/>
    </row>
    <row r="3" spans="1:79" s="49" customFormat="1" x14ac:dyDescent="0.2">
      <c r="A3" s="51"/>
      <c r="B3" s="52" t="s">
        <v>157</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4"/>
      <c r="BP3" s="54"/>
      <c r="BQ3" s="54"/>
      <c r="BR3" s="54"/>
      <c r="BS3" s="54"/>
      <c r="BT3" s="54"/>
      <c r="BU3" s="54"/>
      <c r="BV3" s="54"/>
      <c r="BW3" s="54"/>
      <c r="BX3" s="54"/>
      <c r="BY3" s="54"/>
      <c r="BZ3" s="54"/>
      <c r="CA3" s="54"/>
    </row>
    <row r="4" spans="1:79" s="49" customFormat="1" x14ac:dyDescent="0.2">
      <c r="A4" s="51"/>
      <c r="B4" s="55" t="s">
        <v>158</v>
      </c>
      <c r="C4" s="53" t="s">
        <v>141</v>
      </c>
      <c r="D4" s="53" t="s">
        <v>118</v>
      </c>
      <c r="E4" s="53" t="s">
        <v>118</v>
      </c>
      <c r="F4" s="53" t="s">
        <v>118</v>
      </c>
      <c r="G4" s="53" t="s">
        <v>118</v>
      </c>
      <c r="H4" s="53" t="s">
        <v>118</v>
      </c>
      <c r="I4" s="53" t="s">
        <v>118</v>
      </c>
      <c r="J4" s="53" t="s">
        <v>118</v>
      </c>
      <c r="K4" s="53" t="s">
        <v>118</v>
      </c>
      <c r="L4" s="53" t="s">
        <v>118</v>
      </c>
      <c r="M4" s="53" t="s">
        <v>118</v>
      </c>
      <c r="N4" s="53" t="s">
        <v>118</v>
      </c>
      <c r="O4" s="53" t="s">
        <v>118</v>
      </c>
      <c r="P4" s="53" t="s">
        <v>118</v>
      </c>
      <c r="Q4" s="53" t="s">
        <v>118</v>
      </c>
      <c r="R4" s="53" t="s">
        <v>118</v>
      </c>
      <c r="S4" s="53" t="s">
        <v>118</v>
      </c>
      <c r="T4" s="53" t="s">
        <v>118</v>
      </c>
      <c r="U4" s="53" t="s">
        <v>118</v>
      </c>
      <c r="V4" s="53" t="s">
        <v>118</v>
      </c>
      <c r="W4" s="53" t="s">
        <v>118</v>
      </c>
      <c r="X4" s="53" t="s">
        <v>118</v>
      </c>
      <c r="Y4" s="53" t="s">
        <v>118</v>
      </c>
      <c r="Z4" s="53" t="s">
        <v>118</v>
      </c>
      <c r="AA4" s="53" t="s">
        <v>118</v>
      </c>
      <c r="AB4" s="53" t="s">
        <v>118</v>
      </c>
      <c r="AC4" s="53" t="s">
        <v>118</v>
      </c>
      <c r="AD4" s="53" t="s">
        <v>118</v>
      </c>
      <c r="AE4" s="53" t="s">
        <v>118</v>
      </c>
      <c r="AF4" s="53" t="s">
        <v>118</v>
      </c>
      <c r="AG4" s="53" t="s">
        <v>118</v>
      </c>
      <c r="AH4" s="53" t="s">
        <v>118</v>
      </c>
      <c r="AI4" s="53" t="s">
        <v>118</v>
      </c>
      <c r="AJ4" s="53" t="s">
        <v>118</v>
      </c>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4"/>
      <c r="BP4" s="54"/>
      <c r="BQ4" s="54"/>
      <c r="BR4" s="54"/>
      <c r="BS4" s="54"/>
      <c r="BT4" s="54"/>
      <c r="BU4" s="54"/>
      <c r="BV4" s="54"/>
      <c r="BW4" s="54"/>
      <c r="BX4" s="54"/>
      <c r="BY4" s="54"/>
      <c r="BZ4" s="54"/>
      <c r="CA4" s="54"/>
    </row>
    <row r="5" spans="1:79" s="49" customFormat="1" x14ac:dyDescent="0.2">
      <c r="A5" s="51"/>
      <c r="B5" s="52" t="s">
        <v>160</v>
      </c>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2"/>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4"/>
      <c r="BP5" s="54"/>
      <c r="BQ5" s="54"/>
      <c r="BR5" s="54"/>
      <c r="BS5" s="54"/>
      <c r="BT5" s="54"/>
      <c r="BU5" s="54"/>
      <c r="BV5" s="54"/>
      <c r="BW5" s="54"/>
      <c r="BX5" s="54"/>
      <c r="BY5" s="54"/>
      <c r="BZ5" s="54"/>
      <c r="CA5" s="54"/>
    </row>
    <row r="6" spans="1:79" s="83" customFormat="1" ht="22.8" customHeight="1" x14ac:dyDescent="0.2">
      <c r="A6" s="80"/>
      <c r="B6" s="55" t="s">
        <v>162</v>
      </c>
      <c r="C6" s="55" t="s">
        <v>71</v>
      </c>
      <c r="D6" s="55" t="s">
        <v>72</v>
      </c>
      <c r="E6" s="55" t="s">
        <v>255</v>
      </c>
      <c r="F6" s="55" t="s">
        <v>102</v>
      </c>
      <c r="G6" s="55" t="s">
        <v>91</v>
      </c>
      <c r="H6" s="55" t="s">
        <v>115</v>
      </c>
      <c r="I6" s="55" t="s">
        <v>116</v>
      </c>
      <c r="J6" s="55" t="s">
        <v>73</v>
      </c>
      <c r="K6" s="55" t="s">
        <v>74</v>
      </c>
      <c r="L6" s="55" t="s">
        <v>75</v>
      </c>
      <c r="M6" s="55" t="s">
        <v>109</v>
      </c>
      <c r="N6" s="55" t="s">
        <v>97</v>
      </c>
      <c r="O6" s="55" t="s">
        <v>76</v>
      </c>
      <c r="P6" s="55" t="s">
        <v>47</v>
      </c>
      <c r="Q6" s="55" t="s">
        <v>77</v>
      </c>
      <c r="R6" s="55" t="s">
        <v>108</v>
      </c>
      <c r="S6" s="55" t="s">
        <v>50</v>
      </c>
      <c r="T6" s="55" t="s">
        <v>92</v>
      </c>
      <c r="U6" s="55" t="s">
        <v>78</v>
      </c>
      <c r="V6" s="55" t="s">
        <v>56</v>
      </c>
      <c r="W6" s="55" t="s">
        <v>99</v>
      </c>
      <c r="X6" s="55" t="s">
        <v>79</v>
      </c>
      <c r="Y6" s="55" t="s">
        <v>80</v>
      </c>
      <c r="Z6" s="55" t="s">
        <v>81</v>
      </c>
      <c r="AA6" s="55" t="s">
        <v>57</v>
      </c>
      <c r="AB6" s="55" t="s">
        <v>82</v>
      </c>
      <c r="AC6" s="55" t="s">
        <v>83</v>
      </c>
      <c r="AD6" s="55" t="s">
        <v>58</v>
      </c>
      <c r="AE6" s="55" t="s">
        <v>84</v>
      </c>
      <c r="AF6" s="55" t="s">
        <v>59</v>
      </c>
      <c r="AG6" s="55" t="s">
        <v>85</v>
      </c>
      <c r="AH6" s="55" t="s">
        <v>86</v>
      </c>
      <c r="AI6" s="55" t="s">
        <v>257</v>
      </c>
      <c r="AJ6" s="55" t="s">
        <v>87</v>
      </c>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2"/>
      <c r="BP6" s="80"/>
      <c r="BQ6" s="80"/>
      <c r="BR6" s="80"/>
      <c r="BS6" s="80"/>
      <c r="BT6" s="80"/>
      <c r="BU6" s="80"/>
      <c r="BV6" s="80"/>
      <c r="BW6" s="80"/>
      <c r="BX6" s="80"/>
      <c r="BY6" s="80"/>
      <c r="BZ6" s="80"/>
      <c r="CA6" s="80"/>
    </row>
    <row r="7" spans="1:79" x14ac:dyDescent="0.2">
      <c r="A7" s="59" t="s">
        <v>163</v>
      </c>
      <c r="B7" s="60"/>
      <c r="C7" s="61"/>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1"/>
      <c r="AY7" s="61"/>
      <c r="AZ7" s="61"/>
      <c r="BA7" s="61"/>
      <c r="BB7" s="61"/>
      <c r="BC7" s="61"/>
      <c r="BD7" s="61"/>
      <c r="BE7" s="61"/>
      <c r="BF7" s="61"/>
      <c r="BG7" s="61"/>
      <c r="BH7" s="61"/>
      <c r="BI7" s="61"/>
      <c r="BJ7" s="61"/>
      <c r="BK7" s="61"/>
      <c r="BL7" s="61"/>
      <c r="BM7" s="61"/>
      <c r="BN7" s="61"/>
      <c r="BO7" s="61"/>
    </row>
    <row r="8" spans="1:79" x14ac:dyDescent="0.2">
      <c r="A8" s="62" t="s">
        <v>179</v>
      </c>
      <c r="B8" s="60"/>
      <c r="C8" s="63" t="s">
        <v>176</v>
      </c>
      <c r="D8" s="63"/>
      <c r="E8" s="63" t="s">
        <v>176</v>
      </c>
      <c r="F8" s="63" t="s">
        <v>176</v>
      </c>
      <c r="G8" s="63" t="s">
        <v>176</v>
      </c>
      <c r="H8" s="63" t="s">
        <v>176</v>
      </c>
      <c r="I8" s="63" t="s">
        <v>176</v>
      </c>
      <c r="J8" s="63" t="s">
        <v>176</v>
      </c>
      <c r="K8" s="63" t="s">
        <v>176</v>
      </c>
      <c r="L8" s="63" t="s">
        <v>176</v>
      </c>
      <c r="M8" s="63">
        <v>0.86153515385737622</v>
      </c>
      <c r="N8" s="63" t="s">
        <v>176</v>
      </c>
      <c r="O8" s="63" t="s">
        <v>176</v>
      </c>
      <c r="P8" s="63" t="s">
        <v>176</v>
      </c>
      <c r="Q8" s="63" t="s">
        <v>176</v>
      </c>
      <c r="R8" s="63" t="s">
        <v>176</v>
      </c>
      <c r="S8" s="63" t="s">
        <v>176</v>
      </c>
      <c r="T8" s="63" t="s">
        <v>176</v>
      </c>
      <c r="U8" s="63" t="s">
        <v>176</v>
      </c>
      <c r="V8" s="63" t="s">
        <v>176</v>
      </c>
      <c r="W8" s="63"/>
      <c r="X8" s="63">
        <v>3.4461406154295053</v>
      </c>
      <c r="Y8" s="63">
        <v>8.6153515385737638</v>
      </c>
      <c r="Z8" s="63" t="s">
        <v>176</v>
      </c>
      <c r="AA8" s="63" t="s">
        <v>176</v>
      </c>
      <c r="AB8" s="63" t="s">
        <v>176</v>
      </c>
      <c r="AC8" s="63" t="s">
        <v>176</v>
      </c>
      <c r="AD8" s="63" t="s">
        <v>176</v>
      </c>
      <c r="AE8" s="63" t="s">
        <v>176</v>
      </c>
      <c r="AF8" s="63" t="s">
        <v>176</v>
      </c>
      <c r="AG8" s="63">
        <v>25.84605461572129</v>
      </c>
      <c r="AH8" s="63">
        <v>1.3784562461718022</v>
      </c>
      <c r="AI8" s="63" t="s">
        <v>176</v>
      </c>
      <c r="AJ8" s="63" t="s">
        <v>176</v>
      </c>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row>
    <row r="9" spans="1:79" x14ac:dyDescent="0.2">
      <c r="A9" s="62" t="s">
        <v>181</v>
      </c>
      <c r="B9" s="60"/>
      <c r="C9" s="63">
        <v>2.0869565217391304</v>
      </c>
      <c r="D9" s="63"/>
      <c r="E9" s="63">
        <v>1.3144814699470571</v>
      </c>
      <c r="F9" s="63" t="s">
        <v>176</v>
      </c>
      <c r="G9" s="63" t="s">
        <v>176</v>
      </c>
      <c r="H9" s="63" t="s">
        <v>176</v>
      </c>
      <c r="I9" s="63" t="s">
        <v>176</v>
      </c>
      <c r="J9" s="63" t="s">
        <v>176</v>
      </c>
      <c r="K9" s="63" t="s">
        <v>176</v>
      </c>
      <c r="L9" s="63" t="s">
        <v>176</v>
      </c>
      <c r="M9" s="63">
        <v>0.53241368867353123</v>
      </c>
      <c r="N9" s="63">
        <v>0.21100945971361618</v>
      </c>
      <c r="O9" s="63" t="s">
        <v>176</v>
      </c>
      <c r="P9" s="63">
        <v>1.3486659812056143</v>
      </c>
      <c r="Q9" s="63">
        <v>0.71564513917455097</v>
      </c>
      <c r="R9" s="63">
        <v>3.8145964445020417</v>
      </c>
      <c r="S9" s="63" t="s">
        <v>176</v>
      </c>
      <c r="T9" s="63">
        <v>0.15880138863511783</v>
      </c>
      <c r="U9" s="63">
        <v>0.63925768944383987</v>
      </c>
      <c r="V9" s="63">
        <v>4.4382553528945277</v>
      </c>
      <c r="W9" s="63">
        <v>1.3482663651922684</v>
      </c>
      <c r="X9" s="63">
        <v>4.8747043345904135</v>
      </c>
      <c r="Y9" s="63" t="s">
        <v>176</v>
      </c>
      <c r="Z9" s="63" t="s">
        <v>176</v>
      </c>
      <c r="AA9" s="63">
        <v>2.9256636432874057</v>
      </c>
      <c r="AB9" s="63">
        <v>16.765012264603961</v>
      </c>
      <c r="AC9" s="63" t="s">
        <v>176</v>
      </c>
      <c r="AD9" s="63">
        <v>32.179795930836441</v>
      </c>
      <c r="AE9" s="63" t="s">
        <v>176</v>
      </c>
      <c r="AF9" s="63">
        <v>3.3845475906166942</v>
      </c>
      <c r="AG9" s="63">
        <v>46.041202628260429</v>
      </c>
      <c r="AH9" s="63">
        <v>1.3673084937345101</v>
      </c>
      <c r="AI9" s="63">
        <v>1.9961096374889478</v>
      </c>
      <c r="AJ9" s="63" t="s">
        <v>176</v>
      </c>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row>
    <row r="10" spans="1:79" x14ac:dyDescent="0.2">
      <c r="A10" s="62" t="s">
        <v>182</v>
      </c>
      <c r="B10" s="60"/>
      <c r="C10" s="63" t="s">
        <v>176</v>
      </c>
      <c r="D10" s="63"/>
      <c r="E10" s="63">
        <v>1.6558848214862159</v>
      </c>
      <c r="F10" s="63" t="s">
        <v>176</v>
      </c>
      <c r="G10" s="63"/>
      <c r="H10" s="63" t="s">
        <v>176</v>
      </c>
      <c r="I10" s="63" t="s">
        <v>176</v>
      </c>
      <c r="J10" s="63" t="s">
        <v>176</v>
      </c>
      <c r="K10" s="63" t="s">
        <v>176</v>
      </c>
      <c r="L10" s="63" t="s">
        <v>176</v>
      </c>
      <c r="M10" s="63">
        <v>0.74830457179953769</v>
      </c>
      <c r="N10" s="63">
        <v>0.26380889280695713</v>
      </c>
      <c r="O10" s="63" t="s">
        <v>176</v>
      </c>
      <c r="P10" s="63">
        <v>1.2530068136339521</v>
      </c>
      <c r="Q10" s="63">
        <v>0.38558324012040385</v>
      </c>
      <c r="R10" s="63">
        <v>4.9432644665538978</v>
      </c>
      <c r="S10" s="63" t="s">
        <v>176</v>
      </c>
      <c r="T10" s="63">
        <v>0.57680782599876446</v>
      </c>
      <c r="U10" s="63">
        <v>8.8786345063352437E-2</v>
      </c>
      <c r="V10" s="63">
        <v>8.2887289843811587</v>
      </c>
      <c r="W10" s="63">
        <v>1.1980043265086024</v>
      </c>
      <c r="X10" s="63">
        <v>5.2636799171522064</v>
      </c>
      <c r="Y10" s="63" t="s">
        <v>176</v>
      </c>
      <c r="Z10" s="63" t="s">
        <v>176</v>
      </c>
      <c r="AA10" s="63">
        <v>2.339695596702156</v>
      </c>
      <c r="AB10" s="63">
        <v>18.60865060865061</v>
      </c>
      <c r="AC10" s="63" t="s">
        <v>176</v>
      </c>
      <c r="AD10" s="63">
        <v>45.873014068136023</v>
      </c>
      <c r="AE10" s="63" t="s">
        <v>176</v>
      </c>
      <c r="AF10" s="63">
        <v>3.8679767464903239</v>
      </c>
      <c r="AG10" s="63">
        <v>54.63641825512223</v>
      </c>
      <c r="AH10" s="63">
        <v>2.0048576355676233</v>
      </c>
      <c r="AI10" s="63">
        <v>2.750477780070034</v>
      </c>
      <c r="AJ10" s="63" t="s">
        <v>176</v>
      </c>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row>
    <row r="11" spans="1:79" x14ac:dyDescent="0.2">
      <c r="A11" s="62" t="s">
        <v>172</v>
      </c>
      <c r="B11" s="60"/>
      <c r="C11" s="63" t="s">
        <v>176</v>
      </c>
      <c r="D11" s="63"/>
      <c r="E11" s="63">
        <v>1.4730579103943453</v>
      </c>
      <c r="F11" s="63">
        <v>2.7206477732793517</v>
      </c>
      <c r="G11" s="63" t="s">
        <v>176</v>
      </c>
      <c r="H11" s="63" t="s">
        <v>176</v>
      </c>
      <c r="I11" s="63" t="s">
        <v>176</v>
      </c>
      <c r="J11" s="63" t="s">
        <v>176</v>
      </c>
      <c r="K11" s="63" t="s">
        <v>176</v>
      </c>
      <c r="L11" s="63" t="s">
        <v>176</v>
      </c>
      <c r="M11" s="63">
        <v>0.54857702765191008</v>
      </c>
      <c r="N11" s="63">
        <v>0.22497472419306708</v>
      </c>
      <c r="O11" s="63" t="s">
        <v>176</v>
      </c>
      <c r="P11" s="63">
        <v>1.0523664843896123</v>
      </c>
      <c r="Q11" s="63">
        <v>1.1903606743774648</v>
      </c>
      <c r="R11" s="63">
        <v>5.1001436469291379</v>
      </c>
      <c r="S11" s="63" t="s">
        <v>176</v>
      </c>
      <c r="T11" s="63">
        <v>0.3022941970310391</v>
      </c>
      <c r="U11" s="63">
        <v>0.10420590971793847</v>
      </c>
      <c r="V11" s="63">
        <v>7.3345351838487636</v>
      </c>
      <c r="W11" s="63">
        <v>1.0682389664441168</v>
      </c>
      <c r="X11" s="63">
        <v>5.856824231925394</v>
      </c>
      <c r="Y11" s="63" t="s">
        <v>176</v>
      </c>
      <c r="Z11" s="63" t="s">
        <v>176</v>
      </c>
      <c r="AA11" s="63" t="s">
        <v>176</v>
      </c>
      <c r="AB11" s="63">
        <v>17.943278393828955</v>
      </c>
      <c r="AC11" s="63" t="s">
        <v>176</v>
      </c>
      <c r="AD11" s="63">
        <v>39.872749226765848</v>
      </c>
      <c r="AE11" s="63" t="s">
        <v>176</v>
      </c>
      <c r="AF11" s="63">
        <v>2.26359909746883</v>
      </c>
      <c r="AG11" s="63">
        <v>33.594837191598323</v>
      </c>
      <c r="AH11" s="63">
        <v>2.924751102680037</v>
      </c>
      <c r="AI11" s="63">
        <v>2.4474785381273523</v>
      </c>
      <c r="AJ11" s="63" t="s">
        <v>176</v>
      </c>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1"/>
    </row>
    <row r="12" spans="1:79" x14ac:dyDescent="0.2">
      <c r="A12" s="62" t="s">
        <v>173</v>
      </c>
      <c r="B12" s="60"/>
      <c r="C12" s="63">
        <v>5.0283156740957251</v>
      </c>
      <c r="D12" s="63">
        <v>0.7727876694127026</v>
      </c>
      <c r="E12" s="63">
        <v>1.8726739457274539</v>
      </c>
      <c r="F12" s="63">
        <v>1.4736842105263159</v>
      </c>
      <c r="G12" s="63" t="s">
        <v>176</v>
      </c>
      <c r="H12" s="63">
        <v>0.52240780751074922</v>
      </c>
      <c r="I12" s="63" t="s">
        <v>176</v>
      </c>
      <c r="J12" s="63" t="s">
        <v>176</v>
      </c>
      <c r="K12" s="63" t="s">
        <v>176</v>
      </c>
      <c r="L12" s="63"/>
      <c r="M12" s="63">
        <v>0.62839182590348985</v>
      </c>
      <c r="N12" s="63">
        <v>0.2571483746379144</v>
      </c>
      <c r="O12" s="63" t="s">
        <v>176</v>
      </c>
      <c r="P12" s="63">
        <v>1.5669893396111494</v>
      </c>
      <c r="Q12" s="63">
        <v>2.2341873619891706</v>
      </c>
      <c r="R12" s="63">
        <v>3.3410606597784369</v>
      </c>
      <c r="S12" s="63">
        <v>6.8796626087572879</v>
      </c>
      <c r="T12" s="63">
        <v>8.4527627849182618</v>
      </c>
      <c r="U12" s="63">
        <v>13.118590974910603</v>
      </c>
      <c r="V12" s="63">
        <v>7.7995221993010198</v>
      </c>
      <c r="W12" s="63">
        <v>1.5337522690495793</v>
      </c>
      <c r="X12" s="63">
        <v>5.377349495517886</v>
      </c>
      <c r="Y12" s="63" t="s">
        <v>176</v>
      </c>
      <c r="Z12" s="63" t="s">
        <v>176</v>
      </c>
      <c r="AA12" s="63">
        <v>6.7376484620424346</v>
      </c>
      <c r="AB12" s="63">
        <v>18.885128556014632</v>
      </c>
      <c r="AC12" s="63">
        <v>34.434767457542712</v>
      </c>
      <c r="AD12" s="63">
        <v>41.495497112766657</v>
      </c>
      <c r="AE12" s="63" t="s">
        <v>176</v>
      </c>
      <c r="AF12" s="63">
        <v>3.5968057366362447</v>
      </c>
      <c r="AG12" s="63">
        <v>42.481106718414772</v>
      </c>
      <c r="AH12" s="63">
        <v>2.39693225224147</v>
      </c>
      <c r="AI12" s="63">
        <v>2.1409155998387965</v>
      </c>
      <c r="AJ12" s="63">
        <v>0.65310015529820564</v>
      </c>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row>
    <row r="13" spans="1:79" x14ac:dyDescent="0.2">
      <c r="A13" s="62" t="s">
        <v>174</v>
      </c>
      <c r="B13" s="60"/>
      <c r="C13" s="63">
        <v>3.7091378821140033</v>
      </c>
      <c r="D13" s="63">
        <v>1.2283320639756283</v>
      </c>
      <c r="E13" s="63">
        <v>0.84982551067965584</v>
      </c>
      <c r="F13" s="63">
        <v>2.2312060349938503</v>
      </c>
      <c r="G13" s="63"/>
      <c r="H13" s="63">
        <v>0.21587994095328794</v>
      </c>
      <c r="I13" s="63">
        <v>0.3370639690285519</v>
      </c>
      <c r="J13" s="63" t="s">
        <v>176</v>
      </c>
      <c r="K13" s="63" t="s">
        <v>176</v>
      </c>
      <c r="L13" s="63" t="s">
        <v>176</v>
      </c>
      <c r="M13" s="63">
        <v>0.73343298759699393</v>
      </c>
      <c r="N13" s="63">
        <v>0.18125005060120777</v>
      </c>
      <c r="O13" s="63" t="s">
        <v>176</v>
      </c>
      <c r="P13" s="63">
        <v>1.1936090609166921</v>
      </c>
      <c r="Q13" s="63">
        <v>1.3110819278649177</v>
      </c>
      <c r="R13" s="63">
        <v>3.50691170000818</v>
      </c>
      <c r="S13" s="63">
        <v>3.4606234670462488</v>
      </c>
      <c r="T13" s="63">
        <v>3.4392280048712029</v>
      </c>
      <c r="U13" s="63">
        <v>6.6832830710052915E-2</v>
      </c>
      <c r="V13" s="63">
        <v>7.1492272959502099</v>
      </c>
      <c r="W13" s="63">
        <v>1.9820773523670159</v>
      </c>
      <c r="X13" s="63">
        <v>4.3926008063854782</v>
      </c>
      <c r="Y13" s="63" t="s">
        <v>176</v>
      </c>
      <c r="Z13" s="63" t="s">
        <v>176</v>
      </c>
      <c r="AA13" s="63">
        <v>6.0433698901609425</v>
      </c>
      <c r="AB13" s="63">
        <v>20.249406700441593</v>
      </c>
      <c r="AC13" s="63">
        <v>36.028374405001067</v>
      </c>
      <c r="AD13" s="63">
        <v>36.999362758514174</v>
      </c>
      <c r="AE13" s="63" t="s">
        <v>176</v>
      </c>
      <c r="AF13" s="63">
        <v>3.744975080418012</v>
      </c>
      <c r="AG13" s="63">
        <v>49.136296649582661</v>
      </c>
      <c r="AH13" s="63">
        <v>3.6752981729446592</v>
      </c>
      <c r="AI13" s="63">
        <v>3.4284150162404647</v>
      </c>
      <c r="AJ13" s="63">
        <v>0.70484599051417685</v>
      </c>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row>
    <row r="14" spans="1:79" x14ac:dyDescent="0.2">
      <c r="A14" s="62" t="s">
        <v>164</v>
      </c>
      <c r="B14" s="60"/>
      <c r="C14" s="63" t="s">
        <v>176</v>
      </c>
      <c r="D14" s="63">
        <v>5.7055527254202751E-2</v>
      </c>
      <c r="E14" s="63">
        <v>0.15566466630296419</v>
      </c>
      <c r="F14" s="63">
        <v>2.6948923076923075</v>
      </c>
      <c r="G14" s="63"/>
      <c r="H14" s="63">
        <v>0.61538461538461542</v>
      </c>
      <c r="I14" s="63" t="s">
        <v>176</v>
      </c>
      <c r="J14" s="63" t="s">
        <v>176</v>
      </c>
      <c r="K14" s="63" t="s">
        <v>176</v>
      </c>
      <c r="L14" s="63" t="s">
        <v>176</v>
      </c>
      <c r="M14" s="63">
        <v>0.79282863228657818</v>
      </c>
      <c r="N14" s="63">
        <v>0.29087406693956175</v>
      </c>
      <c r="O14" s="63" t="s">
        <v>176</v>
      </c>
      <c r="P14" s="63">
        <v>0.75949116467851308</v>
      </c>
      <c r="Q14" s="63">
        <v>1.1305458027449728</v>
      </c>
      <c r="R14" s="63">
        <v>5.0282452545899536</v>
      </c>
      <c r="S14" s="63">
        <v>7.4749308245711124</v>
      </c>
      <c r="T14" s="63">
        <v>0.56890790001336711</v>
      </c>
      <c r="U14" s="63">
        <v>0.23030920444469599</v>
      </c>
      <c r="V14" s="63">
        <v>5.1921812835149623</v>
      </c>
      <c r="W14" s="63">
        <v>1.8704009529149204</v>
      </c>
      <c r="X14" s="63">
        <v>5.6727110021821048</v>
      </c>
      <c r="Y14" s="63" t="s">
        <v>176</v>
      </c>
      <c r="Z14" s="63" t="s">
        <v>176</v>
      </c>
      <c r="AA14" s="63">
        <v>3.472572402044293</v>
      </c>
      <c r="AB14" s="63" t="s">
        <v>176</v>
      </c>
      <c r="AC14" s="63">
        <v>38.730814532934673</v>
      </c>
      <c r="AD14" s="63">
        <v>46.306323917505615</v>
      </c>
      <c r="AE14" s="63" t="s">
        <v>176</v>
      </c>
      <c r="AF14" s="63">
        <v>1.9425646858117716</v>
      </c>
      <c r="AG14" s="63">
        <v>67.478789974070878</v>
      </c>
      <c r="AH14" s="63">
        <v>2.5094024068037686</v>
      </c>
      <c r="AI14" s="63">
        <v>3.1868131868131866</v>
      </c>
      <c r="AJ14" s="63">
        <v>0.92802263709900656</v>
      </c>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row>
    <row r="15" spans="1:79" x14ac:dyDescent="0.2">
      <c r="A15" s="62" t="s">
        <v>165</v>
      </c>
      <c r="B15" s="69"/>
      <c r="C15" s="63">
        <v>8.5049504950495045</v>
      </c>
      <c r="D15" s="63">
        <v>1.0248366013071895</v>
      </c>
      <c r="E15" s="63">
        <v>2.0406184705390724</v>
      </c>
      <c r="F15" s="63">
        <v>20.165450121654501</v>
      </c>
      <c r="G15" s="63" t="s">
        <v>176</v>
      </c>
      <c r="H15" s="63" t="s">
        <v>176</v>
      </c>
      <c r="I15" s="63" t="s">
        <v>176</v>
      </c>
      <c r="J15" s="63" t="s">
        <v>176</v>
      </c>
      <c r="K15" s="63" t="s">
        <v>176</v>
      </c>
      <c r="L15" s="63" t="s">
        <v>176</v>
      </c>
      <c r="M15" s="63">
        <v>5.9389094200165928</v>
      </c>
      <c r="N15" s="63">
        <v>1.2586282743451309</v>
      </c>
      <c r="O15" s="63" t="s">
        <v>176</v>
      </c>
      <c r="P15" s="63">
        <v>7.3654221520827283</v>
      </c>
      <c r="Q15" s="63" t="s">
        <v>176</v>
      </c>
      <c r="R15" s="63">
        <v>34.923861459100955</v>
      </c>
      <c r="S15" s="63">
        <v>56.889260342666113</v>
      </c>
      <c r="T15" s="63">
        <v>26.068965517241377</v>
      </c>
      <c r="U15" s="63">
        <v>1.3577781090078005</v>
      </c>
      <c r="V15" s="63">
        <v>59.347447073474477</v>
      </c>
      <c r="W15" s="63">
        <v>13.543637532944098</v>
      </c>
      <c r="X15" s="63">
        <v>44.051298571266877</v>
      </c>
      <c r="Y15" s="63" t="s">
        <v>176</v>
      </c>
      <c r="Z15" s="63" t="s">
        <v>176</v>
      </c>
      <c r="AA15" s="63">
        <v>25.664358720738544</v>
      </c>
      <c r="AB15" s="63">
        <v>123.75412293853073</v>
      </c>
      <c r="AC15" s="63">
        <v>278.57940625248551</v>
      </c>
      <c r="AD15" s="63">
        <v>273.36467427803893</v>
      </c>
      <c r="AE15" s="63" t="s">
        <v>176</v>
      </c>
      <c r="AF15" s="63">
        <v>14.37433155080214</v>
      </c>
      <c r="AG15" s="63">
        <v>324.65376063061831</v>
      </c>
      <c r="AH15" s="63">
        <v>17.868827314861125</v>
      </c>
      <c r="AI15" s="63">
        <v>15.855740181268882</v>
      </c>
      <c r="AJ15" s="63">
        <v>11.253868871825162</v>
      </c>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row>
    <row r="16" spans="1:79" x14ac:dyDescent="0.2">
      <c r="A16" s="62" t="s">
        <v>166</v>
      </c>
      <c r="B16" s="61"/>
      <c r="C16" s="63">
        <v>6.2907407407407403</v>
      </c>
      <c r="D16" s="63"/>
      <c r="E16" s="63">
        <v>0.1182741116751269</v>
      </c>
      <c r="F16" s="63">
        <v>3.2105263157894739</v>
      </c>
      <c r="G16" s="63" t="s">
        <v>176</v>
      </c>
      <c r="H16" s="63" t="s">
        <v>176</v>
      </c>
      <c r="I16" s="63" t="s">
        <v>176</v>
      </c>
      <c r="J16" s="63">
        <v>0.99964813511611539</v>
      </c>
      <c r="K16" s="63" t="s">
        <v>176</v>
      </c>
      <c r="L16" s="63" t="s">
        <v>176</v>
      </c>
      <c r="M16" s="63" t="s">
        <v>176</v>
      </c>
      <c r="N16" s="63">
        <v>0.2100253807106599</v>
      </c>
      <c r="O16" s="63">
        <v>1.411764705882353</v>
      </c>
      <c r="P16" s="63">
        <v>1.6833791208791209</v>
      </c>
      <c r="Q16" s="63">
        <v>0.86805555555555558</v>
      </c>
      <c r="R16" s="63">
        <v>6.3462664714494874</v>
      </c>
      <c r="S16" s="63">
        <v>7.1688311688311686</v>
      </c>
      <c r="T16" s="63">
        <v>3.4615384615384617</v>
      </c>
      <c r="U16" s="63">
        <v>0.17836445589182229</v>
      </c>
      <c r="V16" s="63">
        <v>8.9430894308943092</v>
      </c>
      <c r="W16" s="63">
        <v>2.3875880137547076</v>
      </c>
      <c r="X16" s="63">
        <v>6.7878998609179417</v>
      </c>
      <c r="Y16" s="63" t="s">
        <v>176</v>
      </c>
      <c r="Z16" s="63" t="s">
        <v>176</v>
      </c>
      <c r="AA16" s="63">
        <v>3.4481641468682507</v>
      </c>
      <c r="AB16" s="63" t="s">
        <v>176</v>
      </c>
      <c r="AC16" s="63">
        <v>43.189024390243901</v>
      </c>
      <c r="AD16" s="63">
        <v>30.612440191387559</v>
      </c>
      <c r="AE16" s="63" t="s">
        <v>176</v>
      </c>
      <c r="AF16" s="63">
        <v>2.0629213483146067</v>
      </c>
      <c r="AG16" s="63">
        <v>52.564568462037641</v>
      </c>
      <c r="AH16" s="63">
        <v>1.4342296511627908</v>
      </c>
      <c r="AI16" s="63">
        <v>4.380281690140845</v>
      </c>
      <c r="AJ16" s="63">
        <v>1.5539772727272727</v>
      </c>
      <c r="AK16" s="61"/>
      <c r="AL16" s="61"/>
      <c r="AM16" s="66"/>
      <c r="AN16" s="66"/>
      <c r="AO16" s="61"/>
      <c r="AP16" s="61"/>
      <c r="AQ16" s="61"/>
      <c r="AR16" s="61"/>
      <c r="AS16" s="61"/>
      <c r="AT16" s="61"/>
      <c r="AU16" s="61"/>
      <c r="AV16" s="61"/>
      <c r="AW16" s="61"/>
      <c r="AX16" s="61"/>
      <c r="AY16" s="61"/>
      <c r="AZ16" s="61"/>
      <c r="BA16" s="61"/>
      <c r="BB16" s="61"/>
      <c r="BC16" s="61"/>
      <c r="BD16" s="61"/>
      <c r="BE16" s="61"/>
      <c r="BF16" s="61"/>
      <c r="BG16" s="61"/>
      <c r="BH16" s="61"/>
      <c r="BI16" s="64"/>
      <c r="BJ16" s="64"/>
      <c r="BK16" s="64"/>
      <c r="BL16" s="64"/>
      <c r="BM16" s="61"/>
      <c r="BN16" s="61"/>
      <c r="BO16" s="61"/>
    </row>
    <row r="17" spans="1:67" x14ac:dyDescent="0.2">
      <c r="A17" s="62" t="s">
        <v>167</v>
      </c>
      <c r="B17" s="61"/>
      <c r="C17" s="63">
        <v>3.3929807217004448</v>
      </c>
      <c r="D17" s="63"/>
      <c r="E17" s="63">
        <v>0.29629629629629628</v>
      </c>
      <c r="F17" s="63">
        <v>3</v>
      </c>
      <c r="G17" s="63">
        <v>0.16948427134603039</v>
      </c>
      <c r="H17" s="63" t="s">
        <v>176</v>
      </c>
      <c r="I17" s="63" t="s">
        <v>176</v>
      </c>
      <c r="J17" s="63">
        <v>0.44503945885005636</v>
      </c>
      <c r="K17" s="63">
        <v>2.858104609010875</v>
      </c>
      <c r="L17" s="63">
        <v>0.45076282940360612</v>
      </c>
      <c r="M17" s="63">
        <v>0.6915238536359426</v>
      </c>
      <c r="N17" s="63">
        <v>0.38825517532741866</v>
      </c>
      <c r="O17" s="63">
        <v>0.79894179894179895</v>
      </c>
      <c r="P17" s="63">
        <v>1.9175732217573223</v>
      </c>
      <c r="Q17" s="63">
        <v>0.98877665544332216</v>
      </c>
      <c r="R17" s="63">
        <v>7.8504748668056523</v>
      </c>
      <c r="S17" s="63">
        <v>7.6780487804878046</v>
      </c>
      <c r="T17" s="63">
        <v>1.1297297297297297</v>
      </c>
      <c r="U17" s="63">
        <v>0.16483084185680566</v>
      </c>
      <c r="V17" s="63">
        <v>14.848101265822784</v>
      </c>
      <c r="W17" s="63">
        <v>2.0141980046047583</v>
      </c>
      <c r="X17" s="63">
        <v>7.5423071954527838</v>
      </c>
      <c r="Y17" s="63" t="s">
        <v>176</v>
      </c>
      <c r="Z17" s="63" t="s">
        <v>176</v>
      </c>
      <c r="AA17" s="63">
        <v>4.7679558011049723</v>
      </c>
      <c r="AB17" s="63" t="s">
        <v>176</v>
      </c>
      <c r="AC17" s="63">
        <v>45.791581108829568</v>
      </c>
      <c r="AD17" s="63">
        <v>41.702564102564104</v>
      </c>
      <c r="AE17" s="63" t="s">
        <v>176</v>
      </c>
      <c r="AF17" s="63">
        <v>2.4240963855421689</v>
      </c>
      <c r="AG17" s="63">
        <v>58.023407022106632</v>
      </c>
      <c r="AH17" s="63">
        <v>3.5861367045211057</v>
      </c>
      <c r="AI17" s="63">
        <v>3.5586206896551724</v>
      </c>
      <c r="AJ17" s="63">
        <v>2.2408695652173911</v>
      </c>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4"/>
      <c r="BJ17" s="64"/>
      <c r="BK17" s="64"/>
      <c r="BL17" s="64"/>
      <c r="BM17" s="61"/>
      <c r="BN17" s="61"/>
      <c r="BO17" s="61"/>
    </row>
    <row r="18" spans="1:67" x14ac:dyDescent="0.2">
      <c r="A18" s="62" t="s">
        <v>168</v>
      </c>
      <c r="B18" s="61"/>
      <c r="C18" s="63">
        <v>1.4814814814814814</v>
      </c>
      <c r="D18" s="63"/>
      <c r="E18" s="63">
        <v>0.18223760092272204</v>
      </c>
      <c r="F18" s="63">
        <v>3.3368421052631581</v>
      </c>
      <c r="G18" s="63">
        <v>0.17664756446991403</v>
      </c>
      <c r="H18" s="63" t="s">
        <v>176</v>
      </c>
      <c r="I18" s="63" t="s">
        <v>176</v>
      </c>
      <c r="J18" s="63">
        <v>0.80501710376282787</v>
      </c>
      <c r="K18" s="63">
        <v>3.4011783610069632</v>
      </c>
      <c r="L18" s="63">
        <v>0.56191588785046731</v>
      </c>
      <c r="M18" s="63">
        <v>0.77703115455100791</v>
      </c>
      <c r="N18" s="63" t="s">
        <v>176</v>
      </c>
      <c r="O18" s="63">
        <v>0.49260752688172044</v>
      </c>
      <c r="P18" s="63">
        <v>2.1394080996884735</v>
      </c>
      <c r="Q18" s="63">
        <v>1.2131868131868131</v>
      </c>
      <c r="R18" s="63">
        <v>8.1414412001071526</v>
      </c>
      <c r="S18" s="63">
        <v>7.5405405405405403</v>
      </c>
      <c r="T18" s="63">
        <v>1.8981132075471698</v>
      </c>
      <c r="U18" s="63">
        <v>0.16129032258064516</v>
      </c>
      <c r="V18" s="63">
        <v>6.5053763440860219</v>
      </c>
      <c r="W18" s="63">
        <v>1.9968383017163505</v>
      </c>
      <c r="X18" s="63">
        <v>7.8161055658940954</v>
      </c>
      <c r="Y18" s="63">
        <v>8.4750462107208868</v>
      </c>
      <c r="Z18" s="63" t="s">
        <v>176</v>
      </c>
      <c r="AA18" s="63">
        <v>7.4576271186440675</v>
      </c>
      <c r="AB18" s="63">
        <v>20.327868852459016</v>
      </c>
      <c r="AC18" s="63">
        <v>43.444695259593679</v>
      </c>
      <c r="AD18" s="63">
        <v>55.5</v>
      </c>
      <c r="AE18" s="63" t="s">
        <v>176</v>
      </c>
      <c r="AF18" s="63">
        <v>4.159010600706714</v>
      </c>
      <c r="AG18" s="63">
        <v>65.857558139534888</v>
      </c>
      <c r="AH18" s="63">
        <v>3.0790540540540539</v>
      </c>
      <c r="AI18" s="63">
        <v>3.2727272727272729</v>
      </c>
      <c r="AJ18" s="63">
        <v>1.1438695960311835</v>
      </c>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4"/>
      <c r="BJ18" s="64"/>
      <c r="BK18" s="64"/>
      <c r="BL18" s="64"/>
      <c r="BM18" s="61"/>
      <c r="BN18" s="61"/>
      <c r="BO18" s="61"/>
    </row>
    <row r="19" spans="1:67" x14ac:dyDescent="0.2">
      <c r="A19" s="62" t="s">
        <v>169</v>
      </c>
      <c r="C19" s="63">
        <v>1.9425287356321839</v>
      </c>
      <c r="D19" s="63"/>
      <c r="E19" s="63">
        <v>0.25196850393700787</v>
      </c>
      <c r="F19" s="63" t="s">
        <v>176</v>
      </c>
      <c r="G19" s="63">
        <v>0.15005954743946009</v>
      </c>
      <c r="H19" s="63" t="s">
        <v>176</v>
      </c>
      <c r="I19" s="63" t="s">
        <v>176</v>
      </c>
      <c r="J19" s="63">
        <v>0.67164179104477617</v>
      </c>
      <c r="K19" s="63">
        <v>3.4089068825910931</v>
      </c>
      <c r="L19" s="63">
        <v>0.53511705685618727</v>
      </c>
      <c r="M19" s="63">
        <v>0.60185185185185186</v>
      </c>
      <c r="N19" s="63" t="s">
        <v>176</v>
      </c>
      <c r="O19" s="63">
        <v>0.49289734655588313</v>
      </c>
      <c r="P19" s="63">
        <v>2.8231221876081691</v>
      </c>
      <c r="Q19" s="63">
        <v>2.5728155339805827</v>
      </c>
      <c r="R19" s="63">
        <v>7.7312094883464351</v>
      </c>
      <c r="S19" s="63">
        <v>8.8037735849056595</v>
      </c>
      <c r="T19" s="63">
        <v>7.8666666666666663</v>
      </c>
      <c r="U19" s="63">
        <v>0.15488215488215487</v>
      </c>
      <c r="V19" s="63">
        <v>7.9379844961240309</v>
      </c>
      <c r="W19" s="63">
        <v>1.8977043390514632</v>
      </c>
      <c r="X19" s="63">
        <v>19.108510638297872</v>
      </c>
      <c r="Y19" s="63">
        <v>8.0473342002600781</v>
      </c>
      <c r="Z19" s="63" t="s">
        <v>176</v>
      </c>
      <c r="AA19" s="63">
        <v>15.164383561643836</v>
      </c>
      <c r="AB19" s="63">
        <v>21.153846153846153</v>
      </c>
      <c r="AC19" s="63">
        <v>47.004545454545458</v>
      </c>
      <c r="AD19" s="63">
        <v>56.493975903614455</v>
      </c>
      <c r="AE19" s="63">
        <v>7.9379844961240309</v>
      </c>
      <c r="AF19" s="63">
        <v>3.2199312714776633</v>
      </c>
      <c r="AG19" s="63">
        <v>65.274611398963728</v>
      </c>
      <c r="AH19" s="63">
        <v>3.7082208220822084</v>
      </c>
      <c r="AI19" s="63">
        <v>4.5</v>
      </c>
      <c r="AJ19" s="63">
        <v>0.69603960396039599</v>
      </c>
    </row>
    <row r="20" spans="1:67" x14ac:dyDescent="0.2">
      <c r="A20" s="62" t="s">
        <v>170</v>
      </c>
      <c r="C20" s="63">
        <v>2.5668789808917198</v>
      </c>
      <c r="D20" s="63"/>
      <c r="E20" s="63">
        <v>1.8546511627906976</v>
      </c>
      <c r="F20" s="63" t="s">
        <v>176</v>
      </c>
      <c r="G20" s="63">
        <v>0.2564935064935065</v>
      </c>
      <c r="H20" s="63" t="s">
        <v>176</v>
      </c>
      <c r="I20" s="63" t="s">
        <v>176</v>
      </c>
      <c r="J20" s="63">
        <v>0.46305418719211822</v>
      </c>
      <c r="K20" s="63">
        <v>2.7852348993288589</v>
      </c>
      <c r="L20" s="63">
        <v>0.5483516483516484</v>
      </c>
      <c r="M20" s="63">
        <v>0.70058479532163742</v>
      </c>
      <c r="N20" s="63" t="s">
        <v>176</v>
      </c>
      <c r="O20" s="63">
        <v>0.88814493895234348</v>
      </c>
      <c r="P20" s="63">
        <v>2.2104818258664412</v>
      </c>
      <c r="Q20" s="63">
        <v>1.5833333333333333</v>
      </c>
      <c r="R20" s="63">
        <v>10.550077224664371</v>
      </c>
      <c r="S20" s="63">
        <v>8.513513513513514</v>
      </c>
      <c r="T20" s="63">
        <v>3.76</v>
      </c>
      <c r="U20" s="63">
        <v>0.19865696698377169</v>
      </c>
      <c r="V20" s="63">
        <v>9.2553191489361701</v>
      </c>
      <c r="W20" s="63">
        <v>2.300571156592099</v>
      </c>
      <c r="X20" s="63">
        <v>9.7914893617021281</v>
      </c>
      <c r="Y20" s="63">
        <v>7.4068965517241381</v>
      </c>
      <c r="Z20" s="63" t="s">
        <v>176</v>
      </c>
      <c r="AA20" s="63">
        <v>9.931034482758621</v>
      </c>
      <c r="AB20" s="63">
        <v>21.376237623762375</v>
      </c>
      <c r="AC20" s="63">
        <v>50.797979797979799</v>
      </c>
      <c r="AD20" s="63">
        <v>56.328767123287669</v>
      </c>
      <c r="AE20" s="63">
        <v>9.2553191489361701</v>
      </c>
      <c r="AF20" s="63">
        <v>3.4266211604095562</v>
      </c>
      <c r="AG20" s="63">
        <v>71.698209718670071</v>
      </c>
      <c r="AH20" s="63">
        <v>3.179652605459057</v>
      </c>
      <c r="AI20" s="63">
        <v>0.12323943661971831</v>
      </c>
      <c r="AJ20" s="63">
        <v>1.0843450479233228</v>
      </c>
    </row>
    <row r="21" spans="1:67" x14ac:dyDescent="0.2">
      <c r="A21" s="62" t="s">
        <v>171</v>
      </c>
      <c r="C21" s="63">
        <v>3.25</v>
      </c>
      <c r="D21" s="63"/>
      <c r="E21" s="63">
        <v>2.1658291457286434</v>
      </c>
      <c r="F21" s="63" t="s">
        <v>176</v>
      </c>
      <c r="G21" s="63">
        <v>1.0940594059405941</v>
      </c>
      <c r="H21" s="63" t="s">
        <v>176</v>
      </c>
      <c r="I21" s="63" t="s">
        <v>176</v>
      </c>
      <c r="J21" s="63">
        <v>0.85915492957746475</v>
      </c>
      <c r="K21" s="63">
        <v>2.6466809421841542</v>
      </c>
      <c r="L21" s="63">
        <v>0.84960159362549803</v>
      </c>
      <c r="M21" s="63">
        <v>0.90896551724137931</v>
      </c>
      <c r="N21" s="63" t="s">
        <v>176</v>
      </c>
      <c r="O21" s="63">
        <v>1.0043859649122806</v>
      </c>
      <c r="P21" s="63">
        <v>4.6572438162544172</v>
      </c>
      <c r="Q21" s="63">
        <v>3.0526315789473686</v>
      </c>
      <c r="R21" s="63">
        <v>8.4058136873426417</v>
      </c>
      <c r="S21" s="63">
        <v>10.338028169014084</v>
      </c>
      <c r="T21" s="63" t="s">
        <v>176</v>
      </c>
      <c r="U21" s="63">
        <v>0.33333333333333331</v>
      </c>
      <c r="V21" s="63" t="s">
        <v>176</v>
      </c>
      <c r="W21" s="63">
        <v>1.9609652235628106</v>
      </c>
      <c r="X21" s="63">
        <v>11.81875</v>
      </c>
      <c r="Y21" s="63">
        <v>7.3913690476190474</v>
      </c>
      <c r="Z21" s="63">
        <v>10.858326429163215</v>
      </c>
      <c r="AA21" s="63">
        <v>18</v>
      </c>
      <c r="AB21" s="63">
        <v>24.913978494623656</v>
      </c>
      <c r="AC21" s="63">
        <v>59.913978494623656</v>
      </c>
      <c r="AD21" s="63">
        <v>67.276595744680847</v>
      </c>
      <c r="AE21" s="63">
        <v>10.125</v>
      </c>
      <c r="AF21" s="63">
        <v>4.600638977635783</v>
      </c>
      <c r="AG21" s="63">
        <v>100.81200289226319</v>
      </c>
      <c r="AH21" s="63">
        <v>3.5489940828402369</v>
      </c>
      <c r="AI21" s="63">
        <v>4.9130434782608692</v>
      </c>
      <c r="AJ21" s="63">
        <v>1.9515738498789346</v>
      </c>
    </row>
  </sheetData>
  <pageMargins left="0.75" right="0.75" top="1" bottom="1" header="0.5" footer="0.5"/>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2"/>
  <sheetViews>
    <sheetView zoomScaleNormal="100" workbookViewId="0">
      <pane xSplit="2" ySplit="7" topLeftCell="G8" activePane="bottomRight" state="frozenSplit"/>
      <selection activeCell="F13" sqref="F13"/>
      <selection pane="topRight" activeCell="F13" sqref="F13"/>
      <selection pane="bottomLeft" activeCell="F13" sqref="F13"/>
      <selection pane="bottomRight" activeCell="C6" sqref="C6"/>
    </sheetView>
  </sheetViews>
  <sheetFormatPr defaultColWidth="9.6640625" defaultRowHeight="12" x14ac:dyDescent="0.2"/>
  <cols>
    <col min="1" max="1" width="6.44140625" style="49" customWidth="1"/>
    <col min="2" max="2" width="13.88671875" style="48" customWidth="1"/>
    <col min="3" max="3" width="12" style="48" customWidth="1"/>
    <col min="4" max="4" width="11.33203125" style="48" customWidth="1"/>
    <col min="5" max="5" width="15.33203125" style="48" customWidth="1"/>
    <col min="6" max="6" width="11.33203125" style="48" customWidth="1"/>
    <col min="7" max="7" width="9.44140625" style="48" customWidth="1"/>
    <col min="8" max="8" width="13.21875" style="48" customWidth="1"/>
    <col min="9" max="9" width="9.6640625" style="48"/>
    <col min="10" max="10" width="7.77734375" style="48" customWidth="1"/>
    <col min="11" max="11" width="9.6640625" style="48"/>
    <col min="12" max="12" width="9" style="48" customWidth="1"/>
    <col min="13" max="13" width="9.6640625" style="48"/>
    <col min="14" max="14" width="13.5546875" style="48" customWidth="1"/>
    <col min="15" max="16" width="9.6640625" style="48"/>
    <col min="17" max="17" width="12.5546875" style="48" customWidth="1"/>
    <col min="18" max="18" width="12.88671875" style="48" customWidth="1"/>
    <col min="19" max="19" width="12.5546875" style="48" customWidth="1"/>
    <col min="20" max="20" width="11.6640625" style="48" customWidth="1"/>
    <col min="21" max="23" width="9.6640625" style="48"/>
    <col min="24" max="25" width="13.44140625" style="48" customWidth="1"/>
    <col min="26" max="26" width="9.6640625" style="48"/>
    <col min="27" max="27" width="13.88671875" style="48" customWidth="1"/>
    <col min="28" max="28" width="10.6640625" style="48" customWidth="1"/>
    <col min="29" max="29" width="17.33203125" style="48" customWidth="1"/>
    <col min="30" max="31" width="12.6640625" style="48" customWidth="1"/>
    <col min="32" max="32" width="11.21875" style="48" customWidth="1"/>
    <col min="33" max="33" width="18.33203125" style="48" customWidth="1"/>
    <col min="34" max="34" width="12.88671875" style="48" customWidth="1"/>
    <col min="35" max="36" width="13.21875" style="48" customWidth="1"/>
    <col min="37" max="37" width="10.88671875" style="48" customWidth="1"/>
    <col min="38" max="38" width="11.109375" style="48" customWidth="1"/>
    <col min="39" max="39" width="15.21875" style="48" customWidth="1"/>
    <col min="40" max="40" width="9.6640625" style="48"/>
    <col min="41" max="41" width="11" style="48" customWidth="1"/>
    <col min="42" max="42" width="10.77734375" style="48" customWidth="1"/>
    <col min="43" max="43" width="11.44140625" style="48" customWidth="1"/>
    <col min="44" max="44" width="4" style="48" customWidth="1"/>
    <col min="45" max="235" width="9.6640625" style="48"/>
    <col min="236" max="236" width="6.44140625" style="48" customWidth="1"/>
    <col min="237" max="237" width="13.88671875" style="48" customWidth="1"/>
    <col min="238" max="238" width="11.88671875" style="48" customWidth="1"/>
    <col min="239" max="241" width="9.6640625" style="48"/>
    <col min="242" max="242" width="15.44140625" style="48" customWidth="1"/>
    <col min="243" max="243" width="16.21875" style="48" customWidth="1"/>
    <col min="244" max="255" width="9.6640625" style="48"/>
    <col min="256" max="256" width="12" style="48" customWidth="1"/>
    <col min="257" max="257" width="12.77734375" style="48" customWidth="1"/>
    <col min="258" max="258" width="11.109375" style="48" customWidth="1"/>
    <col min="259" max="259" width="12" style="48" customWidth="1"/>
    <col min="260" max="260" width="9.6640625" style="48"/>
    <col min="261" max="261" width="15.33203125" style="48" customWidth="1"/>
    <col min="262" max="262" width="15.21875" style="48" customWidth="1"/>
    <col min="263" max="263" width="21.44140625" style="48" customWidth="1"/>
    <col min="264" max="279" width="9.6640625" style="48"/>
    <col min="280" max="281" width="13.44140625" style="48" customWidth="1"/>
    <col min="282" max="282" width="9.6640625" style="48"/>
    <col min="283" max="283" width="13.88671875" style="48" customWidth="1"/>
    <col min="284" max="284" width="10.6640625" style="48" customWidth="1"/>
    <col min="285" max="285" width="17.33203125" style="48" customWidth="1"/>
    <col min="286" max="287" width="12.6640625" style="48" customWidth="1"/>
    <col min="288" max="288" width="11.21875" style="48" customWidth="1"/>
    <col min="289" max="289" width="18.33203125" style="48" customWidth="1"/>
    <col min="290" max="290" width="12.88671875" style="48" customWidth="1"/>
    <col min="291" max="292" width="13.21875" style="48" customWidth="1"/>
    <col min="293" max="293" width="10.88671875" style="48" customWidth="1"/>
    <col min="294" max="294" width="11.109375" style="48" customWidth="1"/>
    <col min="295" max="295" width="15.21875" style="48" customWidth="1"/>
    <col min="296" max="296" width="9.6640625" style="48"/>
    <col min="297" max="297" width="11" style="48" customWidth="1"/>
    <col min="298" max="298" width="10.77734375" style="48" customWidth="1"/>
    <col min="299" max="299" width="11.44140625" style="48" customWidth="1"/>
    <col min="300" max="300" width="4" style="48" customWidth="1"/>
    <col min="301" max="491" width="9.6640625" style="48"/>
    <col min="492" max="492" width="6.44140625" style="48" customWidth="1"/>
    <col min="493" max="493" width="13.88671875" style="48" customWidth="1"/>
    <col min="494" max="494" width="11.88671875" style="48" customWidth="1"/>
    <col min="495" max="497" width="9.6640625" style="48"/>
    <col min="498" max="498" width="15.44140625" style="48" customWidth="1"/>
    <col min="499" max="499" width="16.21875" style="48" customWidth="1"/>
    <col min="500" max="511" width="9.6640625" style="48"/>
    <col min="512" max="512" width="12" style="48" customWidth="1"/>
    <col min="513" max="513" width="12.77734375" style="48" customWidth="1"/>
    <col min="514" max="514" width="11.109375" style="48" customWidth="1"/>
    <col min="515" max="515" width="12" style="48" customWidth="1"/>
    <col min="516" max="516" width="9.6640625" style="48"/>
    <col min="517" max="517" width="15.33203125" style="48" customWidth="1"/>
    <col min="518" max="518" width="15.21875" style="48" customWidth="1"/>
    <col min="519" max="519" width="21.44140625" style="48" customWidth="1"/>
    <col min="520" max="535" width="9.6640625" style="48"/>
    <col min="536" max="537" width="13.44140625" style="48" customWidth="1"/>
    <col min="538" max="538" width="9.6640625" style="48"/>
    <col min="539" max="539" width="13.88671875" style="48" customWidth="1"/>
    <col min="540" max="540" width="10.6640625" style="48" customWidth="1"/>
    <col min="541" max="541" width="17.33203125" style="48" customWidth="1"/>
    <col min="542" max="543" width="12.6640625" style="48" customWidth="1"/>
    <col min="544" max="544" width="11.21875" style="48" customWidth="1"/>
    <col min="545" max="545" width="18.33203125" style="48" customWidth="1"/>
    <col min="546" max="546" width="12.88671875" style="48" customWidth="1"/>
    <col min="547" max="548" width="13.21875" style="48" customWidth="1"/>
    <col min="549" max="549" width="10.88671875" style="48" customWidth="1"/>
    <col min="550" max="550" width="11.109375" style="48" customWidth="1"/>
    <col min="551" max="551" width="15.21875" style="48" customWidth="1"/>
    <col min="552" max="552" width="9.6640625" style="48"/>
    <col min="553" max="553" width="11" style="48" customWidth="1"/>
    <col min="554" max="554" width="10.77734375" style="48" customWidth="1"/>
    <col min="555" max="555" width="11.44140625" style="48" customWidth="1"/>
    <col min="556" max="556" width="4" style="48" customWidth="1"/>
    <col min="557" max="747" width="9.6640625" style="48"/>
    <col min="748" max="748" width="6.44140625" style="48" customWidth="1"/>
    <col min="749" max="749" width="13.88671875" style="48" customWidth="1"/>
    <col min="750" max="750" width="11.88671875" style="48" customWidth="1"/>
    <col min="751" max="753" width="9.6640625" style="48"/>
    <col min="754" max="754" width="15.44140625" style="48" customWidth="1"/>
    <col min="755" max="755" width="16.21875" style="48" customWidth="1"/>
    <col min="756" max="767" width="9.6640625" style="48"/>
    <col min="768" max="768" width="12" style="48" customWidth="1"/>
    <col min="769" max="769" width="12.77734375" style="48" customWidth="1"/>
    <col min="770" max="770" width="11.109375" style="48" customWidth="1"/>
    <col min="771" max="771" width="12" style="48" customWidth="1"/>
    <col min="772" max="772" width="9.6640625" style="48"/>
    <col min="773" max="773" width="15.33203125" style="48" customWidth="1"/>
    <col min="774" max="774" width="15.21875" style="48" customWidth="1"/>
    <col min="775" max="775" width="21.44140625" style="48" customWidth="1"/>
    <col min="776" max="791" width="9.6640625" style="48"/>
    <col min="792" max="793" width="13.44140625" style="48" customWidth="1"/>
    <col min="794" max="794" width="9.6640625" style="48"/>
    <col min="795" max="795" width="13.88671875" style="48" customWidth="1"/>
    <col min="796" max="796" width="10.6640625" style="48" customWidth="1"/>
    <col min="797" max="797" width="17.33203125" style="48" customWidth="1"/>
    <col min="798" max="799" width="12.6640625" style="48" customWidth="1"/>
    <col min="800" max="800" width="11.21875" style="48" customWidth="1"/>
    <col min="801" max="801" width="18.33203125" style="48" customWidth="1"/>
    <col min="802" max="802" width="12.88671875" style="48" customWidth="1"/>
    <col min="803" max="804" width="13.21875" style="48" customWidth="1"/>
    <col min="805" max="805" width="10.88671875" style="48" customWidth="1"/>
    <col min="806" max="806" width="11.109375" style="48" customWidth="1"/>
    <col min="807" max="807" width="15.21875" style="48" customWidth="1"/>
    <col min="808" max="808" width="9.6640625" style="48"/>
    <col min="809" max="809" width="11" style="48" customWidth="1"/>
    <col min="810" max="810" width="10.77734375" style="48" customWidth="1"/>
    <col min="811" max="811" width="11.44140625" style="48" customWidth="1"/>
    <col min="812" max="812" width="4" style="48" customWidth="1"/>
    <col min="813" max="1003" width="9.6640625" style="48"/>
    <col min="1004" max="1004" width="6.44140625" style="48" customWidth="1"/>
    <col min="1005" max="1005" width="13.88671875" style="48" customWidth="1"/>
    <col min="1006" max="1006" width="11.88671875" style="48" customWidth="1"/>
    <col min="1007" max="1009" width="9.6640625" style="48"/>
    <col min="1010" max="1010" width="15.44140625" style="48" customWidth="1"/>
    <col min="1011" max="1011" width="16.21875" style="48" customWidth="1"/>
    <col min="1012" max="1023" width="9.6640625" style="48"/>
    <col min="1024" max="1024" width="12" style="48" customWidth="1"/>
    <col min="1025" max="1025" width="12.77734375" style="48" customWidth="1"/>
    <col min="1026" max="1026" width="11.109375" style="48" customWidth="1"/>
    <col min="1027" max="1027" width="12" style="48" customWidth="1"/>
    <col min="1028" max="1028" width="9.6640625" style="48"/>
    <col min="1029" max="1029" width="15.33203125" style="48" customWidth="1"/>
    <col min="1030" max="1030" width="15.21875" style="48" customWidth="1"/>
    <col min="1031" max="1031" width="21.44140625" style="48" customWidth="1"/>
    <col min="1032" max="1047" width="9.6640625" style="48"/>
    <col min="1048" max="1049" width="13.44140625" style="48" customWidth="1"/>
    <col min="1050" max="1050" width="9.6640625" style="48"/>
    <col min="1051" max="1051" width="13.88671875" style="48" customWidth="1"/>
    <col min="1052" max="1052" width="10.6640625" style="48" customWidth="1"/>
    <col min="1053" max="1053" width="17.33203125" style="48" customWidth="1"/>
    <col min="1054" max="1055" width="12.6640625" style="48" customWidth="1"/>
    <col min="1056" max="1056" width="11.21875" style="48" customWidth="1"/>
    <col min="1057" max="1057" width="18.33203125" style="48" customWidth="1"/>
    <col min="1058" max="1058" width="12.88671875" style="48" customWidth="1"/>
    <col min="1059" max="1060" width="13.21875" style="48" customWidth="1"/>
    <col min="1061" max="1061" width="10.88671875" style="48" customWidth="1"/>
    <col min="1062" max="1062" width="11.109375" style="48" customWidth="1"/>
    <col min="1063" max="1063" width="15.21875" style="48" customWidth="1"/>
    <col min="1064" max="1064" width="9.6640625" style="48"/>
    <col min="1065" max="1065" width="11" style="48" customWidth="1"/>
    <col min="1066" max="1066" width="10.77734375" style="48" customWidth="1"/>
    <col min="1067" max="1067" width="11.44140625" style="48" customWidth="1"/>
    <col min="1068" max="1068" width="4" style="48" customWidth="1"/>
    <col min="1069" max="1259" width="9.6640625" style="48"/>
    <col min="1260" max="1260" width="6.44140625" style="48" customWidth="1"/>
    <col min="1261" max="1261" width="13.88671875" style="48" customWidth="1"/>
    <col min="1262" max="1262" width="11.88671875" style="48" customWidth="1"/>
    <col min="1263" max="1265" width="9.6640625" style="48"/>
    <col min="1266" max="1266" width="15.44140625" style="48" customWidth="1"/>
    <col min="1267" max="1267" width="16.21875" style="48" customWidth="1"/>
    <col min="1268" max="1279" width="9.6640625" style="48"/>
    <col min="1280" max="1280" width="12" style="48" customWidth="1"/>
    <col min="1281" max="1281" width="12.77734375" style="48" customWidth="1"/>
    <col min="1282" max="1282" width="11.109375" style="48" customWidth="1"/>
    <col min="1283" max="1283" width="12" style="48" customWidth="1"/>
    <col min="1284" max="1284" width="9.6640625" style="48"/>
    <col min="1285" max="1285" width="15.33203125" style="48" customWidth="1"/>
    <col min="1286" max="1286" width="15.21875" style="48" customWidth="1"/>
    <col min="1287" max="1287" width="21.44140625" style="48" customWidth="1"/>
    <col min="1288" max="1303" width="9.6640625" style="48"/>
    <col min="1304" max="1305" width="13.44140625" style="48" customWidth="1"/>
    <col min="1306" max="1306" width="9.6640625" style="48"/>
    <col min="1307" max="1307" width="13.88671875" style="48" customWidth="1"/>
    <col min="1308" max="1308" width="10.6640625" style="48" customWidth="1"/>
    <col min="1309" max="1309" width="17.33203125" style="48" customWidth="1"/>
    <col min="1310" max="1311" width="12.6640625" style="48" customWidth="1"/>
    <col min="1312" max="1312" width="11.21875" style="48" customWidth="1"/>
    <col min="1313" max="1313" width="18.33203125" style="48" customWidth="1"/>
    <col min="1314" max="1314" width="12.88671875" style="48" customWidth="1"/>
    <col min="1315" max="1316" width="13.21875" style="48" customWidth="1"/>
    <col min="1317" max="1317" width="10.88671875" style="48" customWidth="1"/>
    <col min="1318" max="1318" width="11.109375" style="48" customWidth="1"/>
    <col min="1319" max="1319" width="15.21875" style="48" customWidth="1"/>
    <col min="1320" max="1320" width="9.6640625" style="48"/>
    <col min="1321" max="1321" width="11" style="48" customWidth="1"/>
    <col min="1322" max="1322" width="10.77734375" style="48" customWidth="1"/>
    <col min="1323" max="1323" width="11.44140625" style="48" customWidth="1"/>
    <col min="1324" max="1324" width="4" style="48" customWidth="1"/>
    <col min="1325" max="1515" width="9.6640625" style="48"/>
    <col min="1516" max="1516" width="6.44140625" style="48" customWidth="1"/>
    <col min="1517" max="1517" width="13.88671875" style="48" customWidth="1"/>
    <col min="1518" max="1518" width="11.88671875" style="48" customWidth="1"/>
    <col min="1519" max="1521" width="9.6640625" style="48"/>
    <col min="1522" max="1522" width="15.44140625" style="48" customWidth="1"/>
    <col min="1523" max="1523" width="16.21875" style="48" customWidth="1"/>
    <col min="1524" max="1535" width="9.6640625" style="48"/>
    <col min="1536" max="1536" width="12" style="48" customWidth="1"/>
    <col min="1537" max="1537" width="12.77734375" style="48" customWidth="1"/>
    <col min="1538" max="1538" width="11.109375" style="48" customWidth="1"/>
    <col min="1539" max="1539" width="12" style="48" customWidth="1"/>
    <col min="1540" max="1540" width="9.6640625" style="48"/>
    <col min="1541" max="1541" width="15.33203125" style="48" customWidth="1"/>
    <col min="1542" max="1542" width="15.21875" style="48" customWidth="1"/>
    <col min="1543" max="1543" width="21.44140625" style="48" customWidth="1"/>
    <col min="1544" max="1559" width="9.6640625" style="48"/>
    <col min="1560" max="1561" width="13.44140625" style="48" customWidth="1"/>
    <col min="1562" max="1562" width="9.6640625" style="48"/>
    <col min="1563" max="1563" width="13.88671875" style="48" customWidth="1"/>
    <col min="1564" max="1564" width="10.6640625" style="48" customWidth="1"/>
    <col min="1565" max="1565" width="17.33203125" style="48" customWidth="1"/>
    <col min="1566" max="1567" width="12.6640625" style="48" customWidth="1"/>
    <col min="1568" max="1568" width="11.21875" style="48" customWidth="1"/>
    <col min="1569" max="1569" width="18.33203125" style="48" customWidth="1"/>
    <col min="1570" max="1570" width="12.88671875" style="48" customWidth="1"/>
    <col min="1571" max="1572" width="13.21875" style="48" customWidth="1"/>
    <col min="1573" max="1573" width="10.88671875" style="48" customWidth="1"/>
    <col min="1574" max="1574" width="11.109375" style="48" customWidth="1"/>
    <col min="1575" max="1575" width="15.21875" style="48" customWidth="1"/>
    <col min="1576" max="1576" width="9.6640625" style="48"/>
    <col min="1577" max="1577" width="11" style="48" customWidth="1"/>
    <col min="1578" max="1578" width="10.77734375" style="48" customWidth="1"/>
    <col min="1579" max="1579" width="11.44140625" style="48" customWidth="1"/>
    <col min="1580" max="1580" width="4" style="48" customWidth="1"/>
    <col min="1581" max="1771" width="9.6640625" style="48"/>
    <col min="1772" max="1772" width="6.44140625" style="48" customWidth="1"/>
    <col min="1773" max="1773" width="13.88671875" style="48" customWidth="1"/>
    <col min="1774" max="1774" width="11.88671875" style="48" customWidth="1"/>
    <col min="1775" max="1777" width="9.6640625" style="48"/>
    <col min="1778" max="1778" width="15.44140625" style="48" customWidth="1"/>
    <col min="1779" max="1779" width="16.21875" style="48" customWidth="1"/>
    <col min="1780" max="1791" width="9.6640625" style="48"/>
    <col min="1792" max="1792" width="12" style="48" customWidth="1"/>
    <col min="1793" max="1793" width="12.77734375" style="48" customWidth="1"/>
    <col min="1794" max="1794" width="11.109375" style="48" customWidth="1"/>
    <col min="1795" max="1795" width="12" style="48" customWidth="1"/>
    <col min="1796" max="1796" width="9.6640625" style="48"/>
    <col min="1797" max="1797" width="15.33203125" style="48" customWidth="1"/>
    <col min="1798" max="1798" width="15.21875" style="48" customWidth="1"/>
    <col min="1799" max="1799" width="21.44140625" style="48" customWidth="1"/>
    <col min="1800" max="1815" width="9.6640625" style="48"/>
    <col min="1816" max="1817" width="13.44140625" style="48" customWidth="1"/>
    <col min="1818" max="1818" width="9.6640625" style="48"/>
    <col min="1819" max="1819" width="13.88671875" style="48" customWidth="1"/>
    <col min="1820" max="1820" width="10.6640625" style="48" customWidth="1"/>
    <col min="1821" max="1821" width="17.33203125" style="48" customWidth="1"/>
    <col min="1822" max="1823" width="12.6640625" style="48" customWidth="1"/>
    <col min="1824" max="1824" width="11.21875" style="48" customWidth="1"/>
    <col min="1825" max="1825" width="18.33203125" style="48" customWidth="1"/>
    <col min="1826" max="1826" width="12.88671875" style="48" customWidth="1"/>
    <col min="1827" max="1828" width="13.21875" style="48" customWidth="1"/>
    <col min="1829" max="1829" width="10.88671875" style="48" customWidth="1"/>
    <col min="1830" max="1830" width="11.109375" style="48" customWidth="1"/>
    <col min="1831" max="1831" width="15.21875" style="48" customWidth="1"/>
    <col min="1832" max="1832" width="9.6640625" style="48"/>
    <col min="1833" max="1833" width="11" style="48" customWidth="1"/>
    <col min="1834" max="1834" width="10.77734375" style="48" customWidth="1"/>
    <col min="1835" max="1835" width="11.44140625" style="48" customWidth="1"/>
    <col min="1836" max="1836" width="4" style="48" customWidth="1"/>
    <col min="1837" max="2027" width="9.6640625" style="48"/>
    <col min="2028" max="2028" width="6.44140625" style="48" customWidth="1"/>
    <col min="2029" max="2029" width="13.88671875" style="48" customWidth="1"/>
    <col min="2030" max="2030" width="11.88671875" style="48" customWidth="1"/>
    <col min="2031" max="2033" width="9.6640625" style="48"/>
    <col min="2034" max="2034" width="15.44140625" style="48" customWidth="1"/>
    <col min="2035" max="2035" width="16.21875" style="48" customWidth="1"/>
    <col min="2036" max="2047" width="9.6640625" style="48"/>
    <col min="2048" max="2048" width="12" style="48" customWidth="1"/>
    <col min="2049" max="2049" width="12.77734375" style="48" customWidth="1"/>
    <col min="2050" max="2050" width="11.109375" style="48" customWidth="1"/>
    <col min="2051" max="2051" width="12" style="48" customWidth="1"/>
    <col min="2052" max="2052" width="9.6640625" style="48"/>
    <col min="2053" max="2053" width="15.33203125" style="48" customWidth="1"/>
    <col min="2054" max="2054" width="15.21875" style="48" customWidth="1"/>
    <col min="2055" max="2055" width="21.44140625" style="48" customWidth="1"/>
    <col min="2056" max="2071" width="9.6640625" style="48"/>
    <col min="2072" max="2073" width="13.44140625" style="48" customWidth="1"/>
    <col min="2074" max="2074" width="9.6640625" style="48"/>
    <col min="2075" max="2075" width="13.88671875" style="48" customWidth="1"/>
    <col min="2076" max="2076" width="10.6640625" style="48" customWidth="1"/>
    <col min="2077" max="2077" width="17.33203125" style="48" customWidth="1"/>
    <col min="2078" max="2079" width="12.6640625" style="48" customWidth="1"/>
    <col min="2080" max="2080" width="11.21875" style="48" customWidth="1"/>
    <col min="2081" max="2081" width="18.33203125" style="48" customWidth="1"/>
    <col min="2082" max="2082" width="12.88671875" style="48" customWidth="1"/>
    <col min="2083" max="2084" width="13.21875" style="48" customWidth="1"/>
    <col min="2085" max="2085" width="10.88671875" style="48" customWidth="1"/>
    <col min="2086" max="2086" width="11.109375" style="48" customWidth="1"/>
    <col min="2087" max="2087" width="15.21875" style="48" customWidth="1"/>
    <col min="2088" max="2088" width="9.6640625" style="48"/>
    <col min="2089" max="2089" width="11" style="48" customWidth="1"/>
    <col min="2090" max="2090" width="10.77734375" style="48" customWidth="1"/>
    <col min="2091" max="2091" width="11.44140625" style="48" customWidth="1"/>
    <col min="2092" max="2092" width="4" style="48" customWidth="1"/>
    <col min="2093" max="2283" width="9.6640625" style="48"/>
    <col min="2284" max="2284" width="6.44140625" style="48" customWidth="1"/>
    <col min="2285" max="2285" width="13.88671875" style="48" customWidth="1"/>
    <col min="2286" max="2286" width="11.88671875" style="48" customWidth="1"/>
    <col min="2287" max="2289" width="9.6640625" style="48"/>
    <col min="2290" max="2290" width="15.44140625" style="48" customWidth="1"/>
    <col min="2291" max="2291" width="16.21875" style="48" customWidth="1"/>
    <col min="2292" max="2303" width="9.6640625" style="48"/>
    <col min="2304" max="2304" width="12" style="48" customWidth="1"/>
    <col min="2305" max="2305" width="12.77734375" style="48" customWidth="1"/>
    <col min="2306" max="2306" width="11.109375" style="48" customWidth="1"/>
    <col min="2307" max="2307" width="12" style="48" customWidth="1"/>
    <col min="2308" max="2308" width="9.6640625" style="48"/>
    <col min="2309" max="2309" width="15.33203125" style="48" customWidth="1"/>
    <col min="2310" max="2310" width="15.21875" style="48" customWidth="1"/>
    <col min="2311" max="2311" width="21.44140625" style="48" customWidth="1"/>
    <col min="2312" max="2327" width="9.6640625" style="48"/>
    <col min="2328" max="2329" width="13.44140625" style="48" customWidth="1"/>
    <col min="2330" max="2330" width="9.6640625" style="48"/>
    <col min="2331" max="2331" width="13.88671875" style="48" customWidth="1"/>
    <col min="2332" max="2332" width="10.6640625" style="48" customWidth="1"/>
    <col min="2333" max="2333" width="17.33203125" style="48" customWidth="1"/>
    <col min="2334" max="2335" width="12.6640625" style="48" customWidth="1"/>
    <col min="2336" max="2336" width="11.21875" style="48" customWidth="1"/>
    <col min="2337" max="2337" width="18.33203125" style="48" customWidth="1"/>
    <col min="2338" max="2338" width="12.88671875" style="48" customWidth="1"/>
    <col min="2339" max="2340" width="13.21875" style="48" customWidth="1"/>
    <col min="2341" max="2341" width="10.88671875" style="48" customWidth="1"/>
    <col min="2342" max="2342" width="11.109375" style="48" customWidth="1"/>
    <col min="2343" max="2343" width="15.21875" style="48" customWidth="1"/>
    <col min="2344" max="2344" width="9.6640625" style="48"/>
    <col min="2345" max="2345" width="11" style="48" customWidth="1"/>
    <col min="2346" max="2346" width="10.77734375" style="48" customWidth="1"/>
    <col min="2347" max="2347" width="11.44140625" style="48" customWidth="1"/>
    <col min="2348" max="2348" width="4" style="48" customWidth="1"/>
    <col min="2349" max="2539" width="9.6640625" style="48"/>
    <col min="2540" max="2540" width="6.44140625" style="48" customWidth="1"/>
    <col min="2541" max="2541" width="13.88671875" style="48" customWidth="1"/>
    <col min="2542" max="2542" width="11.88671875" style="48" customWidth="1"/>
    <col min="2543" max="2545" width="9.6640625" style="48"/>
    <col min="2546" max="2546" width="15.44140625" style="48" customWidth="1"/>
    <col min="2547" max="2547" width="16.21875" style="48" customWidth="1"/>
    <col min="2548" max="2559" width="9.6640625" style="48"/>
    <col min="2560" max="2560" width="12" style="48" customWidth="1"/>
    <col min="2561" max="2561" width="12.77734375" style="48" customWidth="1"/>
    <col min="2562" max="2562" width="11.109375" style="48" customWidth="1"/>
    <col min="2563" max="2563" width="12" style="48" customWidth="1"/>
    <col min="2564" max="2564" width="9.6640625" style="48"/>
    <col min="2565" max="2565" width="15.33203125" style="48" customWidth="1"/>
    <col min="2566" max="2566" width="15.21875" style="48" customWidth="1"/>
    <col min="2567" max="2567" width="21.44140625" style="48" customWidth="1"/>
    <col min="2568" max="2583" width="9.6640625" style="48"/>
    <col min="2584" max="2585" width="13.44140625" style="48" customWidth="1"/>
    <col min="2586" max="2586" width="9.6640625" style="48"/>
    <col min="2587" max="2587" width="13.88671875" style="48" customWidth="1"/>
    <col min="2588" max="2588" width="10.6640625" style="48" customWidth="1"/>
    <col min="2589" max="2589" width="17.33203125" style="48" customWidth="1"/>
    <col min="2590" max="2591" width="12.6640625" style="48" customWidth="1"/>
    <col min="2592" max="2592" width="11.21875" style="48" customWidth="1"/>
    <col min="2593" max="2593" width="18.33203125" style="48" customWidth="1"/>
    <col min="2594" max="2594" width="12.88671875" style="48" customWidth="1"/>
    <col min="2595" max="2596" width="13.21875" style="48" customWidth="1"/>
    <col min="2597" max="2597" width="10.88671875" style="48" customWidth="1"/>
    <col min="2598" max="2598" width="11.109375" style="48" customWidth="1"/>
    <col min="2599" max="2599" width="15.21875" style="48" customWidth="1"/>
    <col min="2600" max="2600" width="9.6640625" style="48"/>
    <col min="2601" max="2601" width="11" style="48" customWidth="1"/>
    <col min="2602" max="2602" width="10.77734375" style="48" customWidth="1"/>
    <col min="2603" max="2603" width="11.44140625" style="48" customWidth="1"/>
    <col min="2604" max="2604" width="4" style="48" customWidth="1"/>
    <col min="2605" max="2795" width="9.6640625" style="48"/>
    <col min="2796" max="2796" width="6.44140625" style="48" customWidth="1"/>
    <col min="2797" max="2797" width="13.88671875" style="48" customWidth="1"/>
    <col min="2798" max="2798" width="11.88671875" style="48" customWidth="1"/>
    <col min="2799" max="2801" width="9.6640625" style="48"/>
    <col min="2802" max="2802" width="15.44140625" style="48" customWidth="1"/>
    <col min="2803" max="2803" width="16.21875" style="48" customWidth="1"/>
    <col min="2804" max="2815" width="9.6640625" style="48"/>
    <col min="2816" max="2816" width="12" style="48" customWidth="1"/>
    <col min="2817" max="2817" width="12.77734375" style="48" customWidth="1"/>
    <col min="2818" max="2818" width="11.109375" style="48" customWidth="1"/>
    <col min="2819" max="2819" width="12" style="48" customWidth="1"/>
    <col min="2820" max="2820" width="9.6640625" style="48"/>
    <col min="2821" max="2821" width="15.33203125" style="48" customWidth="1"/>
    <col min="2822" max="2822" width="15.21875" style="48" customWidth="1"/>
    <col min="2823" max="2823" width="21.44140625" style="48" customWidth="1"/>
    <col min="2824" max="2839" width="9.6640625" style="48"/>
    <col min="2840" max="2841" width="13.44140625" style="48" customWidth="1"/>
    <col min="2842" max="2842" width="9.6640625" style="48"/>
    <col min="2843" max="2843" width="13.88671875" style="48" customWidth="1"/>
    <col min="2844" max="2844" width="10.6640625" style="48" customWidth="1"/>
    <col min="2845" max="2845" width="17.33203125" style="48" customWidth="1"/>
    <col min="2846" max="2847" width="12.6640625" style="48" customWidth="1"/>
    <col min="2848" max="2848" width="11.21875" style="48" customWidth="1"/>
    <col min="2849" max="2849" width="18.33203125" style="48" customWidth="1"/>
    <col min="2850" max="2850" width="12.88671875" style="48" customWidth="1"/>
    <col min="2851" max="2852" width="13.21875" style="48" customWidth="1"/>
    <col min="2853" max="2853" width="10.88671875" style="48" customWidth="1"/>
    <col min="2854" max="2854" width="11.109375" style="48" customWidth="1"/>
    <col min="2855" max="2855" width="15.21875" style="48" customWidth="1"/>
    <col min="2856" max="2856" width="9.6640625" style="48"/>
    <col min="2857" max="2857" width="11" style="48" customWidth="1"/>
    <col min="2858" max="2858" width="10.77734375" style="48" customWidth="1"/>
    <col min="2859" max="2859" width="11.44140625" style="48" customWidth="1"/>
    <col min="2860" max="2860" width="4" style="48" customWidth="1"/>
    <col min="2861" max="3051" width="9.6640625" style="48"/>
    <col min="3052" max="3052" width="6.44140625" style="48" customWidth="1"/>
    <col min="3053" max="3053" width="13.88671875" style="48" customWidth="1"/>
    <col min="3054" max="3054" width="11.88671875" style="48" customWidth="1"/>
    <col min="3055" max="3057" width="9.6640625" style="48"/>
    <col min="3058" max="3058" width="15.44140625" style="48" customWidth="1"/>
    <col min="3059" max="3059" width="16.21875" style="48" customWidth="1"/>
    <col min="3060" max="3071" width="9.6640625" style="48"/>
    <col min="3072" max="3072" width="12" style="48" customWidth="1"/>
    <col min="3073" max="3073" width="12.77734375" style="48" customWidth="1"/>
    <col min="3074" max="3074" width="11.109375" style="48" customWidth="1"/>
    <col min="3075" max="3075" width="12" style="48" customWidth="1"/>
    <col min="3076" max="3076" width="9.6640625" style="48"/>
    <col min="3077" max="3077" width="15.33203125" style="48" customWidth="1"/>
    <col min="3078" max="3078" width="15.21875" style="48" customWidth="1"/>
    <col min="3079" max="3079" width="21.44140625" style="48" customWidth="1"/>
    <col min="3080" max="3095" width="9.6640625" style="48"/>
    <col min="3096" max="3097" width="13.44140625" style="48" customWidth="1"/>
    <col min="3098" max="3098" width="9.6640625" style="48"/>
    <col min="3099" max="3099" width="13.88671875" style="48" customWidth="1"/>
    <col min="3100" max="3100" width="10.6640625" style="48" customWidth="1"/>
    <col min="3101" max="3101" width="17.33203125" style="48" customWidth="1"/>
    <col min="3102" max="3103" width="12.6640625" style="48" customWidth="1"/>
    <col min="3104" max="3104" width="11.21875" style="48" customWidth="1"/>
    <col min="3105" max="3105" width="18.33203125" style="48" customWidth="1"/>
    <col min="3106" max="3106" width="12.88671875" style="48" customWidth="1"/>
    <col min="3107" max="3108" width="13.21875" style="48" customWidth="1"/>
    <col min="3109" max="3109" width="10.88671875" style="48" customWidth="1"/>
    <col min="3110" max="3110" width="11.109375" style="48" customWidth="1"/>
    <col min="3111" max="3111" width="15.21875" style="48" customWidth="1"/>
    <col min="3112" max="3112" width="9.6640625" style="48"/>
    <col min="3113" max="3113" width="11" style="48" customWidth="1"/>
    <col min="3114" max="3114" width="10.77734375" style="48" customWidth="1"/>
    <col min="3115" max="3115" width="11.44140625" style="48" customWidth="1"/>
    <col min="3116" max="3116" width="4" style="48" customWidth="1"/>
    <col min="3117" max="3307" width="9.6640625" style="48"/>
    <col min="3308" max="3308" width="6.44140625" style="48" customWidth="1"/>
    <col min="3309" max="3309" width="13.88671875" style="48" customWidth="1"/>
    <col min="3310" max="3310" width="11.88671875" style="48" customWidth="1"/>
    <col min="3311" max="3313" width="9.6640625" style="48"/>
    <col min="3314" max="3314" width="15.44140625" style="48" customWidth="1"/>
    <col min="3315" max="3315" width="16.21875" style="48" customWidth="1"/>
    <col min="3316" max="3327" width="9.6640625" style="48"/>
    <col min="3328" max="3328" width="12" style="48" customWidth="1"/>
    <col min="3329" max="3329" width="12.77734375" style="48" customWidth="1"/>
    <col min="3330" max="3330" width="11.109375" style="48" customWidth="1"/>
    <col min="3331" max="3331" width="12" style="48" customWidth="1"/>
    <col min="3332" max="3332" width="9.6640625" style="48"/>
    <col min="3333" max="3333" width="15.33203125" style="48" customWidth="1"/>
    <col min="3334" max="3334" width="15.21875" style="48" customWidth="1"/>
    <col min="3335" max="3335" width="21.44140625" style="48" customWidth="1"/>
    <col min="3336" max="3351" width="9.6640625" style="48"/>
    <col min="3352" max="3353" width="13.44140625" style="48" customWidth="1"/>
    <col min="3354" max="3354" width="9.6640625" style="48"/>
    <col min="3355" max="3355" width="13.88671875" style="48" customWidth="1"/>
    <col min="3356" max="3356" width="10.6640625" style="48" customWidth="1"/>
    <col min="3357" max="3357" width="17.33203125" style="48" customWidth="1"/>
    <col min="3358" max="3359" width="12.6640625" style="48" customWidth="1"/>
    <col min="3360" max="3360" width="11.21875" style="48" customWidth="1"/>
    <col min="3361" max="3361" width="18.33203125" style="48" customWidth="1"/>
    <col min="3362" max="3362" width="12.88671875" style="48" customWidth="1"/>
    <col min="3363" max="3364" width="13.21875" style="48" customWidth="1"/>
    <col min="3365" max="3365" width="10.88671875" style="48" customWidth="1"/>
    <col min="3366" max="3366" width="11.109375" style="48" customWidth="1"/>
    <col min="3367" max="3367" width="15.21875" style="48" customWidth="1"/>
    <col min="3368" max="3368" width="9.6640625" style="48"/>
    <col min="3369" max="3369" width="11" style="48" customWidth="1"/>
    <col min="3370" max="3370" width="10.77734375" style="48" customWidth="1"/>
    <col min="3371" max="3371" width="11.44140625" style="48" customWidth="1"/>
    <col min="3372" max="3372" width="4" style="48" customWidth="1"/>
    <col min="3373" max="3563" width="9.6640625" style="48"/>
    <col min="3564" max="3564" width="6.44140625" style="48" customWidth="1"/>
    <col min="3565" max="3565" width="13.88671875" style="48" customWidth="1"/>
    <col min="3566" max="3566" width="11.88671875" style="48" customWidth="1"/>
    <col min="3567" max="3569" width="9.6640625" style="48"/>
    <col min="3570" max="3570" width="15.44140625" style="48" customWidth="1"/>
    <col min="3571" max="3571" width="16.21875" style="48" customWidth="1"/>
    <col min="3572" max="3583" width="9.6640625" style="48"/>
    <col min="3584" max="3584" width="12" style="48" customWidth="1"/>
    <col min="3585" max="3585" width="12.77734375" style="48" customWidth="1"/>
    <col min="3586" max="3586" width="11.109375" style="48" customWidth="1"/>
    <col min="3587" max="3587" width="12" style="48" customWidth="1"/>
    <col min="3588" max="3588" width="9.6640625" style="48"/>
    <col min="3589" max="3589" width="15.33203125" style="48" customWidth="1"/>
    <col min="3590" max="3590" width="15.21875" style="48" customWidth="1"/>
    <col min="3591" max="3591" width="21.44140625" style="48" customWidth="1"/>
    <col min="3592" max="3607" width="9.6640625" style="48"/>
    <col min="3608" max="3609" width="13.44140625" style="48" customWidth="1"/>
    <col min="3610" max="3610" width="9.6640625" style="48"/>
    <col min="3611" max="3611" width="13.88671875" style="48" customWidth="1"/>
    <col min="3612" max="3612" width="10.6640625" style="48" customWidth="1"/>
    <col min="3613" max="3613" width="17.33203125" style="48" customWidth="1"/>
    <col min="3614" max="3615" width="12.6640625" style="48" customWidth="1"/>
    <col min="3616" max="3616" width="11.21875" style="48" customWidth="1"/>
    <col min="3617" max="3617" width="18.33203125" style="48" customWidth="1"/>
    <col min="3618" max="3618" width="12.88671875" style="48" customWidth="1"/>
    <col min="3619" max="3620" width="13.21875" style="48" customWidth="1"/>
    <col min="3621" max="3621" width="10.88671875" style="48" customWidth="1"/>
    <col min="3622" max="3622" width="11.109375" style="48" customWidth="1"/>
    <col min="3623" max="3623" width="15.21875" style="48" customWidth="1"/>
    <col min="3624" max="3624" width="9.6640625" style="48"/>
    <col min="3625" max="3625" width="11" style="48" customWidth="1"/>
    <col min="3626" max="3626" width="10.77734375" style="48" customWidth="1"/>
    <col min="3627" max="3627" width="11.44140625" style="48" customWidth="1"/>
    <col min="3628" max="3628" width="4" style="48" customWidth="1"/>
    <col min="3629" max="3819" width="9.6640625" style="48"/>
    <col min="3820" max="3820" width="6.44140625" style="48" customWidth="1"/>
    <col min="3821" max="3821" width="13.88671875" style="48" customWidth="1"/>
    <col min="3822" max="3822" width="11.88671875" style="48" customWidth="1"/>
    <col min="3823" max="3825" width="9.6640625" style="48"/>
    <col min="3826" max="3826" width="15.44140625" style="48" customWidth="1"/>
    <col min="3827" max="3827" width="16.21875" style="48" customWidth="1"/>
    <col min="3828" max="3839" width="9.6640625" style="48"/>
    <col min="3840" max="3840" width="12" style="48" customWidth="1"/>
    <col min="3841" max="3841" width="12.77734375" style="48" customWidth="1"/>
    <col min="3842" max="3842" width="11.109375" style="48" customWidth="1"/>
    <col min="3843" max="3843" width="12" style="48" customWidth="1"/>
    <col min="3844" max="3844" width="9.6640625" style="48"/>
    <col min="3845" max="3845" width="15.33203125" style="48" customWidth="1"/>
    <col min="3846" max="3846" width="15.21875" style="48" customWidth="1"/>
    <col min="3847" max="3847" width="21.44140625" style="48" customWidth="1"/>
    <col min="3848" max="3863" width="9.6640625" style="48"/>
    <col min="3864" max="3865" width="13.44140625" style="48" customWidth="1"/>
    <col min="3866" max="3866" width="9.6640625" style="48"/>
    <col min="3867" max="3867" width="13.88671875" style="48" customWidth="1"/>
    <col min="3868" max="3868" width="10.6640625" style="48" customWidth="1"/>
    <col min="3869" max="3869" width="17.33203125" style="48" customWidth="1"/>
    <col min="3870" max="3871" width="12.6640625" style="48" customWidth="1"/>
    <col min="3872" max="3872" width="11.21875" style="48" customWidth="1"/>
    <col min="3873" max="3873" width="18.33203125" style="48" customWidth="1"/>
    <col min="3874" max="3874" width="12.88671875" style="48" customWidth="1"/>
    <col min="3875" max="3876" width="13.21875" style="48" customWidth="1"/>
    <col min="3877" max="3877" width="10.88671875" style="48" customWidth="1"/>
    <col min="3878" max="3878" width="11.109375" style="48" customWidth="1"/>
    <col min="3879" max="3879" width="15.21875" style="48" customWidth="1"/>
    <col min="3880" max="3880" width="9.6640625" style="48"/>
    <col min="3881" max="3881" width="11" style="48" customWidth="1"/>
    <col min="3882" max="3882" width="10.77734375" style="48" customWidth="1"/>
    <col min="3883" max="3883" width="11.44140625" style="48" customWidth="1"/>
    <col min="3884" max="3884" width="4" style="48" customWidth="1"/>
    <col min="3885" max="4075" width="9.6640625" style="48"/>
    <col min="4076" max="4076" width="6.44140625" style="48" customWidth="1"/>
    <col min="4077" max="4077" width="13.88671875" style="48" customWidth="1"/>
    <col min="4078" max="4078" width="11.88671875" style="48" customWidth="1"/>
    <col min="4079" max="4081" width="9.6640625" style="48"/>
    <col min="4082" max="4082" width="15.44140625" style="48" customWidth="1"/>
    <col min="4083" max="4083" width="16.21875" style="48" customWidth="1"/>
    <col min="4084" max="4095" width="9.6640625" style="48"/>
    <col min="4096" max="4096" width="12" style="48" customWidth="1"/>
    <col min="4097" max="4097" width="12.77734375" style="48" customWidth="1"/>
    <col min="4098" max="4098" width="11.109375" style="48" customWidth="1"/>
    <col min="4099" max="4099" width="12" style="48" customWidth="1"/>
    <col min="4100" max="4100" width="9.6640625" style="48"/>
    <col min="4101" max="4101" width="15.33203125" style="48" customWidth="1"/>
    <col min="4102" max="4102" width="15.21875" style="48" customWidth="1"/>
    <col min="4103" max="4103" width="21.44140625" style="48" customWidth="1"/>
    <col min="4104" max="4119" width="9.6640625" style="48"/>
    <col min="4120" max="4121" width="13.44140625" style="48" customWidth="1"/>
    <col min="4122" max="4122" width="9.6640625" style="48"/>
    <col min="4123" max="4123" width="13.88671875" style="48" customWidth="1"/>
    <col min="4124" max="4124" width="10.6640625" style="48" customWidth="1"/>
    <col min="4125" max="4125" width="17.33203125" style="48" customWidth="1"/>
    <col min="4126" max="4127" width="12.6640625" style="48" customWidth="1"/>
    <col min="4128" max="4128" width="11.21875" style="48" customWidth="1"/>
    <col min="4129" max="4129" width="18.33203125" style="48" customWidth="1"/>
    <col min="4130" max="4130" width="12.88671875" style="48" customWidth="1"/>
    <col min="4131" max="4132" width="13.21875" style="48" customWidth="1"/>
    <col min="4133" max="4133" width="10.88671875" style="48" customWidth="1"/>
    <col min="4134" max="4134" width="11.109375" style="48" customWidth="1"/>
    <col min="4135" max="4135" width="15.21875" style="48" customWidth="1"/>
    <col min="4136" max="4136" width="9.6640625" style="48"/>
    <col min="4137" max="4137" width="11" style="48" customWidth="1"/>
    <col min="4138" max="4138" width="10.77734375" style="48" customWidth="1"/>
    <col min="4139" max="4139" width="11.44140625" style="48" customWidth="1"/>
    <col min="4140" max="4140" width="4" style="48" customWidth="1"/>
    <col min="4141" max="4331" width="9.6640625" style="48"/>
    <col min="4332" max="4332" width="6.44140625" style="48" customWidth="1"/>
    <col min="4333" max="4333" width="13.88671875" style="48" customWidth="1"/>
    <col min="4334" max="4334" width="11.88671875" style="48" customWidth="1"/>
    <col min="4335" max="4337" width="9.6640625" style="48"/>
    <col min="4338" max="4338" width="15.44140625" style="48" customWidth="1"/>
    <col min="4339" max="4339" width="16.21875" style="48" customWidth="1"/>
    <col min="4340" max="4351" width="9.6640625" style="48"/>
    <col min="4352" max="4352" width="12" style="48" customWidth="1"/>
    <col min="4353" max="4353" width="12.77734375" style="48" customWidth="1"/>
    <col min="4354" max="4354" width="11.109375" style="48" customWidth="1"/>
    <col min="4355" max="4355" width="12" style="48" customWidth="1"/>
    <col min="4356" max="4356" width="9.6640625" style="48"/>
    <col min="4357" max="4357" width="15.33203125" style="48" customWidth="1"/>
    <col min="4358" max="4358" width="15.21875" style="48" customWidth="1"/>
    <col min="4359" max="4359" width="21.44140625" style="48" customWidth="1"/>
    <col min="4360" max="4375" width="9.6640625" style="48"/>
    <col min="4376" max="4377" width="13.44140625" style="48" customWidth="1"/>
    <col min="4378" max="4378" width="9.6640625" style="48"/>
    <col min="4379" max="4379" width="13.88671875" style="48" customWidth="1"/>
    <col min="4380" max="4380" width="10.6640625" style="48" customWidth="1"/>
    <col min="4381" max="4381" width="17.33203125" style="48" customWidth="1"/>
    <col min="4382" max="4383" width="12.6640625" style="48" customWidth="1"/>
    <col min="4384" max="4384" width="11.21875" style="48" customWidth="1"/>
    <col min="4385" max="4385" width="18.33203125" style="48" customWidth="1"/>
    <col min="4386" max="4386" width="12.88671875" style="48" customWidth="1"/>
    <col min="4387" max="4388" width="13.21875" style="48" customWidth="1"/>
    <col min="4389" max="4389" width="10.88671875" style="48" customWidth="1"/>
    <col min="4390" max="4390" width="11.109375" style="48" customWidth="1"/>
    <col min="4391" max="4391" width="15.21875" style="48" customWidth="1"/>
    <col min="4392" max="4392" width="9.6640625" style="48"/>
    <col min="4393" max="4393" width="11" style="48" customWidth="1"/>
    <col min="4394" max="4394" width="10.77734375" style="48" customWidth="1"/>
    <col min="4395" max="4395" width="11.44140625" style="48" customWidth="1"/>
    <col min="4396" max="4396" width="4" style="48" customWidth="1"/>
    <col min="4397" max="4587" width="9.6640625" style="48"/>
    <col min="4588" max="4588" width="6.44140625" style="48" customWidth="1"/>
    <col min="4589" max="4589" width="13.88671875" style="48" customWidth="1"/>
    <col min="4590" max="4590" width="11.88671875" style="48" customWidth="1"/>
    <col min="4591" max="4593" width="9.6640625" style="48"/>
    <col min="4594" max="4594" width="15.44140625" style="48" customWidth="1"/>
    <col min="4595" max="4595" width="16.21875" style="48" customWidth="1"/>
    <col min="4596" max="4607" width="9.6640625" style="48"/>
    <col min="4608" max="4608" width="12" style="48" customWidth="1"/>
    <col min="4609" max="4609" width="12.77734375" style="48" customWidth="1"/>
    <col min="4610" max="4610" width="11.109375" style="48" customWidth="1"/>
    <col min="4611" max="4611" width="12" style="48" customWidth="1"/>
    <col min="4612" max="4612" width="9.6640625" style="48"/>
    <col min="4613" max="4613" width="15.33203125" style="48" customWidth="1"/>
    <col min="4614" max="4614" width="15.21875" style="48" customWidth="1"/>
    <col min="4615" max="4615" width="21.44140625" style="48" customWidth="1"/>
    <col min="4616" max="4631" width="9.6640625" style="48"/>
    <col min="4632" max="4633" width="13.44140625" style="48" customWidth="1"/>
    <col min="4634" max="4634" width="9.6640625" style="48"/>
    <col min="4635" max="4635" width="13.88671875" style="48" customWidth="1"/>
    <col min="4636" max="4636" width="10.6640625" style="48" customWidth="1"/>
    <col min="4637" max="4637" width="17.33203125" style="48" customWidth="1"/>
    <col min="4638" max="4639" width="12.6640625" style="48" customWidth="1"/>
    <col min="4640" max="4640" width="11.21875" style="48" customWidth="1"/>
    <col min="4641" max="4641" width="18.33203125" style="48" customWidth="1"/>
    <col min="4642" max="4642" width="12.88671875" style="48" customWidth="1"/>
    <col min="4643" max="4644" width="13.21875" style="48" customWidth="1"/>
    <col min="4645" max="4645" width="10.88671875" style="48" customWidth="1"/>
    <col min="4646" max="4646" width="11.109375" style="48" customWidth="1"/>
    <col min="4647" max="4647" width="15.21875" style="48" customWidth="1"/>
    <col min="4648" max="4648" width="9.6640625" style="48"/>
    <col min="4649" max="4649" width="11" style="48" customWidth="1"/>
    <col min="4650" max="4650" width="10.77734375" style="48" customWidth="1"/>
    <col min="4651" max="4651" width="11.44140625" style="48" customWidth="1"/>
    <col min="4652" max="4652" width="4" style="48" customWidth="1"/>
    <col min="4653" max="4843" width="9.6640625" style="48"/>
    <col min="4844" max="4844" width="6.44140625" style="48" customWidth="1"/>
    <col min="4845" max="4845" width="13.88671875" style="48" customWidth="1"/>
    <col min="4846" max="4846" width="11.88671875" style="48" customWidth="1"/>
    <col min="4847" max="4849" width="9.6640625" style="48"/>
    <col min="4850" max="4850" width="15.44140625" style="48" customWidth="1"/>
    <col min="4851" max="4851" width="16.21875" style="48" customWidth="1"/>
    <col min="4852" max="4863" width="9.6640625" style="48"/>
    <col min="4864" max="4864" width="12" style="48" customWidth="1"/>
    <col min="4865" max="4865" width="12.77734375" style="48" customWidth="1"/>
    <col min="4866" max="4866" width="11.109375" style="48" customWidth="1"/>
    <col min="4867" max="4867" width="12" style="48" customWidth="1"/>
    <col min="4868" max="4868" width="9.6640625" style="48"/>
    <col min="4869" max="4869" width="15.33203125" style="48" customWidth="1"/>
    <col min="4870" max="4870" width="15.21875" style="48" customWidth="1"/>
    <col min="4871" max="4871" width="21.44140625" style="48" customWidth="1"/>
    <col min="4872" max="4887" width="9.6640625" style="48"/>
    <col min="4888" max="4889" width="13.44140625" style="48" customWidth="1"/>
    <col min="4890" max="4890" width="9.6640625" style="48"/>
    <col min="4891" max="4891" width="13.88671875" style="48" customWidth="1"/>
    <col min="4892" max="4892" width="10.6640625" style="48" customWidth="1"/>
    <col min="4893" max="4893" width="17.33203125" style="48" customWidth="1"/>
    <col min="4894" max="4895" width="12.6640625" style="48" customWidth="1"/>
    <col min="4896" max="4896" width="11.21875" style="48" customWidth="1"/>
    <col min="4897" max="4897" width="18.33203125" style="48" customWidth="1"/>
    <col min="4898" max="4898" width="12.88671875" style="48" customWidth="1"/>
    <col min="4899" max="4900" width="13.21875" style="48" customWidth="1"/>
    <col min="4901" max="4901" width="10.88671875" style="48" customWidth="1"/>
    <col min="4902" max="4902" width="11.109375" style="48" customWidth="1"/>
    <col min="4903" max="4903" width="15.21875" style="48" customWidth="1"/>
    <col min="4904" max="4904" width="9.6640625" style="48"/>
    <col min="4905" max="4905" width="11" style="48" customWidth="1"/>
    <col min="4906" max="4906" width="10.77734375" style="48" customWidth="1"/>
    <col min="4907" max="4907" width="11.44140625" style="48" customWidth="1"/>
    <col min="4908" max="4908" width="4" style="48" customWidth="1"/>
    <col min="4909" max="5099" width="9.6640625" style="48"/>
    <col min="5100" max="5100" width="6.44140625" style="48" customWidth="1"/>
    <col min="5101" max="5101" width="13.88671875" style="48" customWidth="1"/>
    <col min="5102" max="5102" width="11.88671875" style="48" customWidth="1"/>
    <col min="5103" max="5105" width="9.6640625" style="48"/>
    <col min="5106" max="5106" width="15.44140625" style="48" customWidth="1"/>
    <col min="5107" max="5107" width="16.21875" style="48" customWidth="1"/>
    <col min="5108" max="5119" width="9.6640625" style="48"/>
    <col min="5120" max="5120" width="12" style="48" customWidth="1"/>
    <col min="5121" max="5121" width="12.77734375" style="48" customWidth="1"/>
    <col min="5122" max="5122" width="11.109375" style="48" customWidth="1"/>
    <col min="5123" max="5123" width="12" style="48" customWidth="1"/>
    <col min="5124" max="5124" width="9.6640625" style="48"/>
    <col min="5125" max="5125" width="15.33203125" style="48" customWidth="1"/>
    <col min="5126" max="5126" width="15.21875" style="48" customWidth="1"/>
    <col min="5127" max="5127" width="21.44140625" style="48" customWidth="1"/>
    <col min="5128" max="5143" width="9.6640625" style="48"/>
    <col min="5144" max="5145" width="13.44140625" style="48" customWidth="1"/>
    <col min="5146" max="5146" width="9.6640625" style="48"/>
    <col min="5147" max="5147" width="13.88671875" style="48" customWidth="1"/>
    <col min="5148" max="5148" width="10.6640625" style="48" customWidth="1"/>
    <col min="5149" max="5149" width="17.33203125" style="48" customWidth="1"/>
    <col min="5150" max="5151" width="12.6640625" style="48" customWidth="1"/>
    <col min="5152" max="5152" width="11.21875" style="48" customWidth="1"/>
    <col min="5153" max="5153" width="18.33203125" style="48" customWidth="1"/>
    <col min="5154" max="5154" width="12.88671875" style="48" customWidth="1"/>
    <col min="5155" max="5156" width="13.21875" style="48" customWidth="1"/>
    <col min="5157" max="5157" width="10.88671875" style="48" customWidth="1"/>
    <col min="5158" max="5158" width="11.109375" style="48" customWidth="1"/>
    <col min="5159" max="5159" width="15.21875" style="48" customWidth="1"/>
    <col min="5160" max="5160" width="9.6640625" style="48"/>
    <col min="5161" max="5161" width="11" style="48" customWidth="1"/>
    <col min="5162" max="5162" width="10.77734375" style="48" customWidth="1"/>
    <col min="5163" max="5163" width="11.44140625" style="48" customWidth="1"/>
    <col min="5164" max="5164" width="4" style="48" customWidth="1"/>
    <col min="5165" max="5355" width="9.6640625" style="48"/>
    <col min="5356" max="5356" width="6.44140625" style="48" customWidth="1"/>
    <col min="5357" max="5357" width="13.88671875" style="48" customWidth="1"/>
    <col min="5358" max="5358" width="11.88671875" style="48" customWidth="1"/>
    <col min="5359" max="5361" width="9.6640625" style="48"/>
    <col min="5362" max="5362" width="15.44140625" style="48" customWidth="1"/>
    <col min="5363" max="5363" width="16.21875" style="48" customWidth="1"/>
    <col min="5364" max="5375" width="9.6640625" style="48"/>
    <col min="5376" max="5376" width="12" style="48" customWidth="1"/>
    <col min="5377" max="5377" width="12.77734375" style="48" customWidth="1"/>
    <col min="5378" max="5378" width="11.109375" style="48" customWidth="1"/>
    <col min="5379" max="5379" width="12" style="48" customWidth="1"/>
    <col min="5380" max="5380" width="9.6640625" style="48"/>
    <col min="5381" max="5381" width="15.33203125" style="48" customWidth="1"/>
    <col min="5382" max="5382" width="15.21875" style="48" customWidth="1"/>
    <col min="5383" max="5383" width="21.44140625" style="48" customWidth="1"/>
    <col min="5384" max="5399" width="9.6640625" style="48"/>
    <col min="5400" max="5401" width="13.44140625" style="48" customWidth="1"/>
    <col min="5402" max="5402" width="9.6640625" style="48"/>
    <col min="5403" max="5403" width="13.88671875" style="48" customWidth="1"/>
    <col min="5404" max="5404" width="10.6640625" style="48" customWidth="1"/>
    <col min="5405" max="5405" width="17.33203125" style="48" customWidth="1"/>
    <col min="5406" max="5407" width="12.6640625" style="48" customWidth="1"/>
    <col min="5408" max="5408" width="11.21875" style="48" customWidth="1"/>
    <col min="5409" max="5409" width="18.33203125" style="48" customWidth="1"/>
    <col min="5410" max="5410" width="12.88671875" style="48" customWidth="1"/>
    <col min="5411" max="5412" width="13.21875" style="48" customWidth="1"/>
    <col min="5413" max="5413" width="10.88671875" style="48" customWidth="1"/>
    <col min="5414" max="5414" width="11.109375" style="48" customWidth="1"/>
    <col min="5415" max="5415" width="15.21875" style="48" customWidth="1"/>
    <col min="5416" max="5416" width="9.6640625" style="48"/>
    <col min="5417" max="5417" width="11" style="48" customWidth="1"/>
    <col min="5418" max="5418" width="10.77734375" style="48" customWidth="1"/>
    <col min="5419" max="5419" width="11.44140625" style="48" customWidth="1"/>
    <col min="5420" max="5420" width="4" style="48" customWidth="1"/>
    <col min="5421" max="5611" width="9.6640625" style="48"/>
    <col min="5612" max="5612" width="6.44140625" style="48" customWidth="1"/>
    <col min="5613" max="5613" width="13.88671875" style="48" customWidth="1"/>
    <col min="5614" max="5614" width="11.88671875" style="48" customWidth="1"/>
    <col min="5615" max="5617" width="9.6640625" style="48"/>
    <col min="5618" max="5618" width="15.44140625" style="48" customWidth="1"/>
    <col min="5619" max="5619" width="16.21875" style="48" customWidth="1"/>
    <col min="5620" max="5631" width="9.6640625" style="48"/>
    <col min="5632" max="5632" width="12" style="48" customWidth="1"/>
    <col min="5633" max="5633" width="12.77734375" style="48" customWidth="1"/>
    <col min="5634" max="5634" width="11.109375" style="48" customWidth="1"/>
    <col min="5635" max="5635" width="12" style="48" customWidth="1"/>
    <col min="5636" max="5636" width="9.6640625" style="48"/>
    <col min="5637" max="5637" width="15.33203125" style="48" customWidth="1"/>
    <col min="5638" max="5638" width="15.21875" style="48" customWidth="1"/>
    <col min="5639" max="5639" width="21.44140625" style="48" customWidth="1"/>
    <col min="5640" max="5655" width="9.6640625" style="48"/>
    <col min="5656" max="5657" width="13.44140625" style="48" customWidth="1"/>
    <col min="5658" max="5658" width="9.6640625" style="48"/>
    <col min="5659" max="5659" width="13.88671875" style="48" customWidth="1"/>
    <col min="5660" max="5660" width="10.6640625" style="48" customWidth="1"/>
    <col min="5661" max="5661" width="17.33203125" style="48" customWidth="1"/>
    <col min="5662" max="5663" width="12.6640625" style="48" customWidth="1"/>
    <col min="5664" max="5664" width="11.21875" style="48" customWidth="1"/>
    <col min="5665" max="5665" width="18.33203125" style="48" customWidth="1"/>
    <col min="5666" max="5666" width="12.88671875" style="48" customWidth="1"/>
    <col min="5667" max="5668" width="13.21875" style="48" customWidth="1"/>
    <col min="5669" max="5669" width="10.88671875" style="48" customWidth="1"/>
    <col min="5670" max="5670" width="11.109375" style="48" customWidth="1"/>
    <col min="5671" max="5671" width="15.21875" style="48" customWidth="1"/>
    <col min="5672" max="5672" width="9.6640625" style="48"/>
    <col min="5673" max="5673" width="11" style="48" customWidth="1"/>
    <col min="5674" max="5674" width="10.77734375" style="48" customWidth="1"/>
    <col min="5675" max="5675" width="11.44140625" style="48" customWidth="1"/>
    <col min="5676" max="5676" width="4" style="48" customWidth="1"/>
    <col min="5677" max="5867" width="9.6640625" style="48"/>
    <col min="5868" max="5868" width="6.44140625" style="48" customWidth="1"/>
    <col min="5869" max="5869" width="13.88671875" style="48" customWidth="1"/>
    <col min="5870" max="5870" width="11.88671875" style="48" customWidth="1"/>
    <col min="5871" max="5873" width="9.6640625" style="48"/>
    <col min="5874" max="5874" width="15.44140625" style="48" customWidth="1"/>
    <col min="5875" max="5875" width="16.21875" style="48" customWidth="1"/>
    <col min="5876" max="5887" width="9.6640625" style="48"/>
    <col min="5888" max="5888" width="12" style="48" customWidth="1"/>
    <col min="5889" max="5889" width="12.77734375" style="48" customWidth="1"/>
    <col min="5890" max="5890" width="11.109375" style="48" customWidth="1"/>
    <col min="5891" max="5891" width="12" style="48" customWidth="1"/>
    <col min="5892" max="5892" width="9.6640625" style="48"/>
    <col min="5893" max="5893" width="15.33203125" style="48" customWidth="1"/>
    <col min="5894" max="5894" width="15.21875" style="48" customWidth="1"/>
    <col min="5895" max="5895" width="21.44140625" style="48" customWidth="1"/>
    <col min="5896" max="5911" width="9.6640625" style="48"/>
    <col min="5912" max="5913" width="13.44140625" style="48" customWidth="1"/>
    <col min="5914" max="5914" width="9.6640625" style="48"/>
    <col min="5915" max="5915" width="13.88671875" style="48" customWidth="1"/>
    <col min="5916" max="5916" width="10.6640625" style="48" customWidth="1"/>
    <col min="5917" max="5917" width="17.33203125" style="48" customWidth="1"/>
    <col min="5918" max="5919" width="12.6640625" style="48" customWidth="1"/>
    <col min="5920" max="5920" width="11.21875" style="48" customWidth="1"/>
    <col min="5921" max="5921" width="18.33203125" style="48" customWidth="1"/>
    <col min="5922" max="5922" width="12.88671875" style="48" customWidth="1"/>
    <col min="5923" max="5924" width="13.21875" style="48" customWidth="1"/>
    <col min="5925" max="5925" width="10.88671875" style="48" customWidth="1"/>
    <col min="5926" max="5926" width="11.109375" style="48" customWidth="1"/>
    <col min="5927" max="5927" width="15.21875" style="48" customWidth="1"/>
    <col min="5928" max="5928" width="9.6640625" style="48"/>
    <col min="5929" max="5929" width="11" style="48" customWidth="1"/>
    <col min="5930" max="5930" width="10.77734375" style="48" customWidth="1"/>
    <col min="5931" max="5931" width="11.44140625" style="48" customWidth="1"/>
    <col min="5932" max="5932" width="4" style="48" customWidth="1"/>
    <col min="5933" max="6123" width="9.6640625" style="48"/>
    <col min="6124" max="6124" width="6.44140625" style="48" customWidth="1"/>
    <col min="6125" max="6125" width="13.88671875" style="48" customWidth="1"/>
    <col min="6126" max="6126" width="11.88671875" style="48" customWidth="1"/>
    <col min="6127" max="6129" width="9.6640625" style="48"/>
    <col min="6130" max="6130" width="15.44140625" style="48" customWidth="1"/>
    <col min="6131" max="6131" width="16.21875" style="48" customWidth="1"/>
    <col min="6132" max="6143" width="9.6640625" style="48"/>
    <col min="6144" max="6144" width="12" style="48" customWidth="1"/>
    <col min="6145" max="6145" width="12.77734375" style="48" customWidth="1"/>
    <col min="6146" max="6146" width="11.109375" style="48" customWidth="1"/>
    <col min="6147" max="6147" width="12" style="48" customWidth="1"/>
    <col min="6148" max="6148" width="9.6640625" style="48"/>
    <col min="6149" max="6149" width="15.33203125" style="48" customWidth="1"/>
    <col min="6150" max="6150" width="15.21875" style="48" customWidth="1"/>
    <col min="6151" max="6151" width="21.44140625" style="48" customWidth="1"/>
    <col min="6152" max="6167" width="9.6640625" style="48"/>
    <col min="6168" max="6169" width="13.44140625" style="48" customWidth="1"/>
    <col min="6170" max="6170" width="9.6640625" style="48"/>
    <col min="6171" max="6171" width="13.88671875" style="48" customWidth="1"/>
    <col min="6172" max="6172" width="10.6640625" style="48" customWidth="1"/>
    <col min="6173" max="6173" width="17.33203125" style="48" customWidth="1"/>
    <col min="6174" max="6175" width="12.6640625" style="48" customWidth="1"/>
    <col min="6176" max="6176" width="11.21875" style="48" customWidth="1"/>
    <col min="6177" max="6177" width="18.33203125" style="48" customWidth="1"/>
    <col min="6178" max="6178" width="12.88671875" style="48" customWidth="1"/>
    <col min="6179" max="6180" width="13.21875" style="48" customWidth="1"/>
    <col min="6181" max="6181" width="10.88671875" style="48" customWidth="1"/>
    <col min="6182" max="6182" width="11.109375" style="48" customWidth="1"/>
    <col min="6183" max="6183" width="15.21875" style="48" customWidth="1"/>
    <col min="6184" max="6184" width="9.6640625" style="48"/>
    <col min="6185" max="6185" width="11" style="48" customWidth="1"/>
    <col min="6186" max="6186" width="10.77734375" style="48" customWidth="1"/>
    <col min="6187" max="6187" width="11.44140625" style="48" customWidth="1"/>
    <col min="6188" max="6188" width="4" style="48" customWidth="1"/>
    <col min="6189" max="6379" width="9.6640625" style="48"/>
    <col min="6380" max="6380" width="6.44140625" style="48" customWidth="1"/>
    <col min="6381" max="6381" width="13.88671875" style="48" customWidth="1"/>
    <col min="6382" max="6382" width="11.88671875" style="48" customWidth="1"/>
    <col min="6383" max="6385" width="9.6640625" style="48"/>
    <col min="6386" max="6386" width="15.44140625" style="48" customWidth="1"/>
    <col min="6387" max="6387" width="16.21875" style="48" customWidth="1"/>
    <col min="6388" max="6399" width="9.6640625" style="48"/>
    <col min="6400" max="6400" width="12" style="48" customWidth="1"/>
    <col min="6401" max="6401" width="12.77734375" style="48" customWidth="1"/>
    <col min="6402" max="6402" width="11.109375" style="48" customWidth="1"/>
    <col min="6403" max="6403" width="12" style="48" customWidth="1"/>
    <col min="6404" max="6404" width="9.6640625" style="48"/>
    <col min="6405" max="6405" width="15.33203125" style="48" customWidth="1"/>
    <col min="6406" max="6406" width="15.21875" style="48" customWidth="1"/>
    <col min="6407" max="6407" width="21.44140625" style="48" customWidth="1"/>
    <col min="6408" max="6423" width="9.6640625" style="48"/>
    <col min="6424" max="6425" width="13.44140625" style="48" customWidth="1"/>
    <col min="6426" max="6426" width="9.6640625" style="48"/>
    <col min="6427" max="6427" width="13.88671875" style="48" customWidth="1"/>
    <col min="6428" max="6428" width="10.6640625" style="48" customWidth="1"/>
    <col min="6429" max="6429" width="17.33203125" style="48" customWidth="1"/>
    <col min="6430" max="6431" width="12.6640625" style="48" customWidth="1"/>
    <col min="6432" max="6432" width="11.21875" style="48" customWidth="1"/>
    <col min="6433" max="6433" width="18.33203125" style="48" customWidth="1"/>
    <col min="6434" max="6434" width="12.88671875" style="48" customWidth="1"/>
    <col min="6435" max="6436" width="13.21875" style="48" customWidth="1"/>
    <col min="6437" max="6437" width="10.88671875" style="48" customWidth="1"/>
    <col min="6438" max="6438" width="11.109375" style="48" customWidth="1"/>
    <col min="6439" max="6439" width="15.21875" style="48" customWidth="1"/>
    <col min="6440" max="6440" width="9.6640625" style="48"/>
    <col min="6441" max="6441" width="11" style="48" customWidth="1"/>
    <col min="6442" max="6442" width="10.77734375" style="48" customWidth="1"/>
    <col min="6443" max="6443" width="11.44140625" style="48" customWidth="1"/>
    <col min="6444" max="6444" width="4" style="48" customWidth="1"/>
    <col min="6445" max="6635" width="9.6640625" style="48"/>
    <col min="6636" max="6636" width="6.44140625" style="48" customWidth="1"/>
    <col min="6637" max="6637" width="13.88671875" style="48" customWidth="1"/>
    <col min="6638" max="6638" width="11.88671875" style="48" customWidth="1"/>
    <col min="6639" max="6641" width="9.6640625" style="48"/>
    <col min="6642" max="6642" width="15.44140625" style="48" customWidth="1"/>
    <col min="6643" max="6643" width="16.21875" style="48" customWidth="1"/>
    <col min="6644" max="6655" width="9.6640625" style="48"/>
    <col min="6656" max="6656" width="12" style="48" customWidth="1"/>
    <col min="6657" max="6657" width="12.77734375" style="48" customWidth="1"/>
    <col min="6658" max="6658" width="11.109375" style="48" customWidth="1"/>
    <col min="6659" max="6659" width="12" style="48" customWidth="1"/>
    <col min="6660" max="6660" width="9.6640625" style="48"/>
    <col min="6661" max="6661" width="15.33203125" style="48" customWidth="1"/>
    <col min="6662" max="6662" width="15.21875" style="48" customWidth="1"/>
    <col min="6663" max="6663" width="21.44140625" style="48" customWidth="1"/>
    <col min="6664" max="6679" width="9.6640625" style="48"/>
    <col min="6680" max="6681" width="13.44140625" style="48" customWidth="1"/>
    <col min="6682" max="6682" width="9.6640625" style="48"/>
    <col min="6683" max="6683" width="13.88671875" style="48" customWidth="1"/>
    <col min="6684" max="6684" width="10.6640625" style="48" customWidth="1"/>
    <col min="6685" max="6685" width="17.33203125" style="48" customWidth="1"/>
    <col min="6686" max="6687" width="12.6640625" style="48" customWidth="1"/>
    <col min="6688" max="6688" width="11.21875" style="48" customWidth="1"/>
    <col min="6689" max="6689" width="18.33203125" style="48" customWidth="1"/>
    <col min="6690" max="6690" width="12.88671875" style="48" customWidth="1"/>
    <col min="6691" max="6692" width="13.21875" style="48" customWidth="1"/>
    <col min="6693" max="6693" width="10.88671875" style="48" customWidth="1"/>
    <col min="6694" max="6694" width="11.109375" style="48" customWidth="1"/>
    <col min="6695" max="6695" width="15.21875" style="48" customWidth="1"/>
    <col min="6696" max="6696" width="9.6640625" style="48"/>
    <col min="6697" max="6697" width="11" style="48" customWidth="1"/>
    <col min="6698" max="6698" width="10.77734375" style="48" customWidth="1"/>
    <col min="6699" max="6699" width="11.44140625" style="48" customWidth="1"/>
    <col min="6700" max="6700" width="4" style="48" customWidth="1"/>
    <col min="6701" max="6891" width="9.6640625" style="48"/>
    <col min="6892" max="6892" width="6.44140625" style="48" customWidth="1"/>
    <col min="6893" max="6893" width="13.88671875" style="48" customWidth="1"/>
    <col min="6894" max="6894" width="11.88671875" style="48" customWidth="1"/>
    <col min="6895" max="6897" width="9.6640625" style="48"/>
    <col min="6898" max="6898" width="15.44140625" style="48" customWidth="1"/>
    <col min="6899" max="6899" width="16.21875" style="48" customWidth="1"/>
    <col min="6900" max="6911" width="9.6640625" style="48"/>
    <col min="6912" max="6912" width="12" style="48" customWidth="1"/>
    <col min="6913" max="6913" width="12.77734375" style="48" customWidth="1"/>
    <col min="6914" max="6914" width="11.109375" style="48" customWidth="1"/>
    <col min="6915" max="6915" width="12" style="48" customWidth="1"/>
    <col min="6916" max="6916" width="9.6640625" style="48"/>
    <col min="6917" max="6917" width="15.33203125" style="48" customWidth="1"/>
    <col min="6918" max="6918" width="15.21875" style="48" customWidth="1"/>
    <col min="6919" max="6919" width="21.44140625" style="48" customWidth="1"/>
    <col min="6920" max="6935" width="9.6640625" style="48"/>
    <col min="6936" max="6937" width="13.44140625" style="48" customWidth="1"/>
    <col min="6938" max="6938" width="9.6640625" style="48"/>
    <col min="6939" max="6939" width="13.88671875" style="48" customWidth="1"/>
    <col min="6940" max="6940" width="10.6640625" style="48" customWidth="1"/>
    <col min="6941" max="6941" width="17.33203125" style="48" customWidth="1"/>
    <col min="6942" max="6943" width="12.6640625" style="48" customWidth="1"/>
    <col min="6944" max="6944" width="11.21875" style="48" customWidth="1"/>
    <col min="6945" max="6945" width="18.33203125" style="48" customWidth="1"/>
    <col min="6946" max="6946" width="12.88671875" style="48" customWidth="1"/>
    <col min="6947" max="6948" width="13.21875" style="48" customWidth="1"/>
    <col min="6949" max="6949" width="10.88671875" style="48" customWidth="1"/>
    <col min="6950" max="6950" width="11.109375" style="48" customWidth="1"/>
    <col min="6951" max="6951" width="15.21875" style="48" customWidth="1"/>
    <col min="6952" max="6952" width="9.6640625" style="48"/>
    <col min="6953" max="6953" width="11" style="48" customWidth="1"/>
    <col min="6954" max="6954" width="10.77734375" style="48" customWidth="1"/>
    <col min="6955" max="6955" width="11.44140625" style="48" customWidth="1"/>
    <col min="6956" max="6956" width="4" style="48" customWidth="1"/>
    <col min="6957" max="7147" width="9.6640625" style="48"/>
    <col min="7148" max="7148" width="6.44140625" style="48" customWidth="1"/>
    <col min="7149" max="7149" width="13.88671875" style="48" customWidth="1"/>
    <col min="7150" max="7150" width="11.88671875" style="48" customWidth="1"/>
    <col min="7151" max="7153" width="9.6640625" style="48"/>
    <col min="7154" max="7154" width="15.44140625" style="48" customWidth="1"/>
    <col min="7155" max="7155" width="16.21875" style="48" customWidth="1"/>
    <col min="7156" max="7167" width="9.6640625" style="48"/>
    <col min="7168" max="7168" width="12" style="48" customWidth="1"/>
    <col min="7169" max="7169" width="12.77734375" style="48" customWidth="1"/>
    <col min="7170" max="7170" width="11.109375" style="48" customWidth="1"/>
    <col min="7171" max="7171" width="12" style="48" customWidth="1"/>
    <col min="7172" max="7172" width="9.6640625" style="48"/>
    <col min="7173" max="7173" width="15.33203125" style="48" customWidth="1"/>
    <col min="7174" max="7174" width="15.21875" style="48" customWidth="1"/>
    <col min="7175" max="7175" width="21.44140625" style="48" customWidth="1"/>
    <col min="7176" max="7191" width="9.6640625" style="48"/>
    <col min="7192" max="7193" width="13.44140625" style="48" customWidth="1"/>
    <col min="7194" max="7194" width="9.6640625" style="48"/>
    <col min="7195" max="7195" width="13.88671875" style="48" customWidth="1"/>
    <col min="7196" max="7196" width="10.6640625" style="48" customWidth="1"/>
    <col min="7197" max="7197" width="17.33203125" style="48" customWidth="1"/>
    <col min="7198" max="7199" width="12.6640625" style="48" customWidth="1"/>
    <col min="7200" max="7200" width="11.21875" style="48" customWidth="1"/>
    <col min="7201" max="7201" width="18.33203125" style="48" customWidth="1"/>
    <col min="7202" max="7202" width="12.88671875" style="48" customWidth="1"/>
    <col min="7203" max="7204" width="13.21875" style="48" customWidth="1"/>
    <col min="7205" max="7205" width="10.88671875" style="48" customWidth="1"/>
    <col min="7206" max="7206" width="11.109375" style="48" customWidth="1"/>
    <col min="7207" max="7207" width="15.21875" style="48" customWidth="1"/>
    <col min="7208" max="7208" width="9.6640625" style="48"/>
    <col min="7209" max="7209" width="11" style="48" customWidth="1"/>
    <col min="7210" max="7210" width="10.77734375" style="48" customWidth="1"/>
    <col min="7211" max="7211" width="11.44140625" style="48" customWidth="1"/>
    <col min="7212" max="7212" width="4" style="48" customWidth="1"/>
    <col min="7213" max="7403" width="9.6640625" style="48"/>
    <col min="7404" max="7404" width="6.44140625" style="48" customWidth="1"/>
    <col min="7405" max="7405" width="13.88671875" style="48" customWidth="1"/>
    <col min="7406" max="7406" width="11.88671875" style="48" customWidth="1"/>
    <col min="7407" max="7409" width="9.6640625" style="48"/>
    <col min="7410" max="7410" width="15.44140625" style="48" customWidth="1"/>
    <col min="7411" max="7411" width="16.21875" style="48" customWidth="1"/>
    <col min="7412" max="7423" width="9.6640625" style="48"/>
    <col min="7424" max="7424" width="12" style="48" customWidth="1"/>
    <col min="7425" max="7425" width="12.77734375" style="48" customWidth="1"/>
    <col min="7426" max="7426" width="11.109375" style="48" customWidth="1"/>
    <col min="7427" max="7427" width="12" style="48" customWidth="1"/>
    <col min="7428" max="7428" width="9.6640625" style="48"/>
    <col min="7429" max="7429" width="15.33203125" style="48" customWidth="1"/>
    <col min="7430" max="7430" width="15.21875" style="48" customWidth="1"/>
    <col min="7431" max="7431" width="21.44140625" style="48" customWidth="1"/>
    <col min="7432" max="7447" width="9.6640625" style="48"/>
    <col min="7448" max="7449" width="13.44140625" style="48" customWidth="1"/>
    <col min="7450" max="7450" width="9.6640625" style="48"/>
    <col min="7451" max="7451" width="13.88671875" style="48" customWidth="1"/>
    <col min="7452" max="7452" width="10.6640625" style="48" customWidth="1"/>
    <col min="7453" max="7453" width="17.33203125" style="48" customWidth="1"/>
    <col min="7454" max="7455" width="12.6640625" style="48" customWidth="1"/>
    <col min="7456" max="7456" width="11.21875" style="48" customWidth="1"/>
    <col min="7457" max="7457" width="18.33203125" style="48" customWidth="1"/>
    <col min="7458" max="7458" width="12.88671875" style="48" customWidth="1"/>
    <col min="7459" max="7460" width="13.21875" style="48" customWidth="1"/>
    <col min="7461" max="7461" width="10.88671875" style="48" customWidth="1"/>
    <col min="7462" max="7462" width="11.109375" style="48" customWidth="1"/>
    <col min="7463" max="7463" width="15.21875" style="48" customWidth="1"/>
    <col min="7464" max="7464" width="9.6640625" style="48"/>
    <col min="7465" max="7465" width="11" style="48" customWidth="1"/>
    <col min="7466" max="7466" width="10.77734375" style="48" customWidth="1"/>
    <col min="7467" max="7467" width="11.44140625" style="48" customWidth="1"/>
    <col min="7468" max="7468" width="4" style="48" customWidth="1"/>
    <col min="7469" max="7659" width="9.6640625" style="48"/>
    <col min="7660" max="7660" width="6.44140625" style="48" customWidth="1"/>
    <col min="7661" max="7661" width="13.88671875" style="48" customWidth="1"/>
    <col min="7662" max="7662" width="11.88671875" style="48" customWidth="1"/>
    <col min="7663" max="7665" width="9.6640625" style="48"/>
    <col min="7666" max="7666" width="15.44140625" style="48" customWidth="1"/>
    <col min="7667" max="7667" width="16.21875" style="48" customWidth="1"/>
    <col min="7668" max="7679" width="9.6640625" style="48"/>
    <col min="7680" max="7680" width="12" style="48" customWidth="1"/>
    <col min="7681" max="7681" width="12.77734375" style="48" customWidth="1"/>
    <col min="7682" max="7682" width="11.109375" style="48" customWidth="1"/>
    <col min="7683" max="7683" width="12" style="48" customWidth="1"/>
    <col min="7684" max="7684" width="9.6640625" style="48"/>
    <col min="7685" max="7685" width="15.33203125" style="48" customWidth="1"/>
    <col min="7686" max="7686" width="15.21875" style="48" customWidth="1"/>
    <col min="7687" max="7687" width="21.44140625" style="48" customWidth="1"/>
    <col min="7688" max="7703" width="9.6640625" style="48"/>
    <col min="7704" max="7705" width="13.44140625" style="48" customWidth="1"/>
    <col min="7706" max="7706" width="9.6640625" style="48"/>
    <col min="7707" max="7707" width="13.88671875" style="48" customWidth="1"/>
    <col min="7708" max="7708" width="10.6640625" style="48" customWidth="1"/>
    <col min="7709" max="7709" width="17.33203125" style="48" customWidth="1"/>
    <col min="7710" max="7711" width="12.6640625" style="48" customWidth="1"/>
    <col min="7712" max="7712" width="11.21875" style="48" customWidth="1"/>
    <col min="7713" max="7713" width="18.33203125" style="48" customWidth="1"/>
    <col min="7714" max="7714" width="12.88671875" style="48" customWidth="1"/>
    <col min="7715" max="7716" width="13.21875" style="48" customWidth="1"/>
    <col min="7717" max="7717" width="10.88671875" style="48" customWidth="1"/>
    <col min="7718" max="7718" width="11.109375" style="48" customWidth="1"/>
    <col min="7719" max="7719" width="15.21875" style="48" customWidth="1"/>
    <col min="7720" max="7720" width="9.6640625" style="48"/>
    <col min="7721" max="7721" width="11" style="48" customWidth="1"/>
    <col min="7722" max="7722" width="10.77734375" style="48" customWidth="1"/>
    <col min="7723" max="7723" width="11.44140625" style="48" customWidth="1"/>
    <col min="7724" max="7724" width="4" style="48" customWidth="1"/>
    <col min="7725" max="7915" width="9.6640625" style="48"/>
    <col min="7916" max="7916" width="6.44140625" style="48" customWidth="1"/>
    <col min="7917" max="7917" width="13.88671875" style="48" customWidth="1"/>
    <col min="7918" max="7918" width="11.88671875" style="48" customWidth="1"/>
    <col min="7919" max="7921" width="9.6640625" style="48"/>
    <col min="7922" max="7922" width="15.44140625" style="48" customWidth="1"/>
    <col min="7923" max="7923" width="16.21875" style="48" customWidth="1"/>
    <col min="7924" max="7935" width="9.6640625" style="48"/>
    <col min="7936" max="7936" width="12" style="48" customWidth="1"/>
    <col min="7937" max="7937" width="12.77734375" style="48" customWidth="1"/>
    <col min="7938" max="7938" width="11.109375" style="48" customWidth="1"/>
    <col min="7939" max="7939" width="12" style="48" customWidth="1"/>
    <col min="7940" max="7940" width="9.6640625" style="48"/>
    <col min="7941" max="7941" width="15.33203125" style="48" customWidth="1"/>
    <col min="7942" max="7942" width="15.21875" style="48" customWidth="1"/>
    <col min="7943" max="7943" width="21.44140625" style="48" customWidth="1"/>
    <col min="7944" max="7959" width="9.6640625" style="48"/>
    <col min="7960" max="7961" width="13.44140625" style="48" customWidth="1"/>
    <col min="7962" max="7962" width="9.6640625" style="48"/>
    <col min="7963" max="7963" width="13.88671875" style="48" customWidth="1"/>
    <col min="7964" max="7964" width="10.6640625" style="48" customWidth="1"/>
    <col min="7965" max="7965" width="17.33203125" style="48" customWidth="1"/>
    <col min="7966" max="7967" width="12.6640625" style="48" customWidth="1"/>
    <col min="7968" max="7968" width="11.21875" style="48" customWidth="1"/>
    <col min="7969" max="7969" width="18.33203125" style="48" customWidth="1"/>
    <col min="7970" max="7970" width="12.88671875" style="48" customWidth="1"/>
    <col min="7971" max="7972" width="13.21875" style="48" customWidth="1"/>
    <col min="7973" max="7973" width="10.88671875" style="48" customWidth="1"/>
    <col min="7974" max="7974" width="11.109375" style="48" customWidth="1"/>
    <col min="7975" max="7975" width="15.21875" style="48" customWidth="1"/>
    <col min="7976" max="7976" width="9.6640625" style="48"/>
    <col min="7977" max="7977" width="11" style="48" customWidth="1"/>
    <col min="7978" max="7978" width="10.77734375" style="48" customWidth="1"/>
    <col min="7979" max="7979" width="11.44140625" style="48" customWidth="1"/>
    <col min="7980" max="7980" width="4" style="48" customWidth="1"/>
    <col min="7981" max="8171" width="9.6640625" style="48"/>
    <col min="8172" max="8172" width="6.44140625" style="48" customWidth="1"/>
    <col min="8173" max="8173" width="13.88671875" style="48" customWidth="1"/>
    <col min="8174" max="8174" width="11.88671875" style="48" customWidth="1"/>
    <col min="8175" max="8177" width="9.6640625" style="48"/>
    <col min="8178" max="8178" width="15.44140625" style="48" customWidth="1"/>
    <col min="8179" max="8179" width="16.21875" style="48" customWidth="1"/>
    <col min="8180" max="8191" width="9.6640625" style="48"/>
    <col min="8192" max="8192" width="12" style="48" customWidth="1"/>
    <col min="8193" max="8193" width="12.77734375" style="48" customWidth="1"/>
    <col min="8194" max="8194" width="11.109375" style="48" customWidth="1"/>
    <col min="8195" max="8195" width="12" style="48" customWidth="1"/>
    <col min="8196" max="8196" width="9.6640625" style="48"/>
    <col min="8197" max="8197" width="15.33203125" style="48" customWidth="1"/>
    <col min="8198" max="8198" width="15.21875" style="48" customWidth="1"/>
    <col min="8199" max="8199" width="21.44140625" style="48" customWidth="1"/>
    <col min="8200" max="8215" width="9.6640625" style="48"/>
    <col min="8216" max="8217" width="13.44140625" style="48" customWidth="1"/>
    <col min="8218" max="8218" width="9.6640625" style="48"/>
    <col min="8219" max="8219" width="13.88671875" style="48" customWidth="1"/>
    <col min="8220" max="8220" width="10.6640625" style="48" customWidth="1"/>
    <col min="8221" max="8221" width="17.33203125" style="48" customWidth="1"/>
    <col min="8222" max="8223" width="12.6640625" style="48" customWidth="1"/>
    <col min="8224" max="8224" width="11.21875" style="48" customWidth="1"/>
    <col min="8225" max="8225" width="18.33203125" style="48" customWidth="1"/>
    <col min="8226" max="8226" width="12.88671875" style="48" customWidth="1"/>
    <col min="8227" max="8228" width="13.21875" style="48" customWidth="1"/>
    <col min="8229" max="8229" width="10.88671875" style="48" customWidth="1"/>
    <col min="8230" max="8230" width="11.109375" style="48" customWidth="1"/>
    <col min="8231" max="8231" width="15.21875" style="48" customWidth="1"/>
    <col min="8232" max="8232" width="9.6640625" style="48"/>
    <col min="8233" max="8233" width="11" style="48" customWidth="1"/>
    <col min="8234" max="8234" width="10.77734375" style="48" customWidth="1"/>
    <col min="8235" max="8235" width="11.44140625" style="48" customWidth="1"/>
    <col min="8236" max="8236" width="4" style="48" customWidth="1"/>
    <col min="8237" max="8427" width="9.6640625" style="48"/>
    <col min="8428" max="8428" width="6.44140625" style="48" customWidth="1"/>
    <col min="8429" max="8429" width="13.88671875" style="48" customWidth="1"/>
    <col min="8430" max="8430" width="11.88671875" style="48" customWidth="1"/>
    <col min="8431" max="8433" width="9.6640625" style="48"/>
    <col min="8434" max="8434" width="15.44140625" style="48" customWidth="1"/>
    <col min="8435" max="8435" width="16.21875" style="48" customWidth="1"/>
    <col min="8436" max="8447" width="9.6640625" style="48"/>
    <col min="8448" max="8448" width="12" style="48" customWidth="1"/>
    <col min="8449" max="8449" width="12.77734375" style="48" customWidth="1"/>
    <col min="8450" max="8450" width="11.109375" style="48" customWidth="1"/>
    <col min="8451" max="8451" width="12" style="48" customWidth="1"/>
    <col min="8452" max="8452" width="9.6640625" style="48"/>
    <col min="8453" max="8453" width="15.33203125" style="48" customWidth="1"/>
    <col min="8454" max="8454" width="15.21875" style="48" customWidth="1"/>
    <col min="8455" max="8455" width="21.44140625" style="48" customWidth="1"/>
    <col min="8456" max="8471" width="9.6640625" style="48"/>
    <col min="8472" max="8473" width="13.44140625" style="48" customWidth="1"/>
    <col min="8474" max="8474" width="9.6640625" style="48"/>
    <col min="8475" max="8475" width="13.88671875" style="48" customWidth="1"/>
    <col min="8476" max="8476" width="10.6640625" style="48" customWidth="1"/>
    <col min="8477" max="8477" width="17.33203125" style="48" customWidth="1"/>
    <col min="8478" max="8479" width="12.6640625" style="48" customWidth="1"/>
    <col min="8480" max="8480" width="11.21875" style="48" customWidth="1"/>
    <col min="8481" max="8481" width="18.33203125" style="48" customWidth="1"/>
    <col min="8482" max="8482" width="12.88671875" style="48" customWidth="1"/>
    <col min="8483" max="8484" width="13.21875" style="48" customWidth="1"/>
    <col min="8485" max="8485" width="10.88671875" style="48" customWidth="1"/>
    <col min="8486" max="8486" width="11.109375" style="48" customWidth="1"/>
    <col min="8487" max="8487" width="15.21875" style="48" customWidth="1"/>
    <col min="8488" max="8488" width="9.6640625" style="48"/>
    <col min="8489" max="8489" width="11" style="48" customWidth="1"/>
    <col min="8490" max="8490" width="10.77734375" style="48" customWidth="1"/>
    <col min="8491" max="8491" width="11.44140625" style="48" customWidth="1"/>
    <col min="8492" max="8492" width="4" style="48" customWidth="1"/>
    <col min="8493" max="8683" width="9.6640625" style="48"/>
    <col min="8684" max="8684" width="6.44140625" style="48" customWidth="1"/>
    <col min="8685" max="8685" width="13.88671875" style="48" customWidth="1"/>
    <col min="8686" max="8686" width="11.88671875" style="48" customWidth="1"/>
    <col min="8687" max="8689" width="9.6640625" style="48"/>
    <col min="8690" max="8690" width="15.44140625" style="48" customWidth="1"/>
    <col min="8691" max="8691" width="16.21875" style="48" customWidth="1"/>
    <col min="8692" max="8703" width="9.6640625" style="48"/>
    <col min="8704" max="8704" width="12" style="48" customWidth="1"/>
    <col min="8705" max="8705" width="12.77734375" style="48" customWidth="1"/>
    <col min="8706" max="8706" width="11.109375" style="48" customWidth="1"/>
    <col min="8707" max="8707" width="12" style="48" customWidth="1"/>
    <col min="8708" max="8708" width="9.6640625" style="48"/>
    <col min="8709" max="8709" width="15.33203125" style="48" customWidth="1"/>
    <col min="8710" max="8710" width="15.21875" style="48" customWidth="1"/>
    <col min="8711" max="8711" width="21.44140625" style="48" customWidth="1"/>
    <col min="8712" max="8727" width="9.6640625" style="48"/>
    <col min="8728" max="8729" width="13.44140625" style="48" customWidth="1"/>
    <col min="8730" max="8730" width="9.6640625" style="48"/>
    <col min="8731" max="8731" width="13.88671875" style="48" customWidth="1"/>
    <col min="8732" max="8732" width="10.6640625" style="48" customWidth="1"/>
    <col min="8733" max="8733" width="17.33203125" style="48" customWidth="1"/>
    <col min="8734" max="8735" width="12.6640625" style="48" customWidth="1"/>
    <col min="8736" max="8736" width="11.21875" style="48" customWidth="1"/>
    <col min="8737" max="8737" width="18.33203125" style="48" customWidth="1"/>
    <col min="8738" max="8738" width="12.88671875" style="48" customWidth="1"/>
    <col min="8739" max="8740" width="13.21875" style="48" customWidth="1"/>
    <col min="8741" max="8741" width="10.88671875" style="48" customWidth="1"/>
    <col min="8742" max="8742" width="11.109375" style="48" customWidth="1"/>
    <col min="8743" max="8743" width="15.21875" style="48" customWidth="1"/>
    <col min="8744" max="8744" width="9.6640625" style="48"/>
    <col min="8745" max="8745" width="11" style="48" customWidth="1"/>
    <col min="8746" max="8746" width="10.77734375" style="48" customWidth="1"/>
    <col min="8747" max="8747" width="11.44140625" style="48" customWidth="1"/>
    <col min="8748" max="8748" width="4" style="48" customWidth="1"/>
    <col min="8749" max="8939" width="9.6640625" style="48"/>
    <col min="8940" max="8940" width="6.44140625" style="48" customWidth="1"/>
    <col min="8941" max="8941" width="13.88671875" style="48" customWidth="1"/>
    <col min="8942" max="8942" width="11.88671875" style="48" customWidth="1"/>
    <col min="8943" max="8945" width="9.6640625" style="48"/>
    <col min="8946" max="8946" width="15.44140625" style="48" customWidth="1"/>
    <col min="8947" max="8947" width="16.21875" style="48" customWidth="1"/>
    <col min="8948" max="8959" width="9.6640625" style="48"/>
    <col min="8960" max="8960" width="12" style="48" customWidth="1"/>
    <col min="8961" max="8961" width="12.77734375" style="48" customWidth="1"/>
    <col min="8962" max="8962" width="11.109375" style="48" customWidth="1"/>
    <col min="8963" max="8963" width="12" style="48" customWidth="1"/>
    <col min="8964" max="8964" width="9.6640625" style="48"/>
    <col min="8965" max="8965" width="15.33203125" style="48" customWidth="1"/>
    <col min="8966" max="8966" width="15.21875" style="48" customWidth="1"/>
    <col min="8967" max="8967" width="21.44140625" style="48" customWidth="1"/>
    <col min="8968" max="8983" width="9.6640625" style="48"/>
    <col min="8984" max="8985" width="13.44140625" style="48" customWidth="1"/>
    <col min="8986" max="8986" width="9.6640625" style="48"/>
    <col min="8987" max="8987" width="13.88671875" style="48" customWidth="1"/>
    <col min="8988" max="8988" width="10.6640625" style="48" customWidth="1"/>
    <col min="8989" max="8989" width="17.33203125" style="48" customWidth="1"/>
    <col min="8990" max="8991" width="12.6640625" style="48" customWidth="1"/>
    <col min="8992" max="8992" width="11.21875" style="48" customWidth="1"/>
    <col min="8993" max="8993" width="18.33203125" style="48" customWidth="1"/>
    <col min="8994" max="8994" width="12.88671875" style="48" customWidth="1"/>
    <col min="8995" max="8996" width="13.21875" style="48" customWidth="1"/>
    <col min="8997" max="8997" width="10.88671875" style="48" customWidth="1"/>
    <col min="8998" max="8998" width="11.109375" style="48" customWidth="1"/>
    <col min="8999" max="8999" width="15.21875" style="48" customWidth="1"/>
    <col min="9000" max="9000" width="9.6640625" style="48"/>
    <col min="9001" max="9001" width="11" style="48" customWidth="1"/>
    <col min="9002" max="9002" width="10.77734375" style="48" customWidth="1"/>
    <col min="9003" max="9003" width="11.44140625" style="48" customWidth="1"/>
    <col min="9004" max="9004" width="4" style="48" customWidth="1"/>
    <col min="9005" max="9195" width="9.6640625" style="48"/>
    <col min="9196" max="9196" width="6.44140625" style="48" customWidth="1"/>
    <col min="9197" max="9197" width="13.88671875" style="48" customWidth="1"/>
    <col min="9198" max="9198" width="11.88671875" style="48" customWidth="1"/>
    <col min="9199" max="9201" width="9.6640625" style="48"/>
    <col min="9202" max="9202" width="15.44140625" style="48" customWidth="1"/>
    <col min="9203" max="9203" width="16.21875" style="48" customWidth="1"/>
    <col min="9204" max="9215" width="9.6640625" style="48"/>
    <col min="9216" max="9216" width="12" style="48" customWidth="1"/>
    <col min="9217" max="9217" width="12.77734375" style="48" customWidth="1"/>
    <col min="9218" max="9218" width="11.109375" style="48" customWidth="1"/>
    <col min="9219" max="9219" width="12" style="48" customWidth="1"/>
    <col min="9220" max="9220" width="9.6640625" style="48"/>
    <col min="9221" max="9221" width="15.33203125" style="48" customWidth="1"/>
    <col min="9222" max="9222" width="15.21875" style="48" customWidth="1"/>
    <col min="9223" max="9223" width="21.44140625" style="48" customWidth="1"/>
    <col min="9224" max="9239" width="9.6640625" style="48"/>
    <col min="9240" max="9241" width="13.44140625" style="48" customWidth="1"/>
    <col min="9242" max="9242" width="9.6640625" style="48"/>
    <col min="9243" max="9243" width="13.88671875" style="48" customWidth="1"/>
    <col min="9244" max="9244" width="10.6640625" style="48" customWidth="1"/>
    <col min="9245" max="9245" width="17.33203125" style="48" customWidth="1"/>
    <col min="9246" max="9247" width="12.6640625" style="48" customWidth="1"/>
    <col min="9248" max="9248" width="11.21875" style="48" customWidth="1"/>
    <col min="9249" max="9249" width="18.33203125" style="48" customWidth="1"/>
    <col min="9250" max="9250" width="12.88671875" style="48" customWidth="1"/>
    <col min="9251" max="9252" width="13.21875" style="48" customWidth="1"/>
    <col min="9253" max="9253" width="10.88671875" style="48" customWidth="1"/>
    <col min="9254" max="9254" width="11.109375" style="48" customWidth="1"/>
    <col min="9255" max="9255" width="15.21875" style="48" customWidth="1"/>
    <col min="9256" max="9256" width="9.6640625" style="48"/>
    <col min="9257" max="9257" width="11" style="48" customWidth="1"/>
    <col min="9258" max="9258" width="10.77734375" style="48" customWidth="1"/>
    <col min="9259" max="9259" width="11.44140625" style="48" customWidth="1"/>
    <col min="9260" max="9260" width="4" style="48" customWidth="1"/>
    <col min="9261" max="9451" width="9.6640625" style="48"/>
    <col min="9452" max="9452" width="6.44140625" style="48" customWidth="1"/>
    <col min="9453" max="9453" width="13.88671875" style="48" customWidth="1"/>
    <col min="9454" max="9454" width="11.88671875" style="48" customWidth="1"/>
    <col min="9455" max="9457" width="9.6640625" style="48"/>
    <col min="9458" max="9458" width="15.44140625" style="48" customWidth="1"/>
    <col min="9459" max="9459" width="16.21875" style="48" customWidth="1"/>
    <col min="9460" max="9471" width="9.6640625" style="48"/>
    <col min="9472" max="9472" width="12" style="48" customWidth="1"/>
    <col min="9473" max="9473" width="12.77734375" style="48" customWidth="1"/>
    <col min="9474" max="9474" width="11.109375" style="48" customWidth="1"/>
    <col min="9475" max="9475" width="12" style="48" customWidth="1"/>
    <col min="9476" max="9476" width="9.6640625" style="48"/>
    <col min="9477" max="9477" width="15.33203125" style="48" customWidth="1"/>
    <col min="9478" max="9478" width="15.21875" style="48" customWidth="1"/>
    <col min="9479" max="9479" width="21.44140625" style="48" customWidth="1"/>
    <col min="9480" max="9495" width="9.6640625" style="48"/>
    <col min="9496" max="9497" width="13.44140625" style="48" customWidth="1"/>
    <col min="9498" max="9498" width="9.6640625" style="48"/>
    <col min="9499" max="9499" width="13.88671875" style="48" customWidth="1"/>
    <col min="9500" max="9500" width="10.6640625" style="48" customWidth="1"/>
    <col min="9501" max="9501" width="17.33203125" style="48" customWidth="1"/>
    <col min="9502" max="9503" width="12.6640625" style="48" customWidth="1"/>
    <col min="9504" max="9504" width="11.21875" style="48" customWidth="1"/>
    <col min="9505" max="9505" width="18.33203125" style="48" customWidth="1"/>
    <col min="9506" max="9506" width="12.88671875" style="48" customWidth="1"/>
    <col min="9507" max="9508" width="13.21875" style="48" customWidth="1"/>
    <col min="9509" max="9509" width="10.88671875" style="48" customWidth="1"/>
    <col min="9510" max="9510" width="11.109375" style="48" customWidth="1"/>
    <col min="9511" max="9511" width="15.21875" style="48" customWidth="1"/>
    <col min="9512" max="9512" width="9.6640625" style="48"/>
    <col min="9513" max="9513" width="11" style="48" customWidth="1"/>
    <col min="9514" max="9514" width="10.77734375" style="48" customWidth="1"/>
    <col min="9515" max="9515" width="11.44140625" style="48" customWidth="1"/>
    <col min="9516" max="9516" width="4" style="48" customWidth="1"/>
    <col min="9517" max="9707" width="9.6640625" style="48"/>
    <col min="9708" max="9708" width="6.44140625" style="48" customWidth="1"/>
    <col min="9709" max="9709" width="13.88671875" style="48" customWidth="1"/>
    <col min="9710" max="9710" width="11.88671875" style="48" customWidth="1"/>
    <col min="9711" max="9713" width="9.6640625" style="48"/>
    <col min="9714" max="9714" width="15.44140625" style="48" customWidth="1"/>
    <col min="9715" max="9715" width="16.21875" style="48" customWidth="1"/>
    <col min="9716" max="9727" width="9.6640625" style="48"/>
    <col min="9728" max="9728" width="12" style="48" customWidth="1"/>
    <col min="9729" max="9729" width="12.77734375" style="48" customWidth="1"/>
    <col min="9730" max="9730" width="11.109375" style="48" customWidth="1"/>
    <col min="9731" max="9731" width="12" style="48" customWidth="1"/>
    <col min="9732" max="9732" width="9.6640625" style="48"/>
    <col min="9733" max="9733" width="15.33203125" style="48" customWidth="1"/>
    <col min="9734" max="9734" width="15.21875" style="48" customWidth="1"/>
    <col min="9735" max="9735" width="21.44140625" style="48" customWidth="1"/>
    <col min="9736" max="9751" width="9.6640625" style="48"/>
    <col min="9752" max="9753" width="13.44140625" style="48" customWidth="1"/>
    <col min="9754" max="9754" width="9.6640625" style="48"/>
    <col min="9755" max="9755" width="13.88671875" style="48" customWidth="1"/>
    <col min="9756" max="9756" width="10.6640625" style="48" customWidth="1"/>
    <col min="9757" max="9757" width="17.33203125" style="48" customWidth="1"/>
    <col min="9758" max="9759" width="12.6640625" style="48" customWidth="1"/>
    <col min="9760" max="9760" width="11.21875" style="48" customWidth="1"/>
    <col min="9761" max="9761" width="18.33203125" style="48" customWidth="1"/>
    <col min="9762" max="9762" width="12.88671875" style="48" customWidth="1"/>
    <col min="9763" max="9764" width="13.21875" style="48" customWidth="1"/>
    <col min="9765" max="9765" width="10.88671875" style="48" customWidth="1"/>
    <col min="9766" max="9766" width="11.109375" style="48" customWidth="1"/>
    <col min="9767" max="9767" width="15.21875" style="48" customWidth="1"/>
    <col min="9768" max="9768" width="9.6640625" style="48"/>
    <col min="9769" max="9769" width="11" style="48" customWidth="1"/>
    <col min="9770" max="9770" width="10.77734375" style="48" customWidth="1"/>
    <col min="9771" max="9771" width="11.44140625" style="48" customWidth="1"/>
    <col min="9772" max="9772" width="4" style="48" customWidth="1"/>
    <col min="9773" max="9963" width="9.6640625" style="48"/>
    <col min="9964" max="9964" width="6.44140625" style="48" customWidth="1"/>
    <col min="9965" max="9965" width="13.88671875" style="48" customWidth="1"/>
    <col min="9966" max="9966" width="11.88671875" style="48" customWidth="1"/>
    <col min="9967" max="9969" width="9.6640625" style="48"/>
    <col min="9970" max="9970" width="15.44140625" style="48" customWidth="1"/>
    <col min="9971" max="9971" width="16.21875" style="48" customWidth="1"/>
    <col min="9972" max="9983" width="9.6640625" style="48"/>
    <col min="9984" max="9984" width="12" style="48" customWidth="1"/>
    <col min="9985" max="9985" width="12.77734375" style="48" customWidth="1"/>
    <col min="9986" max="9986" width="11.109375" style="48" customWidth="1"/>
    <col min="9987" max="9987" width="12" style="48" customWidth="1"/>
    <col min="9988" max="9988" width="9.6640625" style="48"/>
    <col min="9989" max="9989" width="15.33203125" style="48" customWidth="1"/>
    <col min="9990" max="9990" width="15.21875" style="48" customWidth="1"/>
    <col min="9991" max="9991" width="21.44140625" style="48" customWidth="1"/>
    <col min="9992" max="10007" width="9.6640625" style="48"/>
    <col min="10008" max="10009" width="13.44140625" style="48" customWidth="1"/>
    <col min="10010" max="10010" width="9.6640625" style="48"/>
    <col min="10011" max="10011" width="13.88671875" style="48" customWidth="1"/>
    <col min="10012" max="10012" width="10.6640625" style="48" customWidth="1"/>
    <col min="10013" max="10013" width="17.33203125" style="48" customWidth="1"/>
    <col min="10014" max="10015" width="12.6640625" style="48" customWidth="1"/>
    <col min="10016" max="10016" width="11.21875" style="48" customWidth="1"/>
    <col min="10017" max="10017" width="18.33203125" style="48" customWidth="1"/>
    <col min="10018" max="10018" width="12.88671875" style="48" customWidth="1"/>
    <col min="10019" max="10020" width="13.21875" style="48" customWidth="1"/>
    <col min="10021" max="10021" width="10.88671875" style="48" customWidth="1"/>
    <col min="10022" max="10022" width="11.109375" style="48" customWidth="1"/>
    <col min="10023" max="10023" width="15.21875" style="48" customWidth="1"/>
    <col min="10024" max="10024" width="9.6640625" style="48"/>
    <col min="10025" max="10025" width="11" style="48" customWidth="1"/>
    <col min="10026" max="10026" width="10.77734375" style="48" customWidth="1"/>
    <col min="10027" max="10027" width="11.44140625" style="48" customWidth="1"/>
    <col min="10028" max="10028" width="4" style="48" customWidth="1"/>
    <col min="10029" max="10219" width="9.6640625" style="48"/>
    <col min="10220" max="10220" width="6.44140625" style="48" customWidth="1"/>
    <col min="10221" max="10221" width="13.88671875" style="48" customWidth="1"/>
    <col min="10222" max="10222" width="11.88671875" style="48" customWidth="1"/>
    <col min="10223" max="10225" width="9.6640625" style="48"/>
    <col min="10226" max="10226" width="15.44140625" style="48" customWidth="1"/>
    <col min="10227" max="10227" width="16.21875" style="48" customWidth="1"/>
    <col min="10228" max="10239" width="9.6640625" style="48"/>
    <col min="10240" max="10240" width="12" style="48" customWidth="1"/>
    <col min="10241" max="10241" width="12.77734375" style="48" customWidth="1"/>
    <col min="10242" max="10242" width="11.109375" style="48" customWidth="1"/>
    <col min="10243" max="10243" width="12" style="48" customWidth="1"/>
    <col min="10244" max="10244" width="9.6640625" style="48"/>
    <col min="10245" max="10245" width="15.33203125" style="48" customWidth="1"/>
    <col min="10246" max="10246" width="15.21875" style="48" customWidth="1"/>
    <col min="10247" max="10247" width="21.44140625" style="48" customWidth="1"/>
    <col min="10248" max="10263" width="9.6640625" style="48"/>
    <col min="10264" max="10265" width="13.44140625" style="48" customWidth="1"/>
    <col min="10266" max="10266" width="9.6640625" style="48"/>
    <col min="10267" max="10267" width="13.88671875" style="48" customWidth="1"/>
    <col min="10268" max="10268" width="10.6640625" style="48" customWidth="1"/>
    <col min="10269" max="10269" width="17.33203125" style="48" customWidth="1"/>
    <col min="10270" max="10271" width="12.6640625" style="48" customWidth="1"/>
    <col min="10272" max="10272" width="11.21875" style="48" customWidth="1"/>
    <col min="10273" max="10273" width="18.33203125" style="48" customWidth="1"/>
    <col min="10274" max="10274" width="12.88671875" style="48" customWidth="1"/>
    <col min="10275" max="10276" width="13.21875" style="48" customWidth="1"/>
    <col min="10277" max="10277" width="10.88671875" style="48" customWidth="1"/>
    <col min="10278" max="10278" width="11.109375" style="48" customWidth="1"/>
    <col min="10279" max="10279" width="15.21875" style="48" customWidth="1"/>
    <col min="10280" max="10280" width="9.6640625" style="48"/>
    <col min="10281" max="10281" width="11" style="48" customWidth="1"/>
    <col min="10282" max="10282" width="10.77734375" style="48" customWidth="1"/>
    <col min="10283" max="10283" width="11.44140625" style="48" customWidth="1"/>
    <col min="10284" max="10284" width="4" style="48" customWidth="1"/>
    <col min="10285" max="10475" width="9.6640625" style="48"/>
    <col min="10476" max="10476" width="6.44140625" style="48" customWidth="1"/>
    <col min="10477" max="10477" width="13.88671875" style="48" customWidth="1"/>
    <col min="10478" max="10478" width="11.88671875" style="48" customWidth="1"/>
    <col min="10479" max="10481" width="9.6640625" style="48"/>
    <col min="10482" max="10482" width="15.44140625" style="48" customWidth="1"/>
    <col min="10483" max="10483" width="16.21875" style="48" customWidth="1"/>
    <col min="10484" max="10495" width="9.6640625" style="48"/>
    <col min="10496" max="10496" width="12" style="48" customWidth="1"/>
    <col min="10497" max="10497" width="12.77734375" style="48" customWidth="1"/>
    <col min="10498" max="10498" width="11.109375" style="48" customWidth="1"/>
    <col min="10499" max="10499" width="12" style="48" customWidth="1"/>
    <col min="10500" max="10500" width="9.6640625" style="48"/>
    <col min="10501" max="10501" width="15.33203125" style="48" customWidth="1"/>
    <col min="10502" max="10502" width="15.21875" style="48" customWidth="1"/>
    <col min="10503" max="10503" width="21.44140625" style="48" customWidth="1"/>
    <col min="10504" max="10519" width="9.6640625" style="48"/>
    <col min="10520" max="10521" width="13.44140625" style="48" customWidth="1"/>
    <col min="10522" max="10522" width="9.6640625" style="48"/>
    <col min="10523" max="10523" width="13.88671875" style="48" customWidth="1"/>
    <col min="10524" max="10524" width="10.6640625" style="48" customWidth="1"/>
    <col min="10525" max="10525" width="17.33203125" style="48" customWidth="1"/>
    <col min="10526" max="10527" width="12.6640625" style="48" customWidth="1"/>
    <col min="10528" max="10528" width="11.21875" style="48" customWidth="1"/>
    <col min="10529" max="10529" width="18.33203125" style="48" customWidth="1"/>
    <col min="10530" max="10530" width="12.88671875" style="48" customWidth="1"/>
    <col min="10531" max="10532" width="13.21875" style="48" customWidth="1"/>
    <col min="10533" max="10533" width="10.88671875" style="48" customWidth="1"/>
    <col min="10534" max="10534" width="11.109375" style="48" customWidth="1"/>
    <col min="10535" max="10535" width="15.21875" style="48" customWidth="1"/>
    <col min="10536" max="10536" width="9.6640625" style="48"/>
    <col min="10537" max="10537" width="11" style="48" customWidth="1"/>
    <col min="10538" max="10538" width="10.77734375" style="48" customWidth="1"/>
    <col min="10539" max="10539" width="11.44140625" style="48" customWidth="1"/>
    <col min="10540" max="10540" width="4" style="48" customWidth="1"/>
    <col min="10541" max="10731" width="9.6640625" style="48"/>
    <col min="10732" max="10732" width="6.44140625" style="48" customWidth="1"/>
    <col min="10733" max="10733" width="13.88671875" style="48" customWidth="1"/>
    <col min="10734" max="10734" width="11.88671875" style="48" customWidth="1"/>
    <col min="10735" max="10737" width="9.6640625" style="48"/>
    <col min="10738" max="10738" width="15.44140625" style="48" customWidth="1"/>
    <col min="10739" max="10739" width="16.21875" style="48" customWidth="1"/>
    <col min="10740" max="10751" width="9.6640625" style="48"/>
    <col min="10752" max="10752" width="12" style="48" customWidth="1"/>
    <col min="10753" max="10753" width="12.77734375" style="48" customWidth="1"/>
    <col min="10754" max="10754" width="11.109375" style="48" customWidth="1"/>
    <col min="10755" max="10755" width="12" style="48" customWidth="1"/>
    <col min="10756" max="10756" width="9.6640625" style="48"/>
    <col min="10757" max="10757" width="15.33203125" style="48" customWidth="1"/>
    <col min="10758" max="10758" width="15.21875" style="48" customWidth="1"/>
    <col min="10759" max="10759" width="21.44140625" style="48" customWidth="1"/>
    <col min="10760" max="10775" width="9.6640625" style="48"/>
    <col min="10776" max="10777" width="13.44140625" style="48" customWidth="1"/>
    <col min="10778" max="10778" width="9.6640625" style="48"/>
    <col min="10779" max="10779" width="13.88671875" style="48" customWidth="1"/>
    <col min="10780" max="10780" width="10.6640625" style="48" customWidth="1"/>
    <col min="10781" max="10781" width="17.33203125" style="48" customWidth="1"/>
    <col min="10782" max="10783" width="12.6640625" style="48" customWidth="1"/>
    <col min="10784" max="10784" width="11.21875" style="48" customWidth="1"/>
    <col min="10785" max="10785" width="18.33203125" style="48" customWidth="1"/>
    <col min="10786" max="10786" width="12.88671875" style="48" customWidth="1"/>
    <col min="10787" max="10788" width="13.21875" style="48" customWidth="1"/>
    <col min="10789" max="10789" width="10.88671875" style="48" customWidth="1"/>
    <col min="10790" max="10790" width="11.109375" style="48" customWidth="1"/>
    <col min="10791" max="10791" width="15.21875" style="48" customWidth="1"/>
    <col min="10792" max="10792" width="9.6640625" style="48"/>
    <col min="10793" max="10793" width="11" style="48" customWidth="1"/>
    <col min="10794" max="10794" width="10.77734375" style="48" customWidth="1"/>
    <col min="10795" max="10795" width="11.44140625" style="48" customWidth="1"/>
    <col min="10796" max="10796" width="4" style="48" customWidth="1"/>
    <col min="10797" max="10987" width="9.6640625" style="48"/>
    <col min="10988" max="10988" width="6.44140625" style="48" customWidth="1"/>
    <col min="10989" max="10989" width="13.88671875" style="48" customWidth="1"/>
    <col min="10990" max="10990" width="11.88671875" style="48" customWidth="1"/>
    <col min="10991" max="10993" width="9.6640625" style="48"/>
    <col min="10994" max="10994" width="15.44140625" style="48" customWidth="1"/>
    <col min="10995" max="10995" width="16.21875" style="48" customWidth="1"/>
    <col min="10996" max="11007" width="9.6640625" style="48"/>
    <col min="11008" max="11008" width="12" style="48" customWidth="1"/>
    <col min="11009" max="11009" width="12.77734375" style="48" customWidth="1"/>
    <col min="11010" max="11010" width="11.109375" style="48" customWidth="1"/>
    <col min="11011" max="11011" width="12" style="48" customWidth="1"/>
    <col min="11012" max="11012" width="9.6640625" style="48"/>
    <col min="11013" max="11013" width="15.33203125" style="48" customWidth="1"/>
    <col min="11014" max="11014" width="15.21875" style="48" customWidth="1"/>
    <col min="11015" max="11015" width="21.44140625" style="48" customWidth="1"/>
    <col min="11016" max="11031" width="9.6640625" style="48"/>
    <col min="11032" max="11033" width="13.44140625" style="48" customWidth="1"/>
    <col min="11034" max="11034" width="9.6640625" style="48"/>
    <col min="11035" max="11035" width="13.88671875" style="48" customWidth="1"/>
    <col min="11036" max="11036" width="10.6640625" style="48" customWidth="1"/>
    <col min="11037" max="11037" width="17.33203125" style="48" customWidth="1"/>
    <col min="11038" max="11039" width="12.6640625" style="48" customWidth="1"/>
    <col min="11040" max="11040" width="11.21875" style="48" customWidth="1"/>
    <col min="11041" max="11041" width="18.33203125" style="48" customWidth="1"/>
    <col min="11042" max="11042" width="12.88671875" style="48" customWidth="1"/>
    <col min="11043" max="11044" width="13.21875" style="48" customWidth="1"/>
    <col min="11045" max="11045" width="10.88671875" style="48" customWidth="1"/>
    <col min="11046" max="11046" width="11.109375" style="48" customWidth="1"/>
    <col min="11047" max="11047" width="15.21875" style="48" customWidth="1"/>
    <col min="11048" max="11048" width="9.6640625" style="48"/>
    <col min="11049" max="11049" width="11" style="48" customWidth="1"/>
    <col min="11050" max="11050" width="10.77734375" style="48" customWidth="1"/>
    <col min="11051" max="11051" width="11.44140625" style="48" customWidth="1"/>
    <col min="11052" max="11052" width="4" style="48" customWidth="1"/>
    <col min="11053" max="11243" width="9.6640625" style="48"/>
    <col min="11244" max="11244" width="6.44140625" style="48" customWidth="1"/>
    <col min="11245" max="11245" width="13.88671875" style="48" customWidth="1"/>
    <col min="11246" max="11246" width="11.88671875" style="48" customWidth="1"/>
    <col min="11247" max="11249" width="9.6640625" style="48"/>
    <col min="11250" max="11250" width="15.44140625" style="48" customWidth="1"/>
    <col min="11251" max="11251" width="16.21875" style="48" customWidth="1"/>
    <col min="11252" max="11263" width="9.6640625" style="48"/>
    <col min="11264" max="11264" width="12" style="48" customWidth="1"/>
    <col min="11265" max="11265" width="12.77734375" style="48" customWidth="1"/>
    <col min="11266" max="11266" width="11.109375" style="48" customWidth="1"/>
    <col min="11267" max="11267" width="12" style="48" customWidth="1"/>
    <col min="11268" max="11268" width="9.6640625" style="48"/>
    <col min="11269" max="11269" width="15.33203125" style="48" customWidth="1"/>
    <col min="11270" max="11270" width="15.21875" style="48" customWidth="1"/>
    <col min="11271" max="11271" width="21.44140625" style="48" customWidth="1"/>
    <col min="11272" max="11287" width="9.6640625" style="48"/>
    <col min="11288" max="11289" width="13.44140625" style="48" customWidth="1"/>
    <col min="11290" max="11290" width="9.6640625" style="48"/>
    <col min="11291" max="11291" width="13.88671875" style="48" customWidth="1"/>
    <col min="11292" max="11292" width="10.6640625" style="48" customWidth="1"/>
    <col min="11293" max="11293" width="17.33203125" style="48" customWidth="1"/>
    <col min="11294" max="11295" width="12.6640625" style="48" customWidth="1"/>
    <col min="11296" max="11296" width="11.21875" style="48" customWidth="1"/>
    <col min="11297" max="11297" width="18.33203125" style="48" customWidth="1"/>
    <col min="11298" max="11298" width="12.88671875" style="48" customWidth="1"/>
    <col min="11299" max="11300" width="13.21875" style="48" customWidth="1"/>
    <col min="11301" max="11301" width="10.88671875" style="48" customWidth="1"/>
    <col min="11302" max="11302" width="11.109375" style="48" customWidth="1"/>
    <col min="11303" max="11303" width="15.21875" style="48" customWidth="1"/>
    <col min="11304" max="11304" width="9.6640625" style="48"/>
    <col min="11305" max="11305" width="11" style="48" customWidth="1"/>
    <col min="11306" max="11306" width="10.77734375" style="48" customWidth="1"/>
    <col min="11307" max="11307" width="11.44140625" style="48" customWidth="1"/>
    <col min="11308" max="11308" width="4" style="48" customWidth="1"/>
    <col min="11309" max="11499" width="9.6640625" style="48"/>
    <col min="11500" max="11500" width="6.44140625" style="48" customWidth="1"/>
    <col min="11501" max="11501" width="13.88671875" style="48" customWidth="1"/>
    <col min="11502" max="11502" width="11.88671875" style="48" customWidth="1"/>
    <col min="11503" max="11505" width="9.6640625" style="48"/>
    <col min="11506" max="11506" width="15.44140625" style="48" customWidth="1"/>
    <col min="11507" max="11507" width="16.21875" style="48" customWidth="1"/>
    <col min="11508" max="11519" width="9.6640625" style="48"/>
    <col min="11520" max="11520" width="12" style="48" customWidth="1"/>
    <col min="11521" max="11521" width="12.77734375" style="48" customWidth="1"/>
    <col min="11522" max="11522" width="11.109375" style="48" customWidth="1"/>
    <col min="11523" max="11523" width="12" style="48" customWidth="1"/>
    <col min="11524" max="11524" width="9.6640625" style="48"/>
    <col min="11525" max="11525" width="15.33203125" style="48" customWidth="1"/>
    <col min="11526" max="11526" width="15.21875" style="48" customWidth="1"/>
    <col min="11527" max="11527" width="21.44140625" style="48" customWidth="1"/>
    <col min="11528" max="11543" width="9.6640625" style="48"/>
    <col min="11544" max="11545" width="13.44140625" style="48" customWidth="1"/>
    <col min="11546" max="11546" width="9.6640625" style="48"/>
    <col min="11547" max="11547" width="13.88671875" style="48" customWidth="1"/>
    <col min="11548" max="11548" width="10.6640625" style="48" customWidth="1"/>
    <col min="11549" max="11549" width="17.33203125" style="48" customWidth="1"/>
    <col min="11550" max="11551" width="12.6640625" style="48" customWidth="1"/>
    <col min="11552" max="11552" width="11.21875" style="48" customWidth="1"/>
    <col min="11553" max="11553" width="18.33203125" style="48" customWidth="1"/>
    <col min="11554" max="11554" width="12.88671875" style="48" customWidth="1"/>
    <col min="11555" max="11556" width="13.21875" style="48" customWidth="1"/>
    <col min="11557" max="11557" width="10.88671875" style="48" customWidth="1"/>
    <col min="11558" max="11558" width="11.109375" style="48" customWidth="1"/>
    <col min="11559" max="11559" width="15.21875" style="48" customWidth="1"/>
    <col min="11560" max="11560" width="9.6640625" style="48"/>
    <col min="11561" max="11561" width="11" style="48" customWidth="1"/>
    <col min="11562" max="11562" width="10.77734375" style="48" customWidth="1"/>
    <col min="11563" max="11563" width="11.44140625" style="48" customWidth="1"/>
    <col min="11564" max="11564" width="4" style="48" customWidth="1"/>
    <col min="11565" max="11755" width="9.6640625" style="48"/>
    <col min="11756" max="11756" width="6.44140625" style="48" customWidth="1"/>
    <col min="11757" max="11757" width="13.88671875" style="48" customWidth="1"/>
    <col min="11758" max="11758" width="11.88671875" style="48" customWidth="1"/>
    <col min="11759" max="11761" width="9.6640625" style="48"/>
    <col min="11762" max="11762" width="15.44140625" style="48" customWidth="1"/>
    <col min="11763" max="11763" width="16.21875" style="48" customWidth="1"/>
    <col min="11764" max="11775" width="9.6640625" style="48"/>
    <col min="11776" max="11776" width="12" style="48" customWidth="1"/>
    <col min="11777" max="11777" width="12.77734375" style="48" customWidth="1"/>
    <col min="11778" max="11778" width="11.109375" style="48" customWidth="1"/>
    <col min="11779" max="11779" width="12" style="48" customWidth="1"/>
    <col min="11780" max="11780" width="9.6640625" style="48"/>
    <col min="11781" max="11781" width="15.33203125" style="48" customWidth="1"/>
    <col min="11782" max="11782" width="15.21875" style="48" customWidth="1"/>
    <col min="11783" max="11783" width="21.44140625" style="48" customWidth="1"/>
    <col min="11784" max="11799" width="9.6640625" style="48"/>
    <col min="11800" max="11801" width="13.44140625" style="48" customWidth="1"/>
    <col min="11802" max="11802" width="9.6640625" style="48"/>
    <col min="11803" max="11803" width="13.88671875" style="48" customWidth="1"/>
    <col min="11804" max="11804" width="10.6640625" style="48" customWidth="1"/>
    <col min="11805" max="11805" width="17.33203125" style="48" customWidth="1"/>
    <col min="11806" max="11807" width="12.6640625" style="48" customWidth="1"/>
    <col min="11808" max="11808" width="11.21875" style="48" customWidth="1"/>
    <col min="11809" max="11809" width="18.33203125" style="48" customWidth="1"/>
    <col min="11810" max="11810" width="12.88671875" style="48" customWidth="1"/>
    <col min="11811" max="11812" width="13.21875" style="48" customWidth="1"/>
    <col min="11813" max="11813" width="10.88671875" style="48" customWidth="1"/>
    <col min="11814" max="11814" width="11.109375" style="48" customWidth="1"/>
    <col min="11815" max="11815" width="15.21875" style="48" customWidth="1"/>
    <col min="11816" max="11816" width="9.6640625" style="48"/>
    <col min="11817" max="11817" width="11" style="48" customWidth="1"/>
    <col min="11818" max="11818" width="10.77734375" style="48" customWidth="1"/>
    <col min="11819" max="11819" width="11.44140625" style="48" customWidth="1"/>
    <col min="11820" max="11820" width="4" style="48" customWidth="1"/>
    <col min="11821" max="12011" width="9.6640625" style="48"/>
    <col min="12012" max="12012" width="6.44140625" style="48" customWidth="1"/>
    <col min="12013" max="12013" width="13.88671875" style="48" customWidth="1"/>
    <col min="12014" max="12014" width="11.88671875" style="48" customWidth="1"/>
    <col min="12015" max="12017" width="9.6640625" style="48"/>
    <col min="12018" max="12018" width="15.44140625" style="48" customWidth="1"/>
    <col min="12019" max="12019" width="16.21875" style="48" customWidth="1"/>
    <col min="12020" max="12031" width="9.6640625" style="48"/>
    <col min="12032" max="12032" width="12" style="48" customWidth="1"/>
    <col min="12033" max="12033" width="12.77734375" style="48" customWidth="1"/>
    <col min="12034" max="12034" width="11.109375" style="48" customWidth="1"/>
    <col min="12035" max="12035" width="12" style="48" customWidth="1"/>
    <col min="12036" max="12036" width="9.6640625" style="48"/>
    <col min="12037" max="12037" width="15.33203125" style="48" customWidth="1"/>
    <col min="12038" max="12038" width="15.21875" style="48" customWidth="1"/>
    <col min="12039" max="12039" width="21.44140625" style="48" customWidth="1"/>
    <col min="12040" max="12055" width="9.6640625" style="48"/>
    <col min="12056" max="12057" width="13.44140625" style="48" customWidth="1"/>
    <col min="12058" max="12058" width="9.6640625" style="48"/>
    <col min="12059" max="12059" width="13.88671875" style="48" customWidth="1"/>
    <col min="12060" max="12060" width="10.6640625" style="48" customWidth="1"/>
    <col min="12061" max="12061" width="17.33203125" style="48" customWidth="1"/>
    <col min="12062" max="12063" width="12.6640625" style="48" customWidth="1"/>
    <col min="12064" max="12064" width="11.21875" style="48" customWidth="1"/>
    <col min="12065" max="12065" width="18.33203125" style="48" customWidth="1"/>
    <col min="12066" max="12066" width="12.88671875" style="48" customWidth="1"/>
    <col min="12067" max="12068" width="13.21875" style="48" customWidth="1"/>
    <col min="12069" max="12069" width="10.88671875" style="48" customWidth="1"/>
    <col min="12070" max="12070" width="11.109375" style="48" customWidth="1"/>
    <col min="12071" max="12071" width="15.21875" style="48" customWidth="1"/>
    <col min="12072" max="12072" width="9.6640625" style="48"/>
    <col min="12073" max="12073" width="11" style="48" customWidth="1"/>
    <col min="12074" max="12074" width="10.77734375" style="48" customWidth="1"/>
    <col min="12075" max="12075" width="11.44140625" style="48" customWidth="1"/>
    <col min="12076" max="12076" width="4" style="48" customWidth="1"/>
    <col min="12077" max="12267" width="9.6640625" style="48"/>
    <col min="12268" max="12268" width="6.44140625" style="48" customWidth="1"/>
    <col min="12269" max="12269" width="13.88671875" style="48" customWidth="1"/>
    <col min="12270" max="12270" width="11.88671875" style="48" customWidth="1"/>
    <col min="12271" max="12273" width="9.6640625" style="48"/>
    <col min="12274" max="12274" width="15.44140625" style="48" customWidth="1"/>
    <col min="12275" max="12275" width="16.21875" style="48" customWidth="1"/>
    <col min="12276" max="12287" width="9.6640625" style="48"/>
    <col min="12288" max="12288" width="12" style="48" customWidth="1"/>
    <col min="12289" max="12289" width="12.77734375" style="48" customWidth="1"/>
    <col min="12290" max="12290" width="11.109375" style="48" customWidth="1"/>
    <col min="12291" max="12291" width="12" style="48" customWidth="1"/>
    <col min="12292" max="12292" width="9.6640625" style="48"/>
    <col min="12293" max="12293" width="15.33203125" style="48" customWidth="1"/>
    <col min="12294" max="12294" width="15.21875" style="48" customWidth="1"/>
    <col min="12295" max="12295" width="21.44140625" style="48" customWidth="1"/>
    <col min="12296" max="12311" width="9.6640625" style="48"/>
    <col min="12312" max="12313" width="13.44140625" style="48" customWidth="1"/>
    <col min="12314" max="12314" width="9.6640625" style="48"/>
    <col min="12315" max="12315" width="13.88671875" style="48" customWidth="1"/>
    <col min="12316" max="12316" width="10.6640625" style="48" customWidth="1"/>
    <col min="12317" max="12317" width="17.33203125" style="48" customWidth="1"/>
    <col min="12318" max="12319" width="12.6640625" style="48" customWidth="1"/>
    <col min="12320" max="12320" width="11.21875" style="48" customWidth="1"/>
    <col min="12321" max="12321" width="18.33203125" style="48" customWidth="1"/>
    <col min="12322" max="12322" width="12.88671875" style="48" customWidth="1"/>
    <col min="12323" max="12324" width="13.21875" style="48" customWidth="1"/>
    <col min="12325" max="12325" width="10.88671875" style="48" customWidth="1"/>
    <col min="12326" max="12326" width="11.109375" style="48" customWidth="1"/>
    <col min="12327" max="12327" width="15.21875" style="48" customWidth="1"/>
    <col min="12328" max="12328" width="9.6640625" style="48"/>
    <col min="12329" max="12329" width="11" style="48" customWidth="1"/>
    <col min="12330" max="12330" width="10.77734375" style="48" customWidth="1"/>
    <col min="12331" max="12331" width="11.44140625" style="48" customWidth="1"/>
    <col min="12332" max="12332" width="4" style="48" customWidth="1"/>
    <col min="12333" max="12523" width="9.6640625" style="48"/>
    <col min="12524" max="12524" width="6.44140625" style="48" customWidth="1"/>
    <col min="12525" max="12525" width="13.88671875" style="48" customWidth="1"/>
    <col min="12526" max="12526" width="11.88671875" style="48" customWidth="1"/>
    <col min="12527" max="12529" width="9.6640625" style="48"/>
    <col min="12530" max="12530" width="15.44140625" style="48" customWidth="1"/>
    <col min="12531" max="12531" width="16.21875" style="48" customWidth="1"/>
    <col min="12532" max="12543" width="9.6640625" style="48"/>
    <col min="12544" max="12544" width="12" style="48" customWidth="1"/>
    <col min="12545" max="12545" width="12.77734375" style="48" customWidth="1"/>
    <col min="12546" max="12546" width="11.109375" style="48" customWidth="1"/>
    <col min="12547" max="12547" width="12" style="48" customWidth="1"/>
    <col min="12548" max="12548" width="9.6640625" style="48"/>
    <col min="12549" max="12549" width="15.33203125" style="48" customWidth="1"/>
    <col min="12550" max="12550" width="15.21875" style="48" customWidth="1"/>
    <col min="12551" max="12551" width="21.44140625" style="48" customWidth="1"/>
    <col min="12552" max="12567" width="9.6640625" style="48"/>
    <col min="12568" max="12569" width="13.44140625" style="48" customWidth="1"/>
    <col min="12570" max="12570" width="9.6640625" style="48"/>
    <col min="12571" max="12571" width="13.88671875" style="48" customWidth="1"/>
    <col min="12572" max="12572" width="10.6640625" style="48" customWidth="1"/>
    <col min="12573" max="12573" width="17.33203125" style="48" customWidth="1"/>
    <col min="12574" max="12575" width="12.6640625" style="48" customWidth="1"/>
    <col min="12576" max="12576" width="11.21875" style="48" customWidth="1"/>
    <col min="12577" max="12577" width="18.33203125" style="48" customWidth="1"/>
    <col min="12578" max="12578" width="12.88671875" style="48" customWidth="1"/>
    <col min="12579" max="12580" width="13.21875" style="48" customWidth="1"/>
    <col min="12581" max="12581" width="10.88671875" style="48" customWidth="1"/>
    <col min="12582" max="12582" width="11.109375" style="48" customWidth="1"/>
    <col min="12583" max="12583" width="15.21875" style="48" customWidth="1"/>
    <col min="12584" max="12584" width="9.6640625" style="48"/>
    <col min="12585" max="12585" width="11" style="48" customWidth="1"/>
    <col min="12586" max="12586" width="10.77734375" style="48" customWidth="1"/>
    <col min="12587" max="12587" width="11.44140625" style="48" customWidth="1"/>
    <col min="12588" max="12588" width="4" style="48" customWidth="1"/>
    <col min="12589" max="12779" width="9.6640625" style="48"/>
    <col min="12780" max="12780" width="6.44140625" style="48" customWidth="1"/>
    <col min="12781" max="12781" width="13.88671875" style="48" customWidth="1"/>
    <col min="12782" max="12782" width="11.88671875" style="48" customWidth="1"/>
    <col min="12783" max="12785" width="9.6640625" style="48"/>
    <col min="12786" max="12786" width="15.44140625" style="48" customWidth="1"/>
    <col min="12787" max="12787" width="16.21875" style="48" customWidth="1"/>
    <col min="12788" max="12799" width="9.6640625" style="48"/>
    <col min="12800" max="12800" width="12" style="48" customWidth="1"/>
    <col min="12801" max="12801" width="12.77734375" style="48" customWidth="1"/>
    <col min="12802" max="12802" width="11.109375" style="48" customWidth="1"/>
    <col min="12803" max="12803" width="12" style="48" customWidth="1"/>
    <col min="12804" max="12804" width="9.6640625" style="48"/>
    <col min="12805" max="12805" width="15.33203125" style="48" customWidth="1"/>
    <col min="12806" max="12806" width="15.21875" style="48" customWidth="1"/>
    <col min="12807" max="12807" width="21.44140625" style="48" customWidth="1"/>
    <col min="12808" max="12823" width="9.6640625" style="48"/>
    <col min="12824" max="12825" width="13.44140625" style="48" customWidth="1"/>
    <col min="12826" max="12826" width="9.6640625" style="48"/>
    <col min="12827" max="12827" width="13.88671875" style="48" customWidth="1"/>
    <col min="12828" max="12828" width="10.6640625" style="48" customWidth="1"/>
    <col min="12829" max="12829" width="17.33203125" style="48" customWidth="1"/>
    <col min="12830" max="12831" width="12.6640625" style="48" customWidth="1"/>
    <col min="12832" max="12832" width="11.21875" style="48" customWidth="1"/>
    <col min="12833" max="12833" width="18.33203125" style="48" customWidth="1"/>
    <col min="12834" max="12834" width="12.88671875" style="48" customWidth="1"/>
    <col min="12835" max="12836" width="13.21875" style="48" customWidth="1"/>
    <col min="12837" max="12837" width="10.88671875" style="48" customWidth="1"/>
    <col min="12838" max="12838" width="11.109375" style="48" customWidth="1"/>
    <col min="12839" max="12839" width="15.21875" style="48" customWidth="1"/>
    <col min="12840" max="12840" width="9.6640625" style="48"/>
    <col min="12841" max="12841" width="11" style="48" customWidth="1"/>
    <col min="12842" max="12842" width="10.77734375" style="48" customWidth="1"/>
    <col min="12843" max="12843" width="11.44140625" style="48" customWidth="1"/>
    <col min="12844" max="12844" width="4" style="48" customWidth="1"/>
    <col min="12845" max="13035" width="9.6640625" style="48"/>
    <col min="13036" max="13036" width="6.44140625" style="48" customWidth="1"/>
    <col min="13037" max="13037" width="13.88671875" style="48" customWidth="1"/>
    <col min="13038" max="13038" width="11.88671875" style="48" customWidth="1"/>
    <col min="13039" max="13041" width="9.6640625" style="48"/>
    <col min="13042" max="13042" width="15.44140625" style="48" customWidth="1"/>
    <col min="13043" max="13043" width="16.21875" style="48" customWidth="1"/>
    <col min="13044" max="13055" width="9.6640625" style="48"/>
    <col min="13056" max="13056" width="12" style="48" customWidth="1"/>
    <col min="13057" max="13057" width="12.77734375" style="48" customWidth="1"/>
    <col min="13058" max="13058" width="11.109375" style="48" customWidth="1"/>
    <col min="13059" max="13059" width="12" style="48" customWidth="1"/>
    <col min="13060" max="13060" width="9.6640625" style="48"/>
    <col min="13061" max="13061" width="15.33203125" style="48" customWidth="1"/>
    <col min="13062" max="13062" width="15.21875" style="48" customWidth="1"/>
    <col min="13063" max="13063" width="21.44140625" style="48" customWidth="1"/>
    <col min="13064" max="13079" width="9.6640625" style="48"/>
    <col min="13080" max="13081" width="13.44140625" style="48" customWidth="1"/>
    <col min="13082" max="13082" width="9.6640625" style="48"/>
    <col min="13083" max="13083" width="13.88671875" style="48" customWidth="1"/>
    <col min="13084" max="13084" width="10.6640625" style="48" customWidth="1"/>
    <col min="13085" max="13085" width="17.33203125" style="48" customWidth="1"/>
    <col min="13086" max="13087" width="12.6640625" style="48" customWidth="1"/>
    <col min="13088" max="13088" width="11.21875" style="48" customWidth="1"/>
    <col min="13089" max="13089" width="18.33203125" style="48" customWidth="1"/>
    <col min="13090" max="13090" width="12.88671875" style="48" customWidth="1"/>
    <col min="13091" max="13092" width="13.21875" style="48" customWidth="1"/>
    <col min="13093" max="13093" width="10.88671875" style="48" customWidth="1"/>
    <col min="13094" max="13094" width="11.109375" style="48" customWidth="1"/>
    <col min="13095" max="13095" width="15.21875" style="48" customWidth="1"/>
    <col min="13096" max="13096" width="9.6640625" style="48"/>
    <col min="13097" max="13097" width="11" style="48" customWidth="1"/>
    <col min="13098" max="13098" width="10.77734375" style="48" customWidth="1"/>
    <col min="13099" max="13099" width="11.44140625" style="48" customWidth="1"/>
    <col min="13100" max="13100" width="4" style="48" customWidth="1"/>
    <col min="13101" max="13291" width="9.6640625" style="48"/>
    <col min="13292" max="13292" width="6.44140625" style="48" customWidth="1"/>
    <col min="13293" max="13293" width="13.88671875" style="48" customWidth="1"/>
    <col min="13294" max="13294" width="11.88671875" style="48" customWidth="1"/>
    <col min="13295" max="13297" width="9.6640625" style="48"/>
    <col min="13298" max="13298" width="15.44140625" style="48" customWidth="1"/>
    <col min="13299" max="13299" width="16.21875" style="48" customWidth="1"/>
    <col min="13300" max="13311" width="9.6640625" style="48"/>
    <col min="13312" max="13312" width="12" style="48" customWidth="1"/>
    <col min="13313" max="13313" width="12.77734375" style="48" customWidth="1"/>
    <col min="13314" max="13314" width="11.109375" style="48" customWidth="1"/>
    <col min="13315" max="13315" width="12" style="48" customWidth="1"/>
    <col min="13316" max="13316" width="9.6640625" style="48"/>
    <col min="13317" max="13317" width="15.33203125" style="48" customWidth="1"/>
    <col min="13318" max="13318" width="15.21875" style="48" customWidth="1"/>
    <col min="13319" max="13319" width="21.44140625" style="48" customWidth="1"/>
    <col min="13320" max="13335" width="9.6640625" style="48"/>
    <col min="13336" max="13337" width="13.44140625" style="48" customWidth="1"/>
    <col min="13338" max="13338" width="9.6640625" style="48"/>
    <col min="13339" max="13339" width="13.88671875" style="48" customWidth="1"/>
    <col min="13340" max="13340" width="10.6640625" style="48" customWidth="1"/>
    <col min="13341" max="13341" width="17.33203125" style="48" customWidth="1"/>
    <col min="13342" max="13343" width="12.6640625" style="48" customWidth="1"/>
    <col min="13344" max="13344" width="11.21875" style="48" customWidth="1"/>
    <col min="13345" max="13345" width="18.33203125" style="48" customWidth="1"/>
    <col min="13346" max="13346" width="12.88671875" style="48" customWidth="1"/>
    <col min="13347" max="13348" width="13.21875" style="48" customWidth="1"/>
    <col min="13349" max="13349" width="10.88671875" style="48" customWidth="1"/>
    <col min="13350" max="13350" width="11.109375" style="48" customWidth="1"/>
    <col min="13351" max="13351" width="15.21875" style="48" customWidth="1"/>
    <col min="13352" max="13352" width="9.6640625" style="48"/>
    <col min="13353" max="13353" width="11" style="48" customWidth="1"/>
    <col min="13354" max="13354" width="10.77734375" style="48" customWidth="1"/>
    <col min="13355" max="13355" width="11.44140625" style="48" customWidth="1"/>
    <col min="13356" max="13356" width="4" style="48" customWidth="1"/>
    <col min="13357" max="13547" width="9.6640625" style="48"/>
    <col min="13548" max="13548" width="6.44140625" style="48" customWidth="1"/>
    <col min="13549" max="13549" width="13.88671875" style="48" customWidth="1"/>
    <col min="13550" max="13550" width="11.88671875" style="48" customWidth="1"/>
    <col min="13551" max="13553" width="9.6640625" style="48"/>
    <col min="13554" max="13554" width="15.44140625" style="48" customWidth="1"/>
    <col min="13555" max="13555" width="16.21875" style="48" customWidth="1"/>
    <col min="13556" max="13567" width="9.6640625" style="48"/>
    <col min="13568" max="13568" width="12" style="48" customWidth="1"/>
    <col min="13569" max="13569" width="12.77734375" style="48" customWidth="1"/>
    <col min="13570" max="13570" width="11.109375" style="48" customWidth="1"/>
    <col min="13571" max="13571" width="12" style="48" customWidth="1"/>
    <col min="13572" max="13572" width="9.6640625" style="48"/>
    <col min="13573" max="13573" width="15.33203125" style="48" customWidth="1"/>
    <col min="13574" max="13574" width="15.21875" style="48" customWidth="1"/>
    <col min="13575" max="13575" width="21.44140625" style="48" customWidth="1"/>
    <col min="13576" max="13591" width="9.6640625" style="48"/>
    <col min="13592" max="13593" width="13.44140625" style="48" customWidth="1"/>
    <col min="13594" max="13594" width="9.6640625" style="48"/>
    <col min="13595" max="13595" width="13.88671875" style="48" customWidth="1"/>
    <col min="13596" max="13596" width="10.6640625" style="48" customWidth="1"/>
    <col min="13597" max="13597" width="17.33203125" style="48" customWidth="1"/>
    <col min="13598" max="13599" width="12.6640625" style="48" customWidth="1"/>
    <col min="13600" max="13600" width="11.21875" style="48" customWidth="1"/>
    <col min="13601" max="13601" width="18.33203125" style="48" customWidth="1"/>
    <col min="13602" max="13602" width="12.88671875" style="48" customWidth="1"/>
    <col min="13603" max="13604" width="13.21875" style="48" customWidth="1"/>
    <col min="13605" max="13605" width="10.88671875" style="48" customWidth="1"/>
    <col min="13606" max="13606" width="11.109375" style="48" customWidth="1"/>
    <col min="13607" max="13607" width="15.21875" style="48" customWidth="1"/>
    <col min="13608" max="13608" width="9.6640625" style="48"/>
    <col min="13609" max="13609" width="11" style="48" customWidth="1"/>
    <col min="13610" max="13610" width="10.77734375" style="48" customWidth="1"/>
    <col min="13611" max="13611" width="11.44140625" style="48" customWidth="1"/>
    <col min="13612" max="13612" width="4" style="48" customWidth="1"/>
    <col min="13613" max="13803" width="9.6640625" style="48"/>
    <col min="13804" max="13804" width="6.44140625" style="48" customWidth="1"/>
    <col min="13805" max="13805" width="13.88671875" style="48" customWidth="1"/>
    <col min="13806" max="13806" width="11.88671875" style="48" customWidth="1"/>
    <col min="13807" max="13809" width="9.6640625" style="48"/>
    <col min="13810" max="13810" width="15.44140625" style="48" customWidth="1"/>
    <col min="13811" max="13811" width="16.21875" style="48" customWidth="1"/>
    <col min="13812" max="13823" width="9.6640625" style="48"/>
    <col min="13824" max="13824" width="12" style="48" customWidth="1"/>
    <col min="13825" max="13825" width="12.77734375" style="48" customWidth="1"/>
    <col min="13826" max="13826" width="11.109375" style="48" customWidth="1"/>
    <col min="13827" max="13827" width="12" style="48" customWidth="1"/>
    <col min="13828" max="13828" width="9.6640625" style="48"/>
    <col min="13829" max="13829" width="15.33203125" style="48" customWidth="1"/>
    <col min="13830" max="13830" width="15.21875" style="48" customWidth="1"/>
    <col min="13831" max="13831" width="21.44140625" style="48" customWidth="1"/>
    <col min="13832" max="13847" width="9.6640625" style="48"/>
    <col min="13848" max="13849" width="13.44140625" style="48" customWidth="1"/>
    <col min="13850" max="13850" width="9.6640625" style="48"/>
    <col min="13851" max="13851" width="13.88671875" style="48" customWidth="1"/>
    <col min="13852" max="13852" width="10.6640625" style="48" customWidth="1"/>
    <col min="13853" max="13853" width="17.33203125" style="48" customWidth="1"/>
    <col min="13854" max="13855" width="12.6640625" style="48" customWidth="1"/>
    <col min="13856" max="13856" width="11.21875" style="48" customWidth="1"/>
    <col min="13857" max="13857" width="18.33203125" style="48" customWidth="1"/>
    <col min="13858" max="13858" width="12.88671875" style="48" customWidth="1"/>
    <col min="13859" max="13860" width="13.21875" style="48" customWidth="1"/>
    <col min="13861" max="13861" width="10.88671875" style="48" customWidth="1"/>
    <col min="13862" max="13862" width="11.109375" style="48" customWidth="1"/>
    <col min="13863" max="13863" width="15.21875" style="48" customWidth="1"/>
    <col min="13864" max="13864" width="9.6640625" style="48"/>
    <col min="13865" max="13865" width="11" style="48" customWidth="1"/>
    <col min="13866" max="13866" width="10.77734375" style="48" customWidth="1"/>
    <col min="13867" max="13867" width="11.44140625" style="48" customWidth="1"/>
    <col min="13868" max="13868" width="4" style="48" customWidth="1"/>
    <col min="13869" max="14059" width="9.6640625" style="48"/>
    <col min="14060" max="14060" width="6.44140625" style="48" customWidth="1"/>
    <col min="14061" max="14061" width="13.88671875" style="48" customWidth="1"/>
    <col min="14062" max="14062" width="11.88671875" style="48" customWidth="1"/>
    <col min="14063" max="14065" width="9.6640625" style="48"/>
    <col min="14066" max="14066" width="15.44140625" style="48" customWidth="1"/>
    <col min="14067" max="14067" width="16.21875" style="48" customWidth="1"/>
    <col min="14068" max="14079" width="9.6640625" style="48"/>
    <col min="14080" max="14080" width="12" style="48" customWidth="1"/>
    <col min="14081" max="14081" width="12.77734375" style="48" customWidth="1"/>
    <col min="14082" max="14082" width="11.109375" style="48" customWidth="1"/>
    <col min="14083" max="14083" width="12" style="48" customWidth="1"/>
    <col min="14084" max="14084" width="9.6640625" style="48"/>
    <col min="14085" max="14085" width="15.33203125" style="48" customWidth="1"/>
    <col min="14086" max="14086" width="15.21875" style="48" customWidth="1"/>
    <col min="14087" max="14087" width="21.44140625" style="48" customWidth="1"/>
    <col min="14088" max="14103" width="9.6640625" style="48"/>
    <col min="14104" max="14105" width="13.44140625" style="48" customWidth="1"/>
    <col min="14106" max="14106" width="9.6640625" style="48"/>
    <col min="14107" max="14107" width="13.88671875" style="48" customWidth="1"/>
    <col min="14108" max="14108" width="10.6640625" style="48" customWidth="1"/>
    <col min="14109" max="14109" width="17.33203125" style="48" customWidth="1"/>
    <col min="14110" max="14111" width="12.6640625" style="48" customWidth="1"/>
    <col min="14112" max="14112" width="11.21875" style="48" customWidth="1"/>
    <col min="14113" max="14113" width="18.33203125" style="48" customWidth="1"/>
    <col min="14114" max="14114" width="12.88671875" style="48" customWidth="1"/>
    <col min="14115" max="14116" width="13.21875" style="48" customWidth="1"/>
    <col min="14117" max="14117" width="10.88671875" style="48" customWidth="1"/>
    <col min="14118" max="14118" width="11.109375" style="48" customWidth="1"/>
    <col min="14119" max="14119" width="15.21875" style="48" customWidth="1"/>
    <col min="14120" max="14120" width="9.6640625" style="48"/>
    <col min="14121" max="14121" width="11" style="48" customWidth="1"/>
    <col min="14122" max="14122" width="10.77734375" style="48" customWidth="1"/>
    <col min="14123" max="14123" width="11.44140625" style="48" customWidth="1"/>
    <col min="14124" max="14124" width="4" style="48" customWidth="1"/>
    <col min="14125" max="14315" width="9.6640625" style="48"/>
    <col min="14316" max="14316" width="6.44140625" style="48" customWidth="1"/>
    <col min="14317" max="14317" width="13.88671875" style="48" customWidth="1"/>
    <col min="14318" max="14318" width="11.88671875" style="48" customWidth="1"/>
    <col min="14319" max="14321" width="9.6640625" style="48"/>
    <col min="14322" max="14322" width="15.44140625" style="48" customWidth="1"/>
    <col min="14323" max="14323" width="16.21875" style="48" customWidth="1"/>
    <col min="14324" max="14335" width="9.6640625" style="48"/>
    <col min="14336" max="14336" width="12" style="48" customWidth="1"/>
    <col min="14337" max="14337" width="12.77734375" style="48" customWidth="1"/>
    <col min="14338" max="14338" width="11.109375" style="48" customWidth="1"/>
    <col min="14339" max="14339" width="12" style="48" customWidth="1"/>
    <col min="14340" max="14340" width="9.6640625" style="48"/>
    <col min="14341" max="14341" width="15.33203125" style="48" customWidth="1"/>
    <col min="14342" max="14342" width="15.21875" style="48" customWidth="1"/>
    <col min="14343" max="14343" width="21.44140625" style="48" customWidth="1"/>
    <col min="14344" max="14359" width="9.6640625" style="48"/>
    <col min="14360" max="14361" width="13.44140625" style="48" customWidth="1"/>
    <col min="14362" max="14362" width="9.6640625" style="48"/>
    <col min="14363" max="14363" width="13.88671875" style="48" customWidth="1"/>
    <col min="14364" max="14364" width="10.6640625" style="48" customWidth="1"/>
    <col min="14365" max="14365" width="17.33203125" style="48" customWidth="1"/>
    <col min="14366" max="14367" width="12.6640625" style="48" customWidth="1"/>
    <col min="14368" max="14368" width="11.21875" style="48" customWidth="1"/>
    <col min="14369" max="14369" width="18.33203125" style="48" customWidth="1"/>
    <col min="14370" max="14370" width="12.88671875" style="48" customWidth="1"/>
    <col min="14371" max="14372" width="13.21875" style="48" customWidth="1"/>
    <col min="14373" max="14373" width="10.88671875" style="48" customWidth="1"/>
    <col min="14374" max="14374" width="11.109375" style="48" customWidth="1"/>
    <col min="14375" max="14375" width="15.21875" style="48" customWidth="1"/>
    <col min="14376" max="14376" width="9.6640625" style="48"/>
    <col min="14377" max="14377" width="11" style="48" customWidth="1"/>
    <col min="14378" max="14378" width="10.77734375" style="48" customWidth="1"/>
    <col min="14379" max="14379" width="11.44140625" style="48" customWidth="1"/>
    <col min="14380" max="14380" width="4" style="48" customWidth="1"/>
    <col min="14381" max="14571" width="9.6640625" style="48"/>
    <col min="14572" max="14572" width="6.44140625" style="48" customWidth="1"/>
    <col min="14573" max="14573" width="13.88671875" style="48" customWidth="1"/>
    <col min="14574" max="14574" width="11.88671875" style="48" customWidth="1"/>
    <col min="14575" max="14577" width="9.6640625" style="48"/>
    <col min="14578" max="14578" width="15.44140625" style="48" customWidth="1"/>
    <col min="14579" max="14579" width="16.21875" style="48" customWidth="1"/>
    <col min="14580" max="14591" width="9.6640625" style="48"/>
    <col min="14592" max="14592" width="12" style="48" customWidth="1"/>
    <col min="14593" max="14593" width="12.77734375" style="48" customWidth="1"/>
    <col min="14594" max="14594" width="11.109375" style="48" customWidth="1"/>
    <col min="14595" max="14595" width="12" style="48" customWidth="1"/>
    <col min="14596" max="14596" width="9.6640625" style="48"/>
    <col min="14597" max="14597" width="15.33203125" style="48" customWidth="1"/>
    <col min="14598" max="14598" width="15.21875" style="48" customWidth="1"/>
    <col min="14599" max="14599" width="21.44140625" style="48" customWidth="1"/>
    <col min="14600" max="14615" width="9.6640625" style="48"/>
    <col min="14616" max="14617" width="13.44140625" style="48" customWidth="1"/>
    <col min="14618" max="14618" width="9.6640625" style="48"/>
    <col min="14619" max="14619" width="13.88671875" style="48" customWidth="1"/>
    <col min="14620" max="14620" width="10.6640625" style="48" customWidth="1"/>
    <col min="14621" max="14621" width="17.33203125" style="48" customWidth="1"/>
    <col min="14622" max="14623" width="12.6640625" style="48" customWidth="1"/>
    <col min="14624" max="14624" width="11.21875" style="48" customWidth="1"/>
    <col min="14625" max="14625" width="18.33203125" style="48" customWidth="1"/>
    <col min="14626" max="14626" width="12.88671875" style="48" customWidth="1"/>
    <col min="14627" max="14628" width="13.21875" style="48" customWidth="1"/>
    <col min="14629" max="14629" width="10.88671875" style="48" customWidth="1"/>
    <col min="14630" max="14630" width="11.109375" style="48" customWidth="1"/>
    <col min="14631" max="14631" width="15.21875" style="48" customWidth="1"/>
    <col min="14632" max="14632" width="9.6640625" style="48"/>
    <col min="14633" max="14633" width="11" style="48" customWidth="1"/>
    <col min="14634" max="14634" width="10.77734375" style="48" customWidth="1"/>
    <col min="14635" max="14635" width="11.44140625" style="48" customWidth="1"/>
    <col min="14636" max="14636" width="4" style="48" customWidth="1"/>
    <col min="14637" max="14827" width="9.6640625" style="48"/>
    <col min="14828" max="14828" width="6.44140625" style="48" customWidth="1"/>
    <col min="14829" max="14829" width="13.88671875" style="48" customWidth="1"/>
    <col min="14830" max="14830" width="11.88671875" style="48" customWidth="1"/>
    <col min="14831" max="14833" width="9.6640625" style="48"/>
    <col min="14834" max="14834" width="15.44140625" style="48" customWidth="1"/>
    <col min="14835" max="14835" width="16.21875" style="48" customWidth="1"/>
    <col min="14836" max="14847" width="9.6640625" style="48"/>
    <col min="14848" max="14848" width="12" style="48" customWidth="1"/>
    <col min="14849" max="14849" width="12.77734375" style="48" customWidth="1"/>
    <col min="14850" max="14850" width="11.109375" style="48" customWidth="1"/>
    <col min="14851" max="14851" width="12" style="48" customWidth="1"/>
    <col min="14852" max="14852" width="9.6640625" style="48"/>
    <col min="14853" max="14853" width="15.33203125" style="48" customWidth="1"/>
    <col min="14854" max="14854" width="15.21875" style="48" customWidth="1"/>
    <col min="14855" max="14855" width="21.44140625" style="48" customWidth="1"/>
    <col min="14856" max="14871" width="9.6640625" style="48"/>
    <col min="14872" max="14873" width="13.44140625" style="48" customWidth="1"/>
    <col min="14874" max="14874" width="9.6640625" style="48"/>
    <col min="14875" max="14875" width="13.88671875" style="48" customWidth="1"/>
    <col min="14876" max="14876" width="10.6640625" style="48" customWidth="1"/>
    <col min="14877" max="14877" width="17.33203125" style="48" customWidth="1"/>
    <col min="14878" max="14879" width="12.6640625" style="48" customWidth="1"/>
    <col min="14880" max="14880" width="11.21875" style="48" customWidth="1"/>
    <col min="14881" max="14881" width="18.33203125" style="48" customWidth="1"/>
    <col min="14882" max="14882" width="12.88671875" style="48" customWidth="1"/>
    <col min="14883" max="14884" width="13.21875" style="48" customWidth="1"/>
    <col min="14885" max="14885" width="10.88671875" style="48" customWidth="1"/>
    <col min="14886" max="14886" width="11.109375" style="48" customWidth="1"/>
    <col min="14887" max="14887" width="15.21875" style="48" customWidth="1"/>
    <col min="14888" max="14888" width="9.6640625" style="48"/>
    <col min="14889" max="14889" width="11" style="48" customWidth="1"/>
    <col min="14890" max="14890" width="10.77734375" style="48" customWidth="1"/>
    <col min="14891" max="14891" width="11.44140625" style="48" customWidth="1"/>
    <col min="14892" max="14892" width="4" style="48" customWidth="1"/>
    <col min="14893" max="15083" width="9.6640625" style="48"/>
    <col min="15084" max="15084" width="6.44140625" style="48" customWidth="1"/>
    <col min="15085" max="15085" width="13.88671875" style="48" customWidth="1"/>
    <col min="15086" max="15086" width="11.88671875" style="48" customWidth="1"/>
    <col min="15087" max="15089" width="9.6640625" style="48"/>
    <col min="15090" max="15090" width="15.44140625" style="48" customWidth="1"/>
    <col min="15091" max="15091" width="16.21875" style="48" customWidth="1"/>
    <col min="15092" max="15103" width="9.6640625" style="48"/>
    <col min="15104" max="15104" width="12" style="48" customWidth="1"/>
    <col min="15105" max="15105" width="12.77734375" style="48" customWidth="1"/>
    <col min="15106" max="15106" width="11.109375" style="48" customWidth="1"/>
    <col min="15107" max="15107" width="12" style="48" customWidth="1"/>
    <col min="15108" max="15108" width="9.6640625" style="48"/>
    <col min="15109" max="15109" width="15.33203125" style="48" customWidth="1"/>
    <col min="15110" max="15110" width="15.21875" style="48" customWidth="1"/>
    <col min="15111" max="15111" width="21.44140625" style="48" customWidth="1"/>
    <col min="15112" max="15127" width="9.6640625" style="48"/>
    <col min="15128" max="15129" width="13.44140625" style="48" customWidth="1"/>
    <col min="15130" max="15130" width="9.6640625" style="48"/>
    <col min="15131" max="15131" width="13.88671875" style="48" customWidth="1"/>
    <col min="15132" max="15132" width="10.6640625" style="48" customWidth="1"/>
    <col min="15133" max="15133" width="17.33203125" style="48" customWidth="1"/>
    <col min="15134" max="15135" width="12.6640625" style="48" customWidth="1"/>
    <col min="15136" max="15136" width="11.21875" style="48" customWidth="1"/>
    <col min="15137" max="15137" width="18.33203125" style="48" customWidth="1"/>
    <col min="15138" max="15138" width="12.88671875" style="48" customWidth="1"/>
    <col min="15139" max="15140" width="13.21875" style="48" customWidth="1"/>
    <col min="15141" max="15141" width="10.88671875" style="48" customWidth="1"/>
    <col min="15142" max="15142" width="11.109375" style="48" customWidth="1"/>
    <col min="15143" max="15143" width="15.21875" style="48" customWidth="1"/>
    <col min="15144" max="15144" width="9.6640625" style="48"/>
    <col min="15145" max="15145" width="11" style="48" customWidth="1"/>
    <col min="15146" max="15146" width="10.77734375" style="48" customWidth="1"/>
    <col min="15147" max="15147" width="11.44140625" style="48" customWidth="1"/>
    <col min="15148" max="15148" width="4" style="48" customWidth="1"/>
    <col min="15149" max="15339" width="9.6640625" style="48"/>
    <col min="15340" max="15340" width="6.44140625" style="48" customWidth="1"/>
    <col min="15341" max="15341" width="13.88671875" style="48" customWidth="1"/>
    <col min="15342" max="15342" width="11.88671875" style="48" customWidth="1"/>
    <col min="15343" max="15345" width="9.6640625" style="48"/>
    <col min="15346" max="15346" width="15.44140625" style="48" customWidth="1"/>
    <col min="15347" max="15347" width="16.21875" style="48" customWidth="1"/>
    <col min="15348" max="15359" width="9.6640625" style="48"/>
    <col min="15360" max="15360" width="12" style="48" customWidth="1"/>
    <col min="15361" max="15361" width="12.77734375" style="48" customWidth="1"/>
    <col min="15362" max="15362" width="11.109375" style="48" customWidth="1"/>
    <col min="15363" max="15363" width="12" style="48" customWidth="1"/>
    <col min="15364" max="15364" width="9.6640625" style="48"/>
    <col min="15365" max="15365" width="15.33203125" style="48" customWidth="1"/>
    <col min="15366" max="15366" width="15.21875" style="48" customWidth="1"/>
    <col min="15367" max="15367" width="21.44140625" style="48" customWidth="1"/>
    <col min="15368" max="15383" width="9.6640625" style="48"/>
    <col min="15384" max="15385" width="13.44140625" style="48" customWidth="1"/>
    <col min="15386" max="15386" width="9.6640625" style="48"/>
    <col min="15387" max="15387" width="13.88671875" style="48" customWidth="1"/>
    <col min="15388" max="15388" width="10.6640625" style="48" customWidth="1"/>
    <col min="15389" max="15389" width="17.33203125" style="48" customWidth="1"/>
    <col min="15390" max="15391" width="12.6640625" style="48" customWidth="1"/>
    <col min="15392" max="15392" width="11.21875" style="48" customWidth="1"/>
    <col min="15393" max="15393" width="18.33203125" style="48" customWidth="1"/>
    <col min="15394" max="15394" width="12.88671875" style="48" customWidth="1"/>
    <col min="15395" max="15396" width="13.21875" style="48" customWidth="1"/>
    <col min="15397" max="15397" width="10.88671875" style="48" customWidth="1"/>
    <col min="15398" max="15398" width="11.109375" style="48" customWidth="1"/>
    <col min="15399" max="15399" width="15.21875" style="48" customWidth="1"/>
    <col min="15400" max="15400" width="9.6640625" style="48"/>
    <col min="15401" max="15401" width="11" style="48" customWidth="1"/>
    <col min="15402" max="15402" width="10.77734375" style="48" customWidth="1"/>
    <col min="15403" max="15403" width="11.44140625" style="48" customWidth="1"/>
    <col min="15404" max="15404" width="4" style="48" customWidth="1"/>
    <col min="15405" max="15595" width="9.6640625" style="48"/>
    <col min="15596" max="15596" width="6.44140625" style="48" customWidth="1"/>
    <col min="15597" max="15597" width="13.88671875" style="48" customWidth="1"/>
    <col min="15598" max="15598" width="11.88671875" style="48" customWidth="1"/>
    <col min="15599" max="15601" width="9.6640625" style="48"/>
    <col min="15602" max="15602" width="15.44140625" style="48" customWidth="1"/>
    <col min="15603" max="15603" width="16.21875" style="48" customWidth="1"/>
    <col min="15604" max="15615" width="9.6640625" style="48"/>
    <col min="15616" max="15616" width="12" style="48" customWidth="1"/>
    <col min="15617" max="15617" width="12.77734375" style="48" customWidth="1"/>
    <col min="15618" max="15618" width="11.109375" style="48" customWidth="1"/>
    <col min="15619" max="15619" width="12" style="48" customWidth="1"/>
    <col min="15620" max="15620" width="9.6640625" style="48"/>
    <col min="15621" max="15621" width="15.33203125" style="48" customWidth="1"/>
    <col min="15622" max="15622" width="15.21875" style="48" customWidth="1"/>
    <col min="15623" max="15623" width="21.44140625" style="48" customWidth="1"/>
    <col min="15624" max="15639" width="9.6640625" style="48"/>
    <col min="15640" max="15641" width="13.44140625" style="48" customWidth="1"/>
    <col min="15642" max="15642" width="9.6640625" style="48"/>
    <col min="15643" max="15643" width="13.88671875" style="48" customWidth="1"/>
    <col min="15644" max="15644" width="10.6640625" style="48" customWidth="1"/>
    <col min="15645" max="15645" width="17.33203125" style="48" customWidth="1"/>
    <col min="15646" max="15647" width="12.6640625" style="48" customWidth="1"/>
    <col min="15648" max="15648" width="11.21875" style="48" customWidth="1"/>
    <col min="15649" max="15649" width="18.33203125" style="48" customWidth="1"/>
    <col min="15650" max="15650" width="12.88671875" style="48" customWidth="1"/>
    <col min="15651" max="15652" width="13.21875" style="48" customWidth="1"/>
    <col min="15653" max="15653" width="10.88671875" style="48" customWidth="1"/>
    <col min="15654" max="15654" width="11.109375" style="48" customWidth="1"/>
    <col min="15655" max="15655" width="15.21875" style="48" customWidth="1"/>
    <col min="15656" max="15656" width="9.6640625" style="48"/>
    <col min="15657" max="15657" width="11" style="48" customWidth="1"/>
    <col min="15658" max="15658" width="10.77734375" style="48" customWidth="1"/>
    <col min="15659" max="15659" width="11.44140625" style="48" customWidth="1"/>
    <col min="15660" max="15660" width="4" style="48" customWidth="1"/>
    <col min="15661" max="15851" width="9.6640625" style="48"/>
    <col min="15852" max="15852" width="6.44140625" style="48" customWidth="1"/>
    <col min="15853" max="15853" width="13.88671875" style="48" customWidth="1"/>
    <col min="15854" max="15854" width="11.88671875" style="48" customWidth="1"/>
    <col min="15855" max="15857" width="9.6640625" style="48"/>
    <col min="15858" max="15858" width="15.44140625" style="48" customWidth="1"/>
    <col min="15859" max="15859" width="16.21875" style="48" customWidth="1"/>
    <col min="15860" max="15871" width="9.6640625" style="48"/>
    <col min="15872" max="15872" width="12" style="48" customWidth="1"/>
    <col min="15873" max="15873" width="12.77734375" style="48" customWidth="1"/>
    <col min="15874" max="15874" width="11.109375" style="48" customWidth="1"/>
    <col min="15875" max="15875" width="12" style="48" customWidth="1"/>
    <col min="15876" max="15876" width="9.6640625" style="48"/>
    <col min="15877" max="15877" width="15.33203125" style="48" customWidth="1"/>
    <col min="15878" max="15878" width="15.21875" style="48" customWidth="1"/>
    <col min="15879" max="15879" width="21.44140625" style="48" customWidth="1"/>
    <col min="15880" max="15895" width="9.6640625" style="48"/>
    <col min="15896" max="15897" width="13.44140625" style="48" customWidth="1"/>
    <col min="15898" max="15898" width="9.6640625" style="48"/>
    <col min="15899" max="15899" width="13.88671875" style="48" customWidth="1"/>
    <col min="15900" max="15900" width="10.6640625" style="48" customWidth="1"/>
    <col min="15901" max="15901" width="17.33203125" style="48" customWidth="1"/>
    <col min="15902" max="15903" width="12.6640625" style="48" customWidth="1"/>
    <col min="15904" max="15904" width="11.21875" style="48" customWidth="1"/>
    <col min="15905" max="15905" width="18.33203125" style="48" customWidth="1"/>
    <col min="15906" max="15906" width="12.88671875" style="48" customWidth="1"/>
    <col min="15907" max="15908" width="13.21875" style="48" customWidth="1"/>
    <col min="15909" max="15909" width="10.88671875" style="48" customWidth="1"/>
    <col min="15910" max="15910" width="11.109375" style="48" customWidth="1"/>
    <col min="15911" max="15911" width="15.21875" style="48" customWidth="1"/>
    <col min="15912" max="15912" width="9.6640625" style="48"/>
    <col min="15913" max="15913" width="11" style="48" customWidth="1"/>
    <col min="15914" max="15914" width="10.77734375" style="48" customWidth="1"/>
    <col min="15915" max="15915" width="11.44140625" style="48" customWidth="1"/>
    <col min="15916" max="15916" width="4" style="48" customWidth="1"/>
    <col min="15917" max="16107" width="9.6640625" style="48"/>
    <col min="16108" max="16108" width="6.44140625" style="48" customWidth="1"/>
    <col min="16109" max="16109" width="13.88671875" style="48" customWidth="1"/>
    <col min="16110" max="16110" width="11.88671875" style="48" customWidth="1"/>
    <col min="16111" max="16113" width="9.6640625" style="48"/>
    <col min="16114" max="16114" width="15.44140625" style="48" customWidth="1"/>
    <col min="16115" max="16115" width="16.21875" style="48" customWidth="1"/>
    <col min="16116" max="16127" width="9.6640625" style="48"/>
    <col min="16128" max="16128" width="12" style="48" customWidth="1"/>
    <col min="16129" max="16129" width="12.77734375" style="48" customWidth="1"/>
    <col min="16130" max="16130" width="11.109375" style="48" customWidth="1"/>
    <col min="16131" max="16131" width="12" style="48" customWidth="1"/>
    <col min="16132" max="16132" width="9.6640625" style="48"/>
    <col min="16133" max="16133" width="15.33203125" style="48" customWidth="1"/>
    <col min="16134" max="16134" width="15.21875" style="48" customWidth="1"/>
    <col min="16135" max="16135" width="21.44140625" style="48" customWidth="1"/>
    <col min="16136" max="16151" width="9.6640625" style="48"/>
    <col min="16152" max="16153" width="13.44140625" style="48" customWidth="1"/>
    <col min="16154" max="16154" width="9.6640625" style="48"/>
    <col min="16155" max="16155" width="13.88671875" style="48" customWidth="1"/>
    <col min="16156" max="16156" width="10.6640625" style="48" customWidth="1"/>
    <col min="16157" max="16157" width="17.33203125" style="48" customWidth="1"/>
    <col min="16158" max="16159" width="12.6640625" style="48" customWidth="1"/>
    <col min="16160" max="16160" width="11.21875" style="48" customWidth="1"/>
    <col min="16161" max="16161" width="18.33203125" style="48" customWidth="1"/>
    <col min="16162" max="16162" width="12.88671875" style="48" customWidth="1"/>
    <col min="16163" max="16164" width="13.21875" style="48" customWidth="1"/>
    <col min="16165" max="16165" width="10.88671875" style="48" customWidth="1"/>
    <col min="16166" max="16166" width="11.109375" style="48" customWidth="1"/>
    <col min="16167" max="16167" width="15.21875" style="48" customWidth="1"/>
    <col min="16168" max="16168" width="9.6640625" style="48"/>
    <col min="16169" max="16169" width="11" style="48" customWidth="1"/>
    <col min="16170" max="16170" width="10.77734375" style="48" customWidth="1"/>
    <col min="16171" max="16171" width="11.44140625" style="48" customWidth="1"/>
    <col min="16172" max="16172" width="4" style="48" customWidth="1"/>
    <col min="16173" max="16384" width="9.6640625" style="48"/>
  </cols>
  <sheetData>
    <row r="1" spans="1:56" ht="13.2" x14ac:dyDescent="0.2">
      <c r="A1" s="47" t="s">
        <v>155</v>
      </c>
    </row>
    <row r="2" spans="1:56" x14ac:dyDescent="0.2">
      <c r="C2" s="50" t="s">
        <v>156</v>
      </c>
    </row>
    <row r="3" spans="1:56" s="49" customFormat="1" x14ac:dyDescent="0.2">
      <c r="A3" s="51"/>
      <c r="B3" s="52" t="s">
        <v>157</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4"/>
      <c r="AS3" s="54"/>
      <c r="AT3" s="54"/>
      <c r="AU3" s="54"/>
      <c r="AV3" s="54"/>
      <c r="AW3" s="54"/>
      <c r="AX3" s="54"/>
      <c r="AY3" s="54"/>
      <c r="AZ3" s="54"/>
      <c r="BA3" s="54"/>
      <c r="BB3" s="54"/>
      <c r="BC3" s="54"/>
      <c r="BD3" s="54"/>
    </row>
    <row r="4" spans="1:56" s="49" customFormat="1" x14ac:dyDescent="0.2">
      <c r="A4" s="51"/>
      <c r="B4" s="55" t="s">
        <v>158</v>
      </c>
      <c r="C4" s="53" t="s">
        <v>118</v>
      </c>
      <c r="D4" s="53" t="s">
        <v>118</v>
      </c>
      <c r="E4" s="53" t="s">
        <v>118</v>
      </c>
      <c r="F4" s="53" t="s">
        <v>118</v>
      </c>
      <c r="G4" s="53" t="s">
        <v>118</v>
      </c>
      <c r="H4" s="53" t="s">
        <v>118</v>
      </c>
      <c r="I4" s="53" t="s">
        <v>118</v>
      </c>
      <c r="J4" s="53" t="s">
        <v>118</v>
      </c>
      <c r="K4" s="53" t="s">
        <v>118</v>
      </c>
      <c r="L4" s="53" t="s">
        <v>118</v>
      </c>
      <c r="M4" s="53" t="s">
        <v>118</v>
      </c>
      <c r="N4" s="53" t="s">
        <v>118</v>
      </c>
      <c r="O4" s="53" t="s">
        <v>118</v>
      </c>
      <c r="P4" s="53" t="s">
        <v>118</v>
      </c>
      <c r="Q4" s="53" t="s">
        <v>118</v>
      </c>
      <c r="R4" s="53" t="s">
        <v>118</v>
      </c>
      <c r="S4" s="53" t="s">
        <v>118</v>
      </c>
      <c r="T4" s="53" t="s">
        <v>118</v>
      </c>
      <c r="U4" s="53" t="s">
        <v>118</v>
      </c>
      <c r="V4" s="53" t="s">
        <v>118</v>
      </c>
      <c r="W4" s="53" t="s">
        <v>141</v>
      </c>
      <c r="X4" s="53" t="s">
        <v>118</v>
      </c>
      <c r="Y4" s="53" t="s">
        <v>118</v>
      </c>
      <c r="Z4" s="53" t="s">
        <v>118</v>
      </c>
      <c r="AA4" s="53" t="s">
        <v>140</v>
      </c>
      <c r="AB4" s="53" t="s">
        <v>141</v>
      </c>
      <c r="AC4" s="53" t="s">
        <v>141</v>
      </c>
      <c r="AD4" s="53" t="s">
        <v>118</v>
      </c>
      <c r="AE4" s="53" t="s">
        <v>118</v>
      </c>
      <c r="AF4" s="53" t="s">
        <v>118</v>
      </c>
      <c r="AG4" s="53" t="s">
        <v>118</v>
      </c>
      <c r="AH4" s="53" t="s">
        <v>118</v>
      </c>
      <c r="AI4" s="53" t="s">
        <v>118</v>
      </c>
      <c r="AJ4" s="53"/>
      <c r="AK4" s="53"/>
      <c r="AL4" s="53"/>
      <c r="AM4" s="53"/>
      <c r="AN4" s="53"/>
      <c r="AO4" s="53"/>
      <c r="AP4" s="53"/>
      <c r="AQ4" s="53"/>
      <c r="AR4" s="54"/>
      <c r="AS4" s="54"/>
      <c r="AT4" s="54"/>
      <c r="AU4" s="54"/>
      <c r="AV4" s="54"/>
      <c r="AW4" s="54"/>
      <c r="AX4" s="54"/>
      <c r="AY4" s="54"/>
      <c r="AZ4" s="54"/>
      <c r="BA4" s="54"/>
      <c r="BB4" s="54"/>
      <c r="BC4" s="54"/>
      <c r="BD4" s="54"/>
    </row>
    <row r="5" spans="1:56" s="49" customFormat="1" x14ac:dyDescent="0.2">
      <c r="A5" s="51"/>
      <c r="B5" s="52" t="s">
        <v>160</v>
      </c>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4"/>
      <c r="AS5" s="54"/>
      <c r="AT5" s="54"/>
      <c r="AU5" s="54"/>
      <c r="AV5" s="54"/>
      <c r="AW5" s="54"/>
      <c r="AX5" s="54"/>
      <c r="AY5" s="54"/>
      <c r="AZ5" s="54"/>
      <c r="BA5" s="54"/>
      <c r="BB5" s="54"/>
      <c r="BC5" s="54"/>
      <c r="BD5" s="54"/>
    </row>
    <row r="6" spans="1:56" s="101" customFormat="1" ht="21.6" customHeight="1" x14ac:dyDescent="0.2">
      <c r="A6" s="97"/>
      <c r="B6" s="55" t="s">
        <v>162</v>
      </c>
      <c r="C6" s="55" t="s">
        <v>119</v>
      </c>
      <c r="D6" s="55" t="s">
        <v>24</v>
      </c>
      <c r="E6" s="55" t="s">
        <v>120</v>
      </c>
      <c r="F6" s="55" t="s">
        <v>121</v>
      </c>
      <c r="G6" s="55" t="s">
        <v>122</v>
      </c>
      <c r="H6" s="55" t="s">
        <v>123</v>
      </c>
      <c r="I6" s="55" t="s">
        <v>124</v>
      </c>
      <c r="J6" s="55" t="s">
        <v>125</v>
      </c>
      <c r="K6" s="55" t="s">
        <v>30</v>
      </c>
      <c r="L6" s="55" t="s">
        <v>126</v>
      </c>
      <c r="M6" s="55" t="s">
        <v>127</v>
      </c>
      <c r="N6" s="55" t="s">
        <v>128</v>
      </c>
      <c r="O6" s="55" t="s">
        <v>129</v>
      </c>
      <c r="P6" s="55" t="s">
        <v>130</v>
      </c>
      <c r="Q6" s="55" t="s">
        <v>13</v>
      </c>
      <c r="R6" s="55" t="s">
        <v>46</v>
      </c>
      <c r="S6" s="55" t="s">
        <v>131</v>
      </c>
      <c r="T6" s="55" t="s">
        <v>44</v>
      </c>
      <c r="U6" s="55" t="s">
        <v>23</v>
      </c>
      <c r="V6" s="55" t="s">
        <v>133</v>
      </c>
      <c r="W6" s="55" t="s">
        <v>43</v>
      </c>
      <c r="X6" s="55" t="s">
        <v>6</v>
      </c>
      <c r="Y6" s="55" t="s">
        <v>7</v>
      </c>
      <c r="Z6" s="55" t="s">
        <v>134</v>
      </c>
      <c r="AA6" s="55" t="s">
        <v>29</v>
      </c>
      <c r="AB6" s="55" t="s">
        <v>135</v>
      </c>
      <c r="AC6" s="55" t="s">
        <v>25</v>
      </c>
      <c r="AD6" s="55" t="s">
        <v>75</v>
      </c>
      <c r="AE6" s="55" t="s">
        <v>136</v>
      </c>
      <c r="AF6" s="55" t="s">
        <v>137</v>
      </c>
      <c r="AG6" s="55" t="s">
        <v>87</v>
      </c>
      <c r="AH6" s="55" t="s">
        <v>278</v>
      </c>
      <c r="AI6" s="55" t="s">
        <v>31</v>
      </c>
      <c r="AJ6" s="98"/>
      <c r="AK6" s="98"/>
      <c r="AL6" s="98"/>
      <c r="AM6" s="98"/>
      <c r="AN6" s="98"/>
      <c r="AO6" s="98"/>
      <c r="AP6" s="98"/>
      <c r="AQ6" s="98"/>
      <c r="AR6" s="99"/>
      <c r="AS6" s="100"/>
      <c r="AT6" s="100"/>
      <c r="AU6" s="100"/>
      <c r="AV6" s="100"/>
      <c r="AW6" s="100"/>
      <c r="AX6" s="100"/>
      <c r="AY6" s="100"/>
      <c r="AZ6" s="100"/>
      <c r="BA6" s="100"/>
      <c r="BB6" s="100"/>
      <c r="BC6" s="100"/>
      <c r="BD6" s="100"/>
    </row>
    <row r="7" spans="1:56" x14ac:dyDescent="0.2">
      <c r="A7" s="59" t="s">
        <v>163</v>
      </c>
      <c r="B7" s="60"/>
      <c r="C7" s="61"/>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row>
    <row r="8" spans="1:56" x14ac:dyDescent="0.2">
      <c r="A8" s="62" t="s">
        <v>172</v>
      </c>
      <c r="B8" s="60"/>
      <c r="C8" s="63">
        <v>0.10181704260651629</v>
      </c>
      <c r="D8" s="63">
        <v>0.13236215538847118</v>
      </c>
      <c r="E8" s="63">
        <v>0.71794871794871784</v>
      </c>
      <c r="F8" s="63">
        <v>0.15114709851551955</v>
      </c>
      <c r="G8" s="63">
        <v>0.86153846153846148</v>
      </c>
      <c r="H8" s="63">
        <v>7.5573549257759776E-2</v>
      </c>
      <c r="I8" s="63">
        <v>0.75573549257759776</v>
      </c>
      <c r="J8" s="63">
        <v>5.2901484480431846E-2</v>
      </c>
      <c r="K8" s="63">
        <v>0.22672064777327935</v>
      </c>
      <c r="L8" s="63">
        <v>2.5695006747638325</v>
      </c>
      <c r="M8" s="63">
        <v>1.2091767881241564</v>
      </c>
      <c r="N8" s="63">
        <v>0.64237516869095812</v>
      </c>
      <c r="O8" s="63">
        <v>0.68016194331983804</v>
      </c>
      <c r="P8" s="63">
        <v>1.3603238866396761</v>
      </c>
      <c r="Q8" s="63">
        <v>0.98245614035087714</v>
      </c>
      <c r="R8" s="63">
        <v>5.4412955465587043</v>
      </c>
      <c r="S8" s="63">
        <v>0.22672064777327933</v>
      </c>
      <c r="T8" s="63">
        <v>2.1160593792172739</v>
      </c>
      <c r="U8" s="63">
        <v>1.6626180836707152</v>
      </c>
      <c r="V8" s="63">
        <v>0.52901484480431848</v>
      </c>
      <c r="W8" s="63">
        <v>5.1169590643274851E-3</v>
      </c>
      <c r="X8" s="63">
        <v>4.2321187584345478E-2</v>
      </c>
      <c r="Y8" s="63">
        <v>5.1390013495276651E-2</v>
      </c>
      <c r="Z8" s="63">
        <v>0.11789473684210526</v>
      </c>
      <c r="AA8" s="63">
        <v>1.9736842105263157E-2</v>
      </c>
      <c r="AB8" s="63">
        <v>1.7543859649122806E-2</v>
      </c>
      <c r="AC8" s="63">
        <v>7.2368421052631583E-4</v>
      </c>
      <c r="AD8" s="63">
        <v>0.4987854251012146</v>
      </c>
      <c r="AE8" s="63">
        <v>0.4836707152496626</v>
      </c>
      <c r="AF8" s="63">
        <v>0.22672064777327933</v>
      </c>
      <c r="AG8" s="63">
        <v>2.5695006747638325</v>
      </c>
      <c r="AH8" s="63">
        <v>3.1740890688259107</v>
      </c>
      <c r="AI8" s="63">
        <v>0.26450742240215924</v>
      </c>
      <c r="AJ8" s="61"/>
      <c r="AK8" s="61"/>
      <c r="AL8" s="61"/>
      <c r="AM8" s="61"/>
      <c r="AN8" s="61"/>
      <c r="AO8" s="61"/>
      <c r="AP8" s="61"/>
      <c r="AQ8" s="61"/>
      <c r="AR8" s="61"/>
    </row>
    <row r="9" spans="1:56" x14ac:dyDescent="0.2">
      <c r="A9" s="62" t="s">
        <v>174</v>
      </c>
      <c r="B9" s="60"/>
      <c r="C9" s="63">
        <v>0.124499057048562</v>
      </c>
      <c r="D9" s="63">
        <v>0.15322960867515323</v>
      </c>
      <c r="E9" s="63">
        <v>0.78192434628078189</v>
      </c>
      <c r="F9" s="63">
        <v>0.28433612592028429</v>
      </c>
      <c r="G9" s="63">
        <v>0.99517644072099509</v>
      </c>
      <c r="H9" s="63">
        <v>0.12795125666412793</v>
      </c>
      <c r="I9" s="63">
        <v>0.85300837776085292</v>
      </c>
      <c r="J9" s="63">
        <v>0.10662604722010662</v>
      </c>
      <c r="K9" s="63">
        <v>0.22746890073622747</v>
      </c>
      <c r="L9" s="63">
        <v>3.1276973851231276</v>
      </c>
      <c r="M9" s="63">
        <v>1.4216806296014215</v>
      </c>
      <c r="N9" s="63">
        <v>0.49758822036049755</v>
      </c>
      <c r="O9" s="63">
        <v>0.17771007870017769</v>
      </c>
      <c r="P9" s="63">
        <v>1.9192688499619193</v>
      </c>
      <c r="Q9" s="63">
        <v>1.4216806296014215</v>
      </c>
      <c r="R9" s="63">
        <v>6.2553947702462551</v>
      </c>
      <c r="S9" s="63">
        <v>0.21325209444021323</v>
      </c>
      <c r="T9" s="63">
        <v>2.5590251332825589</v>
      </c>
      <c r="U9" s="63">
        <v>1.5638486925615638</v>
      </c>
      <c r="V9" s="63">
        <v>0.49758822036049755</v>
      </c>
      <c r="W9" s="63">
        <v>4.8129812981298125E-3</v>
      </c>
      <c r="X9" s="63">
        <v>0.19903528814419902</v>
      </c>
      <c r="Y9" s="63">
        <v>0.17913175932977912</v>
      </c>
      <c r="Z9" s="63">
        <v>0.1706016755521706</v>
      </c>
      <c r="AA9" s="63">
        <v>4.5379537953795381E-2</v>
      </c>
      <c r="AB9" s="63">
        <v>2.475247524752475E-2</v>
      </c>
      <c r="AC9" s="63"/>
      <c r="AD9" s="63">
        <v>0.2701193196242701</v>
      </c>
      <c r="AE9" s="63">
        <v>0.45493780147245494</v>
      </c>
      <c r="AF9" s="63">
        <v>0.21325209444021323</v>
      </c>
      <c r="AG9" s="63">
        <v>2.416857070322417</v>
      </c>
      <c r="AH9" s="63">
        <v>2.9855293221629853</v>
      </c>
      <c r="AI9" s="63">
        <v>0.24879411018024877</v>
      </c>
      <c r="AJ9" s="61"/>
      <c r="AK9" s="61"/>
      <c r="AL9" s="61"/>
      <c r="AM9" s="61"/>
      <c r="AN9" s="61"/>
      <c r="AO9" s="61"/>
      <c r="AP9" s="61"/>
      <c r="AQ9" s="61"/>
      <c r="AR9" s="61"/>
    </row>
    <row r="10" spans="1:56" x14ac:dyDescent="0.2">
      <c r="F10" s="63"/>
      <c r="G10" s="63"/>
      <c r="H10" s="63"/>
      <c r="I10" s="63"/>
      <c r="J10" s="63"/>
      <c r="K10" s="63"/>
      <c r="L10" s="63"/>
      <c r="M10" s="63"/>
      <c r="N10" s="63"/>
      <c r="O10" s="63"/>
      <c r="P10" s="63"/>
      <c r="Q10" s="63"/>
    </row>
    <row r="12" spans="1:56" ht="14.4" x14ac:dyDescent="0.3">
      <c r="W12" s="42"/>
      <c r="X12" s="42"/>
    </row>
  </sheetData>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149"/>
  <sheetViews>
    <sheetView zoomScale="60" zoomScaleNormal="60" workbookViewId="0">
      <pane xSplit="1" ySplit="3" topLeftCell="B4" activePane="bottomRight" state="frozen"/>
      <selection pane="topRight" activeCell="B1" sqref="B1"/>
      <selection pane="bottomLeft" activeCell="A4" sqref="A4"/>
      <selection pane="bottomRight" activeCell="D10" sqref="D10"/>
    </sheetView>
  </sheetViews>
  <sheetFormatPr defaultRowHeight="14.4" x14ac:dyDescent="0.3"/>
  <cols>
    <col min="1" max="1" width="42.33203125" style="5" customWidth="1"/>
    <col min="2" max="2" width="8.77734375" style="19" customWidth="1"/>
    <col min="3" max="3" width="13" customWidth="1"/>
    <col min="4" max="4" width="39.88671875" customWidth="1"/>
    <col min="5" max="5" width="17.88671875" customWidth="1"/>
    <col min="6" max="6" width="8.77734375" style="19" customWidth="1"/>
    <col min="7" max="7" width="18.33203125" style="19" customWidth="1"/>
    <col min="8" max="8" width="32.6640625" style="19" customWidth="1"/>
    <col min="9" max="9" width="17.88671875" customWidth="1"/>
    <col min="10" max="10" width="18.77734375" style="19" customWidth="1"/>
    <col min="11" max="11" width="8.77734375" style="19" customWidth="1"/>
    <col min="12" max="12" width="25.77734375" customWidth="1"/>
    <col min="13" max="13" width="25.109375" customWidth="1"/>
    <col min="14" max="14" width="17.88671875" customWidth="1"/>
    <col min="15" max="15" width="9.21875" customWidth="1"/>
    <col min="16" max="16" width="13.21875" customWidth="1"/>
    <col min="17" max="17" width="13.33203125" customWidth="1"/>
    <col min="18" max="18" width="12.21875" customWidth="1"/>
    <col min="19" max="19" width="8.88671875" customWidth="1"/>
    <col min="20" max="20" width="15.44140625" style="3" customWidth="1"/>
    <col min="21" max="21" width="13.77734375" customWidth="1"/>
    <col min="22" max="22" width="17.21875" customWidth="1"/>
    <col min="23" max="23" width="9.44140625" style="19" customWidth="1"/>
    <col min="24" max="24" width="12.21875" style="19" customWidth="1"/>
    <col min="25" max="31" width="13.109375" customWidth="1"/>
    <col min="32" max="32" width="24.5546875" customWidth="1"/>
    <col min="33" max="33" width="17.88671875" customWidth="1"/>
    <col min="34" max="35" width="12.88671875" customWidth="1"/>
    <col min="36" max="36" width="16.88671875" customWidth="1"/>
    <col min="37" max="37" width="12.88671875" style="19" customWidth="1"/>
    <col min="38" max="38" width="12.88671875" customWidth="1"/>
    <col min="39" max="39" width="15.5546875" customWidth="1"/>
    <col min="40" max="41" width="12.88671875" customWidth="1"/>
    <col min="42" max="42" width="15.33203125" customWidth="1"/>
    <col min="43" max="44" width="12.88671875" customWidth="1"/>
    <col min="45" max="45" width="15.109375" customWidth="1"/>
    <col min="46" max="51" width="12.88671875" customWidth="1"/>
  </cols>
  <sheetData>
    <row r="1" spans="1:51" x14ac:dyDescent="0.3">
      <c r="W1"/>
      <c r="X1"/>
      <c r="AF1" s="19"/>
      <c r="AK1"/>
    </row>
    <row r="2" spans="1:51" s="7" customFormat="1" ht="15.6" customHeight="1" x14ac:dyDescent="0.3">
      <c r="A2" s="16"/>
      <c r="B2" s="33"/>
      <c r="C2" s="107" t="s">
        <v>152</v>
      </c>
      <c r="D2" s="107"/>
      <c r="E2" s="107"/>
      <c r="F2" s="33"/>
      <c r="G2" s="107" t="s">
        <v>149</v>
      </c>
      <c r="H2" s="107"/>
      <c r="I2" s="107"/>
      <c r="J2" s="32"/>
      <c r="K2" s="33"/>
      <c r="L2" s="107" t="s">
        <v>146</v>
      </c>
      <c r="M2" s="107"/>
      <c r="N2" s="107"/>
      <c r="O2" s="33"/>
      <c r="P2" s="107" t="s">
        <v>144</v>
      </c>
      <c r="Q2" s="107"/>
      <c r="R2" s="107"/>
      <c r="T2" s="107" t="s">
        <v>256</v>
      </c>
      <c r="U2" s="107"/>
      <c r="V2" s="107"/>
      <c r="Y2" s="107" t="s">
        <v>112</v>
      </c>
      <c r="Z2" s="107"/>
      <c r="AA2" s="107"/>
      <c r="AB2" s="107" t="s">
        <v>111</v>
      </c>
      <c r="AC2" s="107"/>
      <c r="AD2" s="107"/>
      <c r="AE2" s="107" t="s">
        <v>105</v>
      </c>
      <c r="AF2" s="107"/>
      <c r="AG2" s="107"/>
      <c r="AH2" s="107" t="s">
        <v>93</v>
      </c>
      <c r="AI2" s="107"/>
      <c r="AJ2" s="107"/>
      <c r="AK2" s="107" t="s">
        <v>94</v>
      </c>
      <c r="AL2" s="107"/>
      <c r="AM2" s="107"/>
      <c r="AN2" s="107" t="s">
        <v>88</v>
      </c>
      <c r="AO2" s="107"/>
      <c r="AP2" s="107"/>
      <c r="AQ2" s="107" t="s">
        <v>40</v>
      </c>
      <c r="AR2" s="107"/>
      <c r="AS2" s="107"/>
      <c r="AT2" s="107" t="s">
        <v>41</v>
      </c>
      <c r="AU2" s="107"/>
      <c r="AV2" s="107"/>
      <c r="AW2" s="107" t="s">
        <v>39</v>
      </c>
      <c r="AX2" s="107"/>
      <c r="AY2" s="107"/>
    </row>
    <row r="3" spans="1:51" s="7" customFormat="1" ht="15.6" x14ac:dyDescent="0.3">
      <c r="A3" s="17" t="s">
        <v>0</v>
      </c>
      <c r="B3" s="28" t="s">
        <v>1</v>
      </c>
      <c r="C3" s="8" t="s">
        <v>2</v>
      </c>
      <c r="D3" s="9" t="s">
        <v>8</v>
      </c>
      <c r="E3" s="9" t="s">
        <v>9</v>
      </c>
      <c r="F3" s="28" t="s">
        <v>1</v>
      </c>
      <c r="G3" s="8" t="s">
        <v>2</v>
      </c>
      <c r="H3" s="9" t="s">
        <v>8</v>
      </c>
      <c r="I3" s="9" t="s">
        <v>9</v>
      </c>
      <c r="J3" s="9"/>
      <c r="K3" s="28" t="s">
        <v>1</v>
      </c>
      <c r="L3" s="8" t="s">
        <v>2</v>
      </c>
      <c r="M3" s="9" t="s">
        <v>8</v>
      </c>
      <c r="N3" s="9" t="s">
        <v>9</v>
      </c>
      <c r="O3" s="28" t="s">
        <v>1</v>
      </c>
      <c r="P3" s="8" t="s">
        <v>2</v>
      </c>
      <c r="Q3" s="9" t="s">
        <v>8</v>
      </c>
      <c r="R3" s="9" t="s">
        <v>9</v>
      </c>
      <c r="S3" s="28" t="s">
        <v>1</v>
      </c>
      <c r="T3" s="77" t="s">
        <v>2</v>
      </c>
      <c r="U3" s="9" t="s">
        <v>8</v>
      </c>
      <c r="V3" s="9" t="s">
        <v>9</v>
      </c>
      <c r="W3" s="28" t="s">
        <v>1</v>
      </c>
      <c r="X3" s="28" t="s">
        <v>177</v>
      </c>
      <c r="Y3" s="8" t="s">
        <v>2</v>
      </c>
      <c r="Z3" s="9" t="s">
        <v>8</v>
      </c>
      <c r="AA3" s="9" t="s">
        <v>9</v>
      </c>
      <c r="AB3" s="8" t="s">
        <v>2</v>
      </c>
      <c r="AC3" s="9" t="s">
        <v>8</v>
      </c>
      <c r="AD3" s="9" t="s">
        <v>9</v>
      </c>
      <c r="AE3" s="85" t="s">
        <v>2</v>
      </c>
      <c r="AF3" s="9" t="s">
        <v>8</v>
      </c>
      <c r="AG3" s="9" t="s">
        <v>9</v>
      </c>
      <c r="AH3" s="8" t="s">
        <v>2</v>
      </c>
      <c r="AI3" s="9" t="s">
        <v>8</v>
      </c>
      <c r="AJ3" s="9" t="s">
        <v>9</v>
      </c>
      <c r="AK3" s="8" t="s">
        <v>2</v>
      </c>
      <c r="AL3" s="9" t="s">
        <v>8</v>
      </c>
      <c r="AM3" s="9" t="s">
        <v>9</v>
      </c>
      <c r="AN3" s="8" t="s">
        <v>2</v>
      </c>
      <c r="AO3" s="9" t="s">
        <v>8</v>
      </c>
      <c r="AP3" s="9" t="s">
        <v>9</v>
      </c>
      <c r="AQ3" s="8" t="s">
        <v>2</v>
      </c>
      <c r="AR3" s="9" t="s">
        <v>8</v>
      </c>
      <c r="AS3" s="9" t="s">
        <v>9</v>
      </c>
      <c r="AT3" s="8" t="s">
        <v>2</v>
      </c>
      <c r="AU3" s="9" t="s">
        <v>8</v>
      </c>
      <c r="AV3" s="9" t="s">
        <v>9</v>
      </c>
      <c r="AW3" s="8" t="s">
        <v>2</v>
      </c>
      <c r="AX3" s="9" t="s">
        <v>8</v>
      </c>
      <c r="AY3" s="9" t="s">
        <v>9</v>
      </c>
    </row>
    <row r="4" spans="1:51" s="3" customFormat="1" ht="15" customHeight="1" x14ac:dyDescent="0.3">
      <c r="A4" s="15" t="s">
        <v>11</v>
      </c>
      <c r="B4" s="15" t="s">
        <v>42</v>
      </c>
      <c r="C4" s="34"/>
      <c r="D4" s="34"/>
      <c r="E4" s="34"/>
      <c r="F4" s="15" t="s">
        <v>42</v>
      </c>
      <c r="G4" s="34">
        <f>(8360)/$D$69</f>
        <v>485.17857142857144</v>
      </c>
      <c r="H4" s="34">
        <f>(74224.5)/$D$63</f>
        <v>1427.3942307692307</v>
      </c>
      <c r="I4" s="67">
        <f t="shared" ref="I4:I6" si="0">H4/G4</f>
        <v>2.9419976784349253</v>
      </c>
      <c r="J4" s="34"/>
      <c r="K4" s="15" t="s">
        <v>42</v>
      </c>
      <c r="L4" s="34">
        <f>(4680)/$D$69</f>
        <v>271.60714285714289</v>
      </c>
      <c r="M4" s="34">
        <f>(46806)/$D$62</f>
        <v>866.77777777777783</v>
      </c>
      <c r="N4" s="67">
        <f>IFERROR(M4/L4,"")</f>
        <v>3.1912922784717654</v>
      </c>
      <c r="O4" s="15" t="s">
        <v>42</v>
      </c>
      <c r="P4" s="34">
        <f>(3344)/$D$69</f>
        <v>194.07142857142858</v>
      </c>
      <c r="Q4" s="34">
        <f>(32000)/$D$61</f>
        <v>561.40350877192986</v>
      </c>
      <c r="R4" s="67">
        <f>IFERROR(Q4/P4,"")</f>
        <v>2.8927674357037239</v>
      </c>
      <c r="S4" s="15" t="s">
        <v>42</v>
      </c>
      <c r="T4" s="39">
        <f>(3994.5+187.5+0.5)/$D$69</f>
        <v>242.734375</v>
      </c>
      <c r="U4" s="39">
        <f>(32174+2324+20)/$D$60</f>
        <v>616.39285714285711</v>
      </c>
      <c r="V4" s="67">
        <f>IFERROR(U4/T4,"")</f>
        <v>2.5393719251459834</v>
      </c>
      <c r="W4" s="15" t="s">
        <v>42</v>
      </c>
      <c r="X4" s="15" t="s">
        <v>118</v>
      </c>
      <c r="Y4" s="34">
        <f>(249+4)/$D$69</f>
        <v>14.683035714285715</v>
      </c>
      <c r="Z4" s="34">
        <f>(2650+40)/$D$59</f>
        <v>44.38943894389439</v>
      </c>
      <c r="AA4" s="67">
        <f>IFERROR(Z4/Y4,"")</f>
        <v>3.0231785720378057</v>
      </c>
      <c r="AB4" s="34">
        <f>(13312+3029)/$D$68</f>
        <v>145.90178571428572</v>
      </c>
      <c r="AC4" s="34">
        <f>290+57</f>
        <v>347</v>
      </c>
      <c r="AD4" s="67">
        <f>IFERROR(AC4/AB4,"")</f>
        <v>2.3783122207943208</v>
      </c>
      <c r="AE4" s="34">
        <f>(6415.5+266)/$D$68</f>
        <v>59.65625</v>
      </c>
      <c r="AF4" s="34">
        <v>1139</v>
      </c>
      <c r="AG4" s="67">
        <f>IFERROR(AF4/AE4,"")</f>
        <v>19.092718700890519</v>
      </c>
      <c r="AH4" s="35">
        <v>257</v>
      </c>
      <c r="AI4">
        <v>756</v>
      </c>
      <c r="AJ4" s="67">
        <f>IFERROR(AI4/AH4,"")</f>
        <v>2.9416342412451364</v>
      </c>
      <c r="AK4">
        <v>544</v>
      </c>
      <c r="AL4" s="1">
        <v>1479</v>
      </c>
      <c r="AM4" s="67">
        <f>IFERROR(AL4/AK4,"")</f>
        <v>2.71875</v>
      </c>
      <c r="AN4" s="18">
        <v>673</v>
      </c>
      <c r="AO4" s="18">
        <v>1938</v>
      </c>
      <c r="AP4" s="67">
        <f>IFERROR(AO4/AN4,"")</f>
        <v>2.8796433878157504</v>
      </c>
      <c r="AQ4" s="18">
        <v>1314</v>
      </c>
      <c r="AR4" s="18">
        <v>3778</v>
      </c>
      <c r="AS4" s="67">
        <f>IFERROR(AR4/AQ4,"")</f>
        <v>2.8751902587519025</v>
      </c>
      <c r="AT4" s="18">
        <v>481</v>
      </c>
      <c r="AU4" s="18">
        <v>1338</v>
      </c>
      <c r="AV4" s="67">
        <f>IFERROR(AU4/AT4,"")</f>
        <v>2.7817047817047817</v>
      </c>
      <c r="AW4" s="18">
        <v>876</v>
      </c>
      <c r="AX4" s="18">
        <v>2995</v>
      </c>
      <c r="AY4" s="67">
        <f>IFERROR(AX4/AW4,"")</f>
        <v>3.4189497716894977</v>
      </c>
    </row>
    <row r="5" spans="1:51" s="3" customFormat="1" ht="15" customHeight="1" x14ac:dyDescent="0.3">
      <c r="A5" s="15" t="s">
        <v>95</v>
      </c>
      <c r="B5" s="15" t="s">
        <v>3</v>
      </c>
      <c r="C5" s="34"/>
      <c r="D5" s="34"/>
      <c r="E5" s="34"/>
      <c r="F5" s="15" t="s">
        <v>3</v>
      </c>
      <c r="G5" s="34">
        <f>(320)</f>
        <v>320</v>
      </c>
      <c r="H5" s="34">
        <f>(53340)/$D$63</f>
        <v>1025.7692307692307</v>
      </c>
      <c r="I5" s="67">
        <f t="shared" si="0"/>
        <v>3.2055288461538458</v>
      </c>
      <c r="J5" s="34"/>
      <c r="K5" s="15" t="s">
        <v>3</v>
      </c>
      <c r="L5" s="34">
        <v>1111</v>
      </c>
      <c r="M5" s="34">
        <f>(165941)/$D$62</f>
        <v>3072.9814814814813</v>
      </c>
      <c r="N5" s="67">
        <f t="shared" ref="N5:N54" si="1">IFERROR(M5/L5,"")</f>
        <v>2.7659599293262658</v>
      </c>
      <c r="O5" s="15" t="s">
        <v>3</v>
      </c>
      <c r="P5" s="34">
        <f>3+1194</f>
        <v>1197</v>
      </c>
      <c r="Q5" s="34">
        <f>(700+170865)/$D$61</f>
        <v>3009.9122807017543</v>
      </c>
      <c r="R5" s="67">
        <f t="shared" ref="R5:R54" si="2">IFERROR(Q5/P5,"")</f>
        <v>2.5145466004191763</v>
      </c>
      <c r="S5" s="15" t="s">
        <v>3</v>
      </c>
      <c r="T5" s="39"/>
      <c r="U5" s="39"/>
      <c r="V5" s="67" t="str">
        <f t="shared" ref="V5:V54" si="3">IFERROR(U5/T5,"")</f>
        <v/>
      </c>
      <c r="W5" s="15" t="s">
        <v>3</v>
      </c>
      <c r="X5" s="15" t="s">
        <v>141</v>
      </c>
      <c r="Y5" s="34">
        <f>9+98</f>
        <v>107</v>
      </c>
      <c r="Z5" s="34">
        <f>(5500+4618)/$D$59</f>
        <v>166.96369636963695</v>
      </c>
      <c r="AA5" s="67">
        <f t="shared" ref="AA5:AA54" si="4">IFERROR(Z5/Y5,"")</f>
        <v>1.5604083772863266</v>
      </c>
      <c r="AB5" s="34"/>
      <c r="AC5" s="34">
        <v>2147</v>
      </c>
      <c r="AD5" s="67" t="str">
        <f t="shared" ref="AD5:AD54" si="5">IFERROR(AC5/AB5,"")</f>
        <v/>
      </c>
      <c r="AE5" s="34">
        <v>448</v>
      </c>
      <c r="AF5" s="34">
        <v>1260</v>
      </c>
      <c r="AG5" s="67">
        <f t="shared" ref="AG5:AG54" si="6">IFERROR(AF5/AE5,"")</f>
        <v>2.8125</v>
      </c>
      <c r="AH5" s="35">
        <v>157</v>
      </c>
      <c r="AI5" s="1">
        <v>1163</v>
      </c>
      <c r="AJ5" s="67">
        <f t="shared" ref="AJ5:AJ54" si="7">IFERROR(AI5/AH5,"")</f>
        <v>7.4076433121019107</v>
      </c>
      <c r="AK5">
        <v>16</v>
      </c>
      <c r="AL5">
        <v>94</v>
      </c>
      <c r="AM5" s="67">
        <f t="shared" ref="AM5:AM54" si="8">IFERROR(AL5/AK5,"")</f>
        <v>5.875</v>
      </c>
      <c r="AN5" s="18"/>
      <c r="AO5" s="18"/>
      <c r="AP5" s="67" t="str">
        <f t="shared" ref="AP5:AP54" si="9">IFERROR(AO5/AN5,"")</f>
        <v/>
      </c>
      <c r="AQ5" s="18"/>
      <c r="AR5" s="18"/>
      <c r="AS5" s="67" t="str">
        <f t="shared" ref="AS5:AS54" si="10">IFERROR(AR5/AQ5,"")</f>
        <v/>
      </c>
      <c r="AT5" s="18"/>
      <c r="AU5" s="18"/>
      <c r="AV5" s="67" t="str">
        <f t="shared" ref="AV5:AV54" si="11">IFERROR(AU5/AT5,"")</f>
        <v/>
      </c>
      <c r="AW5" s="18"/>
      <c r="AX5" s="18"/>
      <c r="AY5" s="67" t="str">
        <f t="shared" ref="AY5:AY54" si="12">IFERROR(AX5/AW5,"")</f>
        <v/>
      </c>
    </row>
    <row r="6" spans="1:51" s="3" customFormat="1" ht="15" customHeight="1" x14ac:dyDescent="0.3">
      <c r="A6" s="15" t="s">
        <v>96</v>
      </c>
      <c r="B6" s="15" t="s">
        <v>42</v>
      </c>
      <c r="C6" s="34"/>
      <c r="D6" s="34"/>
      <c r="E6" s="34"/>
      <c r="F6" s="15" t="s">
        <v>42</v>
      </c>
      <c r="G6" s="44">
        <f>(765*$F$106+2516/$D$69)</f>
        <v>1266.1964285714284</v>
      </c>
      <c r="H6" s="34">
        <f>(29991.5)/$D$63</f>
        <v>576.75961538461536</v>
      </c>
      <c r="I6" s="67">
        <f t="shared" si="0"/>
        <v>0.45550564064956156</v>
      </c>
      <c r="J6" s="34"/>
      <c r="K6" s="15" t="s">
        <v>42</v>
      </c>
      <c r="L6" s="34">
        <f>(96+5820)/$D$69</f>
        <v>343.33928571428572</v>
      </c>
      <c r="M6" s="34">
        <f>(288+17540)/$D$62</f>
        <v>330.14814814814815</v>
      </c>
      <c r="N6" s="67">
        <f t="shared" si="1"/>
        <v>0.96157987706331183</v>
      </c>
      <c r="O6" s="15" t="s">
        <v>42</v>
      </c>
      <c r="P6" s="34">
        <f>(13819)/$D$69</f>
        <v>801.99553571428578</v>
      </c>
      <c r="Q6" s="34">
        <f>(44377)/$D$61</f>
        <v>778.54385964912285</v>
      </c>
      <c r="R6" s="67">
        <f t="shared" si="2"/>
        <v>0.97075834587498544</v>
      </c>
      <c r="S6" s="15" t="s">
        <v>42</v>
      </c>
      <c r="T6" s="39">
        <f>(24+16.5+907+52.95+446+170+84.5+80.85+55+32)/$D$69</f>
        <v>108.45714285714286</v>
      </c>
      <c r="U6" s="39">
        <f>(320+200+9212+820+978+720+289+2153+122+100)/$D$60</f>
        <v>266.32142857142856</v>
      </c>
      <c r="V6" s="67">
        <f t="shared" si="3"/>
        <v>2.4555453108535299</v>
      </c>
      <c r="W6" s="15" t="s">
        <v>42</v>
      </c>
      <c r="X6" s="15" t="s">
        <v>118</v>
      </c>
      <c r="Y6" s="34">
        <f>(77.87+1198+325.95+188+72)/$D$69</f>
        <v>108.05205357142857</v>
      </c>
      <c r="Z6" s="34">
        <f>(757+5976+7864+864+202)/$D$59</f>
        <v>258.46534653465346</v>
      </c>
      <c r="AA6" s="67">
        <f t="shared" si="4"/>
        <v>2.3920447413226915</v>
      </c>
      <c r="AB6" s="34">
        <f>(1794+422+825+2047+1254)/$D$68</f>
        <v>56.625</v>
      </c>
      <c r="AC6" s="34">
        <f>29+25+31+39+21</f>
        <v>145</v>
      </c>
      <c r="AD6" s="67">
        <f t="shared" si="5"/>
        <v>2.5607064017660046</v>
      </c>
      <c r="AE6" s="34">
        <f>(75+636+222+1341.5+12)/$D$68</f>
        <v>20.415178571428573</v>
      </c>
      <c r="AF6" s="34">
        <f>(31+101+115+139+1)</f>
        <v>387</v>
      </c>
      <c r="AG6" s="67">
        <f t="shared" si="6"/>
        <v>18.956483708725123</v>
      </c>
      <c r="AH6" s="36">
        <v>24</v>
      </c>
      <c r="AI6">
        <v>127</v>
      </c>
      <c r="AJ6" s="67">
        <f t="shared" si="7"/>
        <v>5.291666666666667</v>
      </c>
      <c r="AK6">
        <v>33</v>
      </c>
      <c r="AL6">
        <v>66</v>
      </c>
      <c r="AM6" s="67">
        <f t="shared" si="8"/>
        <v>2</v>
      </c>
      <c r="AN6" s="18"/>
      <c r="AO6" s="18"/>
      <c r="AP6" s="67" t="str">
        <f t="shared" si="9"/>
        <v/>
      </c>
      <c r="AQ6" s="18"/>
      <c r="AR6" s="18"/>
      <c r="AS6" s="67" t="str">
        <f t="shared" si="10"/>
        <v/>
      </c>
      <c r="AT6" s="18"/>
      <c r="AU6" s="18"/>
      <c r="AV6" s="67" t="str">
        <f t="shared" si="11"/>
        <v/>
      </c>
      <c r="AW6" s="18"/>
      <c r="AX6" s="18"/>
      <c r="AY6" s="67" t="str">
        <f t="shared" si="12"/>
        <v/>
      </c>
    </row>
    <row r="7" spans="1:51" s="3" customFormat="1" ht="15" customHeight="1" x14ac:dyDescent="0.3">
      <c r="A7" s="15" t="s">
        <v>91</v>
      </c>
      <c r="B7" s="15" t="s">
        <v>42</v>
      </c>
      <c r="C7" s="34"/>
      <c r="D7" s="34"/>
      <c r="E7" s="34"/>
      <c r="F7" s="15" t="s">
        <v>42</v>
      </c>
      <c r="G7" s="34"/>
      <c r="H7" s="34"/>
      <c r="I7" s="34"/>
      <c r="J7" s="34"/>
      <c r="K7" s="15" t="s">
        <v>42</v>
      </c>
      <c r="L7" s="34"/>
      <c r="M7" s="34"/>
      <c r="N7" s="67" t="str">
        <f t="shared" si="1"/>
        <v/>
      </c>
      <c r="O7" s="15" t="s">
        <v>42</v>
      </c>
      <c r="P7" s="34"/>
      <c r="Q7" s="34"/>
      <c r="R7" s="67" t="str">
        <f t="shared" si="2"/>
        <v/>
      </c>
      <c r="S7" s="15" t="s">
        <v>42</v>
      </c>
      <c r="T7" s="39">
        <f>(2925)/$D$69</f>
        <v>169.75446428571431</v>
      </c>
      <c r="U7" s="39">
        <f>(2905)/$D$60</f>
        <v>51.875</v>
      </c>
      <c r="V7" s="67">
        <f t="shared" si="3"/>
        <v>0.30558842866535169</v>
      </c>
      <c r="W7" s="15" t="s">
        <v>42</v>
      </c>
      <c r="X7" s="15" t="s">
        <v>118</v>
      </c>
      <c r="Y7" s="34">
        <f>(2120)/$D$69</f>
        <v>123.03571428571429</v>
      </c>
      <c r="Z7" s="34">
        <f>(3885)/$D$59</f>
        <v>64.10891089108911</v>
      </c>
      <c r="AA7" s="67">
        <f>IFERROR(Z7/Y7,"")</f>
        <v>0.52105936283033238</v>
      </c>
      <c r="AB7" s="34"/>
      <c r="AC7" s="34"/>
      <c r="AD7" s="67" t="str">
        <f t="shared" si="5"/>
        <v/>
      </c>
      <c r="AE7" s="34">
        <f>34842/$D$68</f>
        <v>311.08928571428572</v>
      </c>
      <c r="AF7" s="34">
        <v>404</v>
      </c>
      <c r="AG7" s="67">
        <f t="shared" si="6"/>
        <v>1.2986625337236668</v>
      </c>
      <c r="AH7" s="36"/>
      <c r="AI7"/>
      <c r="AJ7" s="67" t="str">
        <f t="shared" si="7"/>
        <v/>
      </c>
      <c r="AK7"/>
      <c r="AL7"/>
      <c r="AM7" s="67" t="str">
        <f t="shared" si="8"/>
        <v/>
      </c>
      <c r="AN7" s="18"/>
      <c r="AO7" s="18"/>
      <c r="AP7" s="67" t="str">
        <f t="shared" si="9"/>
        <v/>
      </c>
      <c r="AQ7" s="18"/>
      <c r="AR7" s="18"/>
      <c r="AS7" s="67" t="str">
        <f t="shared" si="10"/>
        <v/>
      </c>
      <c r="AT7" s="18"/>
      <c r="AU7" s="18"/>
      <c r="AV7" s="67" t="str">
        <f t="shared" si="11"/>
        <v/>
      </c>
      <c r="AW7" s="18"/>
      <c r="AX7" s="18"/>
      <c r="AY7" s="67" t="str">
        <f t="shared" si="12"/>
        <v/>
      </c>
    </row>
    <row r="8" spans="1:51" s="3" customFormat="1" ht="15" customHeight="1" x14ac:dyDescent="0.3">
      <c r="A8" s="15" t="s">
        <v>107</v>
      </c>
      <c r="B8" s="15" t="s">
        <v>42</v>
      </c>
      <c r="C8" s="34"/>
      <c r="D8" s="34"/>
      <c r="E8" s="34"/>
      <c r="F8" s="15" t="s">
        <v>42</v>
      </c>
      <c r="G8" s="34"/>
      <c r="H8" s="34"/>
      <c r="I8" s="34"/>
      <c r="J8" s="34"/>
      <c r="K8" s="15" t="s">
        <v>42</v>
      </c>
      <c r="L8" s="34"/>
      <c r="M8" s="34"/>
      <c r="N8" s="67" t="str">
        <f t="shared" si="1"/>
        <v/>
      </c>
      <c r="O8" s="15" t="s">
        <v>42</v>
      </c>
      <c r="P8" s="34"/>
      <c r="Q8" s="34"/>
      <c r="R8" s="67" t="str">
        <f t="shared" si="2"/>
        <v/>
      </c>
      <c r="S8" s="15" t="s">
        <v>42</v>
      </c>
      <c r="T8" s="39"/>
      <c r="U8" s="39"/>
      <c r="V8" s="67" t="str">
        <f t="shared" si="3"/>
        <v/>
      </c>
      <c r="W8" s="15" t="s">
        <v>42</v>
      </c>
      <c r="X8" s="15" t="s">
        <v>118</v>
      </c>
      <c r="Y8" s="34"/>
      <c r="Z8" s="34"/>
      <c r="AA8" s="67" t="str">
        <f t="shared" si="4"/>
        <v/>
      </c>
      <c r="AB8" s="34"/>
      <c r="AC8" s="34"/>
      <c r="AD8" s="67" t="str">
        <f t="shared" si="5"/>
        <v/>
      </c>
      <c r="AE8" s="34">
        <f>61580/$D$68</f>
        <v>549.82142857142856</v>
      </c>
      <c r="AF8" s="34">
        <v>829</v>
      </c>
      <c r="AG8" s="67">
        <f t="shared" si="6"/>
        <v>1.50776226047418</v>
      </c>
      <c r="AH8" s="36"/>
      <c r="AI8"/>
      <c r="AJ8" s="67" t="str">
        <f t="shared" si="7"/>
        <v/>
      </c>
      <c r="AK8"/>
      <c r="AL8"/>
      <c r="AM8" s="67" t="str">
        <f t="shared" si="8"/>
        <v/>
      </c>
      <c r="AN8" s="18"/>
      <c r="AO8" s="18"/>
      <c r="AP8" s="67" t="str">
        <f t="shared" si="9"/>
        <v/>
      </c>
      <c r="AQ8" s="18"/>
      <c r="AR8" s="18"/>
      <c r="AS8" s="67" t="str">
        <f t="shared" si="10"/>
        <v/>
      </c>
      <c r="AT8" s="18"/>
      <c r="AU8" s="18"/>
      <c r="AV8" s="67" t="str">
        <f t="shared" si="11"/>
        <v/>
      </c>
      <c r="AW8" s="18"/>
      <c r="AX8" s="18"/>
      <c r="AY8" s="67" t="str">
        <f t="shared" si="12"/>
        <v/>
      </c>
    </row>
    <row r="9" spans="1:51" s="3" customFormat="1" ht="15" customHeight="1" x14ac:dyDescent="0.3">
      <c r="A9" s="15" t="s">
        <v>136</v>
      </c>
      <c r="B9" s="15" t="s">
        <v>42</v>
      </c>
      <c r="C9" s="34">
        <f>1750*$D$74</f>
        <v>4062.5000000000005</v>
      </c>
      <c r="D9" s="34">
        <f>(315000/$D$64)</f>
        <v>6300.0019939649328</v>
      </c>
      <c r="E9" s="67">
        <f>D9/C9</f>
        <v>1.5507697215913678</v>
      </c>
      <c r="F9" s="15"/>
      <c r="G9" s="34"/>
      <c r="H9" s="34"/>
      <c r="I9" s="34"/>
      <c r="J9" s="34"/>
      <c r="K9" s="15"/>
      <c r="L9" s="34"/>
      <c r="M9" s="34"/>
      <c r="N9" s="67" t="str">
        <f t="shared" si="1"/>
        <v/>
      </c>
      <c r="O9" s="15"/>
      <c r="P9" s="34"/>
      <c r="Q9" s="34"/>
      <c r="R9" s="67" t="str">
        <f t="shared" si="2"/>
        <v/>
      </c>
      <c r="S9" s="15"/>
      <c r="T9" s="39"/>
      <c r="U9" s="39"/>
      <c r="V9" s="67" t="str">
        <f t="shared" si="3"/>
        <v/>
      </c>
      <c r="W9" s="15"/>
      <c r="X9" s="15" t="s">
        <v>118</v>
      </c>
      <c r="Y9" s="34"/>
      <c r="Z9" s="34"/>
      <c r="AA9" s="67" t="str">
        <f t="shared" si="4"/>
        <v/>
      </c>
      <c r="AB9" s="34"/>
      <c r="AC9" s="34"/>
      <c r="AD9" s="67" t="str">
        <f t="shared" si="5"/>
        <v/>
      </c>
      <c r="AE9" s="34"/>
      <c r="AF9" s="34"/>
      <c r="AG9" s="67" t="str">
        <f t="shared" si="6"/>
        <v/>
      </c>
      <c r="AH9" s="36"/>
      <c r="AI9"/>
      <c r="AJ9" s="67" t="str">
        <f t="shared" si="7"/>
        <v/>
      </c>
      <c r="AK9"/>
      <c r="AL9"/>
      <c r="AM9" s="67" t="str">
        <f t="shared" si="8"/>
        <v/>
      </c>
      <c r="AN9" s="18"/>
      <c r="AO9" s="18"/>
      <c r="AP9" s="67" t="str">
        <f t="shared" si="9"/>
        <v/>
      </c>
      <c r="AQ9" s="18"/>
      <c r="AR9" s="18"/>
      <c r="AS9" s="67" t="str">
        <f t="shared" si="10"/>
        <v/>
      </c>
      <c r="AT9" s="18"/>
      <c r="AU9" s="18"/>
      <c r="AV9" s="67" t="str">
        <f t="shared" si="11"/>
        <v/>
      </c>
      <c r="AW9" s="18"/>
      <c r="AX9" s="18"/>
      <c r="AY9" s="67" t="str">
        <f t="shared" si="12"/>
        <v/>
      </c>
    </row>
    <row r="10" spans="1:51" s="3" customFormat="1" ht="15" customHeight="1" x14ac:dyDescent="0.3">
      <c r="A10" s="15" t="s">
        <v>33</v>
      </c>
      <c r="B10" s="15" t="s">
        <v>42</v>
      </c>
      <c r="C10" s="34"/>
      <c r="D10" s="34"/>
      <c r="E10" s="34"/>
      <c r="F10" s="15" t="s">
        <v>42</v>
      </c>
      <c r="G10" s="34"/>
      <c r="H10" s="34"/>
      <c r="I10" s="34"/>
      <c r="J10" s="34"/>
      <c r="K10" s="15" t="s">
        <v>42</v>
      </c>
      <c r="L10" s="34"/>
      <c r="M10" s="34"/>
      <c r="N10" s="67" t="str">
        <f t="shared" si="1"/>
        <v/>
      </c>
      <c r="O10" s="15" t="s">
        <v>42</v>
      </c>
      <c r="P10" s="34"/>
      <c r="Q10" s="34"/>
      <c r="R10" s="67" t="str">
        <f t="shared" si="2"/>
        <v/>
      </c>
      <c r="S10" s="15" t="s">
        <v>42</v>
      </c>
      <c r="T10" s="39">
        <f>(1162+784+1720)/$D$69</f>
        <v>212.75892857142858</v>
      </c>
      <c r="U10" s="39">
        <f>(4628+3336+2772)/$D$60</f>
        <v>191.71428571428572</v>
      </c>
      <c r="V10" s="67">
        <f t="shared" si="3"/>
        <v>0.9010869109068782</v>
      </c>
      <c r="W10" s="15" t="s">
        <v>42</v>
      </c>
      <c r="X10" s="15" t="s">
        <v>118</v>
      </c>
      <c r="Y10" s="34">
        <f>(1446+670.5)/$D$69</f>
        <v>122.83258928571429</v>
      </c>
      <c r="Z10" s="34">
        <f>(5575+1596)/$D$59</f>
        <v>118.33333333333333</v>
      </c>
      <c r="AA10" s="67">
        <f t="shared" si="4"/>
        <v>0.96337082871455648</v>
      </c>
      <c r="AB10" s="34"/>
      <c r="AC10" s="34"/>
      <c r="AD10" s="67" t="str">
        <f t="shared" si="5"/>
        <v/>
      </c>
      <c r="AE10" s="34">
        <f>3535.5/$D$68</f>
        <v>31.566964285714285</v>
      </c>
      <c r="AF10" s="34">
        <v>216</v>
      </c>
      <c r="AG10" s="67">
        <f t="shared" si="6"/>
        <v>6.8425965210012727</v>
      </c>
      <c r="AH10" s="36"/>
      <c r="AI10"/>
      <c r="AJ10" s="67" t="str">
        <f t="shared" si="7"/>
        <v/>
      </c>
      <c r="AK10"/>
      <c r="AL10"/>
      <c r="AM10" s="67" t="str">
        <f t="shared" si="8"/>
        <v/>
      </c>
      <c r="AN10" s="18"/>
      <c r="AO10" s="18"/>
      <c r="AP10" s="67" t="str">
        <f t="shared" si="9"/>
        <v/>
      </c>
      <c r="AQ10" s="18"/>
      <c r="AR10" s="18"/>
      <c r="AS10" s="67" t="str">
        <f t="shared" si="10"/>
        <v/>
      </c>
      <c r="AT10" s="18"/>
      <c r="AU10" s="18"/>
      <c r="AV10" s="67" t="str">
        <f t="shared" si="11"/>
        <v/>
      </c>
      <c r="AW10" s="18"/>
      <c r="AX10" s="18"/>
      <c r="AY10" s="67" t="str">
        <f t="shared" si="12"/>
        <v/>
      </c>
    </row>
    <row r="11" spans="1:51" s="3" customFormat="1" ht="15" customHeight="1" x14ac:dyDescent="0.3">
      <c r="A11" s="15" t="s">
        <v>43</v>
      </c>
      <c r="B11" s="15" t="s">
        <v>42</v>
      </c>
      <c r="C11" s="34"/>
      <c r="D11" s="34"/>
      <c r="E11" s="34"/>
      <c r="F11" s="15" t="s">
        <v>42</v>
      </c>
      <c r="G11" s="34">
        <f>(5398)/$D$69</f>
        <v>313.27678571428572</v>
      </c>
      <c r="H11" s="34">
        <f>(36765)/$D$63</f>
        <v>707.01923076923072</v>
      </c>
      <c r="I11" s="67">
        <f t="shared" ref="I11" si="13">H11/G11</f>
        <v>2.2568516500742111</v>
      </c>
      <c r="J11" s="34"/>
      <c r="K11" s="15" t="s">
        <v>42</v>
      </c>
      <c r="L11" s="34">
        <f>(3698)/$D$69</f>
        <v>214.61607142857144</v>
      </c>
      <c r="M11" s="34">
        <f>(35464/$D$62)</f>
        <v>656.74074074074076</v>
      </c>
      <c r="N11" s="67">
        <f t="shared" si="1"/>
        <v>3.0600725116679683</v>
      </c>
      <c r="O11" s="15" t="s">
        <v>42</v>
      </c>
      <c r="P11" s="34">
        <f>(6679)/$D$69</f>
        <v>387.62053571428572</v>
      </c>
      <c r="Q11" s="34">
        <f>(67910)/$D$61</f>
        <v>1191.4035087719299</v>
      </c>
      <c r="R11" s="67">
        <f t="shared" si="2"/>
        <v>3.0736336158673256</v>
      </c>
      <c r="S11" s="15" t="s">
        <v>42</v>
      </c>
      <c r="T11" s="39">
        <f>(85.75+28074.265+1083.12+353.25)/$D$69</f>
        <v>1717.6473437499999</v>
      </c>
      <c r="U11" s="39">
        <f>(867+281574+10840+3368)/$D$60</f>
        <v>5297.3035714285716</v>
      </c>
      <c r="V11" s="67">
        <f t="shared" si="3"/>
        <v>3.0840460882170371</v>
      </c>
      <c r="W11" s="15" t="s">
        <v>42</v>
      </c>
      <c r="X11" s="15" t="s">
        <v>118</v>
      </c>
      <c r="Y11" s="34">
        <f>8401/$D$69</f>
        <v>487.55803571428572</v>
      </c>
      <c r="Z11" s="34">
        <f>82889/$D$59</f>
        <v>1367.8052805280527</v>
      </c>
      <c r="AA11" s="67">
        <f t="shared" si="4"/>
        <v>2.8054204429718421</v>
      </c>
      <c r="AB11" s="34">
        <f>(2853+23913)/$D$68</f>
        <v>238.98214285714286</v>
      </c>
      <c r="AC11" s="34">
        <v>586</v>
      </c>
      <c r="AD11" s="67">
        <f t="shared" si="5"/>
        <v>2.4520660539490398</v>
      </c>
      <c r="AE11" s="34">
        <f>(4558+6767)/$D$68</f>
        <v>101.11607142857143</v>
      </c>
      <c r="AF11" s="34">
        <v>2458</v>
      </c>
      <c r="AG11" s="67">
        <f t="shared" si="6"/>
        <v>24.308697571743927</v>
      </c>
      <c r="AH11" s="35">
        <v>681</v>
      </c>
      <c r="AI11" s="1">
        <v>2415</v>
      </c>
      <c r="AJ11" s="67">
        <f t="shared" si="7"/>
        <v>3.5462555066079293</v>
      </c>
      <c r="AK11">
        <v>912</v>
      </c>
      <c r="AL11" s="1">
        <v>3122</v>
      </c>
      <c r="AM11" s="67">
        <f t="shared" si="8"/>
        <v>3.4232456140350878</v>
      </c>
      <c r="AN11" s="18">
        <v>1213</v>
      </c>
      <c r="AO11" s="18">
        <v>3961</v>
      </c>
      <c r="AP11" s="67">
        <f t="shared" si="9"/>
        <v>3.265457543281121</v>
      </c>
      <c r="AQ11" s="18">
        <v>1259</v>
      </c>
      <c r="AR11" s="18">
        <v>3622</v>
      </c>
      <c r="AS11" s="67">
        <f t="shared" si="10"/>
        <v>2.8768864177918982</v>
      </c>
      <c r="AT11" s="18">
        <v>1249</v>
      </c>
      <c r="AU11" s="18">
        <v>4112</v>
      </c>
      <c r="AV11" s="67">
        <f t="shared" si="11"/>
        <v>3.2922337870296237</v>
      </c>
      <c r="AW11" s="18">
        <v>1344</v>
      </c>
      <c r="AX11" s="18">
        <v>3893</v>
      </c>
      <c r="AY11" s="67">
        <f t="shared" si="12"/>
        <v>2.8965773809523809</v>
      </c>
    </row>
    <row r="12" spans="1:51" s="3" customFormat="1" ht="15" x14ac:dyDescent="0.3">
      <c r="A12" s="15" t="s">
        <v>44</v>
      </c>
      <c r="B12" s="15" t="s">
        <v>42</v>
      </c>
      <c r="C12" s="34"/>
      <c r="D12" s="34"/>
      <c r="E12" s="34"/>
      <c r="F12" s="15" t="s">
        <v>42</v>
      </c>
      <c r="G12" s="34"/>
      <c r="H12" s="34"/>
      <c r="I12" s="34"/>
      <c r="J12" s="34"/>
      <c r="K12" s="15" t="s">
        <v>42</v>
      </c>
      <c r="L12" s="34"/>
      <c r="M12" s="34"/>
      <c r="N12" s="67" t="str">
        <f t="shared" si="1"/>
        <v/>
      </c>
      <c r="O12" s="15" t="s">
        <v>42</v>
      </c>
      <c r="P12" s="34">
        <f>(90)/$D$69</f>
        <v>5.2232142857142856</v>
      </c>
      <c r="Q12" s="34">
        <f>(900)/$D$61</f>
        <v>15.789473684210526</v>
      </c>
      <c r="R12" s="67">
        <f t="shared" si="2"/>
        <v>3.0229419703103915</v>
      </c>
      <c r="S12" s="15" t="s">
        <v>42</v>
      </c>
      <c r="T12" s="39">
        <f>(2603)/$D$69</f>
        <v>151.06696428571431</v>
      </c>
      <c r="U12" s="39">
        <f>(22600)/$D$60</f>
        <v>403.57142857142856</v>
      </c>
      <c r="V12" s="67">
        <f t="shared" si="3"/>
        <v>2.6714737433139271</v>
      </c>
      <c r="W12" s="15" t="s">
        <v>42</v>
      </c>
      <c r="X12" s="15" t="s">
        <v>118</v>
      </c>
      <c r="Y12" s="34">
        <f>(260+1706)/$D$69</f>
        <v>114.09821428571429</v>
      </c>
      <c r="Z12" s="34">
        <f>(1500+16040)/$D$59</f>
        <v>289.43894389438941</v>
      </c>
      <c r="AA12" s="67">
        <f t="shared" si="4"/>
        <v>2.5367526188411937</v>
      </c>
      <c r="AB12" s="34"/>
      <c r="AC12" s="34"/>
      <c r="AD12" s="67" t="str">
        <f t="shared" si="5"/>
        <v/>
      </c>
      <c r="AE12" s="34"/>
      <c r="AF12" s="34"/>
      <c r="AG12" s="67" t="str">
        <f t="shared" si="6"/>
        <v/>
      </c>
      <c r="AH12"/>
      <c r="AI12"/>
      <c r="AJ12" s="67" t="str">
        <f t="shared" si="7"/>
        <v/>
      </c>
      <c r="AK12" s="35">
        <v>577</v>
      </c>
      <c r="AL12" s="1">
        <v>1958</v>
      </c>
      <c r="AM12" s="67">
        <f t="shared" si="8"/>
        <v>3.3934142114384747</v>
      </c>
      <c r="AN12" s="18">
        <v>366</v>
      </c>
      <c r="AO12" s="18">
        <v>1258</v>
      </c>
      <c r="AP12" s="67">
        <f t="shared" si="9"/>
        <v>3.4371584699453552</v>
      </c>
      <c r="AQ12" s="18">
        <v>1413</v>
      </c>
      <c r="AR12" s="18">
        <v>4803</v>
      </c>
      <c r="AS12" s="67">
        <f t="shared" si="10"/>
        <v>3.3991507430997876</v>
      </c>
      <c r="AT12" s="18">
        <v>673</v>
      </c>
      <c r="AU12" s="18">
        <v>2266</v>
      </c>
      <c r="AV12" s="67">
        <f t="shared" si="11"/>
        <v>3.3670133729569094</v>
      </c>
      <c r="AW12" s="18">
        <v>1688</v>
      </c>
      <c r="AX12" s="18">
        <v>5845</v>
      </c>
      <c r="AY12" s="67">
        <f t="shared" si="12"/>
        <v>3.4626777251184833</v>
      </c>
    </row>
    <row r="13" spans="1:51" s="3" customFormat="1" ht="15" customHeight="1" x14ac:dyDescent="0.3">
      <c r="A13" s="15" t="s">
        <v>5</v>
      </c>
      <c r="B13" s="15" t="s">
        <v>42</v>
      </c>
      <c r="C13" s="34">
        <f>300*$D$74</f>
        <v>696.42857142857144</v>
      </c>
      <c r="D13" s="34">
        <f>(2100600/$D$64)</f>
        <v>42012.013296897581</v>
      </c>
      <c r="E13" s="67">
        <f>D13/C13</f>
        <v>60.324942169904219</v>
      </c>
      <c r="F13" s="15" t="s">
        <v>42</v>
      </c>
      <c r="G13" s="34">
        <f>(1092)/$D$69</f>
        <v>63.375</v>
      </c>
      <c r="H13" s="34">
        <f>(8959)/$D$63</f>
        <v>172.28846153846155</v>
      </c>
      <c r="I13" s="67">
        <f t="shared" ref="I13:I14" si="14">H13/G13</f>
        <v>2.7185556061295708</v>
      </c>
      <c r="J13" s="34"/>
      <c r="K13" s="15" t="s">
        <v>42</v>
      </c>
      <c r="L13" s="34">
        <f>(3390)/$D$69</f>
        <v>196.74107142857144</v>
      </c>
      <c r="M13" s="34">
        <f>(33905)/$D$62</f>
        <v>627.87037037037032</v>
      </c>
      <c r="N13" s="67">
        <f t="shared" si="1"/>
        <v>3.1913538226222586</v>
      </c>
      <c r="O13" s="15" t="s">
        <v>42</v>
      </c>
      <c r="P13" s="34">
        <f>(3210)/$D$69</f>
        <v>186.29464285714286</v>
      </c>
      <c r="Q13" s="34">
        <f>(29862)/$D$61</f>
        <v>523.89473684210532</v>
      </c>
      <c r="R13" s="67">
        <f t="shared" si="2"/>
        <v>2.8121835862121158</v>
      </c>
      <c r="S13" s="15" t="s">
        <v>42</v>
      </c>
      <c r="T13" s="39">
        <f>(3368+12.85+33.75)/$D$69</f>
        <v>198.16875000000002</v>
      </c>
      <c r="U13" s="39">
        <f>(30580+78+480)/$D$60</f>
        <v>556.03571428571433</v>
      </c>
      <c r="V13" s="67">
        <f t="shared" si="3"/>
        <v>2.8058698169399277</v>
      </c>
      <c r="W13" s="15" t="s">
        <v>42</v>
      </c>
      <c r="X13" s="15" t="s">
        <v>118</v>
      </c>
      <c r="Y13" s="34">
        <f>2457/$D$69</f>
        <v>142.59375</v>
      </c>
      <c r="Z13" s="34">
        <f>28107/$D$59</f>
        <v>463.81188118811878</v>
      </c>
      <c r="AA13" s="67">
        <f t="shared" si="4"/>
        <v>3.25268029761556</v>
      </c>
      <c r="AB13" s="34">
        <f>30459/$D$68</f>
        <v>271.95535714285717</v>
      </c>
      <c r="AC13" s="34">
        <v>734</v>
      </c>
      <c r="AD13" s="67">
        <f t="shared" si="5"/>
        <v>2.698972389113234</v>
      </c>
      <c r="AE13" s="34">
        <f>2166.5/$D$68</f>
        <v>19.34375</v>
      </c>
      <c r="AF13" s="34">
        <v>412</v>
      </c>
      <c r="AG13" s="67">
        <f t="shared" si="6"/>
        <v>21.298869143780291</v>
      </c>
      <c r="AH13" s="36">
        <v>105</v>
      </c>
      <c r="AI13">
        <v>317</v>
      </c>
      <c r="AJ13" s="67">
        <f t="shared" si="7"/>
        <v>3.019047619047619</v>
      </c>
      <c r="AK13">
        <v>144</v>
      </c>
      <c r="AL13">
        <v>662</v>
      </c>
      <c r="AM13" s="67">
        <f t="shared" si="8"/>
        <v>4.5972222222222223</v>
      </c>
      <c r="AN13" s="18">
        <v>409</v>
      </c>
      <c r="AO13" s="18">
        <v>1634</v>
      </c>
      <c r="AP13" s="67">
        <f t="shared" si="9"/>
        <v>3.9951100244498776</v>
      </c>
      <c r="AQ13" s="18">
        <v>112</v>
      </c>
      <c r="AR13" s="18">
        <v>410</v>
      </c>
      <c r="AS13" s="67">
        <f t="shared" si="10"/>
        <v>3.6607142857142856</v>
      </c>
      <c r="AT13" s="18">
        <v>20</v>
      </c>
      <c r="AU13" s="18">
        <v>161</v>
      </c>
      <c r="AV13" s="67">
        <f t="shared" si="11"/>
        <v>8.0500000000000007</v>
      </c>
      <c r="AW13" s="18">
        <v>243</v>
      </c>
      <c r="AX13" s="18">
        <v>1541</v>
      </c>
      <c r="AY13" s="67">
        <f t="shared" si="12"/>
        <v>6.3415637860082308</v>
      </c>
    </row>
    <row r="14" spans="1:51" s="3" customFormat="1" ht="15" x14ac:dyDescent="0.3">
      <c r="A14" s="15" t="s">
        <v>45</v>
      </c>
      <c r="B14" s="15" t="s">
        <v>42</v>
      </c>
      <c r="C14" s="34"/>
      <c r="D14" s="34"/>
      <c r="E14" s="34"/>
      <c r="F14" s="15" t="s">
        <v>42</v>
      </c>
      <c r="G14" s="34">
        <f>(224324+9463+7852)/$D$69</f>
        <v>14023.691964285716</v>
      </c>
      <c r="H14" s="34">
        <f>(229958+11178.5+29192)/$D$63</f>
        <v>5198.625</v>
      </c>
      <c r="I14" s="67">
        <f t="shared" si="14"/>
        <v>0.37070302265903965</v>
      </c>
      <c r="J14" s="34"/>
      <c r="K14" s="15" t="s">
        <v>42</v>
      </c>
      <c r="L14" s="34">
        <f>(629455+23420+5541)/$D$69</f>
        <v>38211.642857142862</v>
      </c>
      <c r="M14" s="34">
        <f>(736341+42067+32634)/$D$62</f>
        <v>15019.296296296296</v>
      </c>
      <c r="N14" s="67">
        <f t="shared" si="1"/>
        <v>0.39305549757300617</v>
      </c>
      <c r="O14" s="15" t="s">
        <v>42</v>
      </c>
      <c r="P14" s="34">
        <f>(527970+15623+2802)/$D$69</f>
        <v>31710.424107142859</v>
      </c>
      <c r="Q14" s="34">
        <f>(790555+63906+18546)/$D$61</f>
        <v>15315.912280701754</v>
      </c>
      <c r="R14" s="67">
        <f t="shared" si="2"/>
        <v>0.48299298139162394</v>
      </c>
      <c r="S14" s="15" t="s">
        <v>42</v>
      </c>
      <c r="T14" s="39">
        <f>(616030.35+6582.65+131885+269.25+44556.5+129+13)/$D$69</f>
        <v>46397.56584821429</v>
      </c>
      <c r="U14" s="39">
        <f>(1039449+28801+160090.65+1072+74694+308+130)/$D$60</f>
        <v>23295.440178571425</v>
      </c>
      <c r="V14" s="67">
        <f t="shared" si="3"/>
        <v>0.50208323977125191</v>
      </c>
      <c r="W14" s="15" t="s">
        <v>42</v>
      </c>
      <c r="X14" s="15" t="s">
        <v>118</v>
      </c>
      <c r="Y14" s="34">
        <f>(585411+4286.25+39051+130)/$D$69</f>
        <v>36497.3984375</v>
      </c>
      <c r="Z14" s="34">
        <f>(1035540+14387+57264+210)/$D$59</f>
        <v>18273.943894389438</v>
      </c>
      <c r="AA14" s="67">
        <f t="shared" si="4"/>
        <v>0.50069168424929433</v>
      </c>
      <c r="AB14" s="34">
        <f>(2890709+22464)/$D$68</f>
        <v>26010.473214285714</v>
      </c>
      <c r="AC14" s="34">
        <f>13664+251</f>
        <v>13915</v>
      </c>
      <c r="AD14" s="67">
        <f t="shared" si="5"/>
        <v>0.53497681050867907</v>
      </c>
      <c r="AE14" s="34">
        <f>626125.5/$D$68</f>
        <v>5590.40625</v>
      </c>
      <c r="AF14" s="34">
        <v>20505</v>
      </c>
      <c r="AG14" s="67">
        <f t="shared" si="6"/>
        <v>3.6678908621354664</v>
      </c>
      <c r="AH14" s="37">
        <v>23284</v>
      </c>
      <c r="AI14" s="1">
        <v>13596</v>
      </c>
      <c r="AJ14" s="67">
        <f t="shared" si="7"/>
        <v>0.5839202886102044</v>
      </c>
      <c r="AK14" s="1">
        <v>32698</v>
      </c>
      <c r="AL14" s="1">
        <v>19423</v>
      </c>
      <c r="AM14" s="67">
        <f t="shared" si="8"/>
        <v>0.59401186616918467</v>
      </c>
      <c r="AN14" s="18">
        <v>28563</v>
      </c>
      <c r="AO14" s="18">
        <v>16517</v>
      </c>
      <c r="AP14" s="67">
        <f t="shared" si="9"/>
        <v>0.57826558834856279</v>
      </c>
      <c r="AQ14" s="18">
        <v>28368</v>
      </c>
      <c r="AR14" s="18">
        <v>17856</v>
      </c>
      <c r="AS14" s="67">
        <f t="shared" si="10"/>
        <v>0.62944162436548223</v>
      </c>
      <c r="AT14" s="18">
        <v>25838</v>
      </c>
      <c r="AU14" s="18">
        <v>17909</v>
      </c>
      <c r="AV14" s="67">
        <f t="shared" si="11"/>
        <v>0.69312640297236627</v>
      </c>
      <c r="AW14" s="18">
        <v>20414</v>
      </c>
      <c r="AX14" s="18">
        <v>18650</v>
      </c>
      <c r="AY14" s="67">
        <f t="shared" si="12"/>
        <v>0.91358871362790239</v>
      </c>
    </row>
    <row r="15" spans="1:51" s="3" customFormat="1" ht="15" x14ac:dyDescent="0.3">
      <c r="A15" s="15" t="s">
        <v>97</v>
      </c>
      <c r="B15" s="15" t="s">
        <v>42</v>
      </c>
      <c r="C15" s="34"/>
      <c r="D15" s="34"/>
      <c r="E15" s="34"/>
      <c r="F15" s="15" t="s">
        <v>42</v>
      </c>
      <c r="G15" s="34"/>
      <c r="H15" s="34"/>
      <c r="I15" s="34"/>
      <c r="J15" s="34"/>
      <c r="K15" s="15" t="s">
        <v>42</v>
      </c>
      <c r="L15" s="34"/>
      <c r="M15" s="34"/>
      <c r="N15" s="67" t="str">
        <f t="shared" si="1"/>
        <v/>
      </c>
      <c r="O15" s="15" t="s">
        <v>42</v>
      </c>
      <c r="P15" s="34"/>
      <c r="Q15" s="34"/>
      <c r="R15" s="67" t="str">
        <f t="shared" si="2"/>
        <v/>
      </c>
      <c r="S15" s="15" t="s">
        <v>42</v>
      </c>
      <c r="T15" s="39">
        <f>(55.25)/$D$69</f>
        <v>3.2064732142857144</v>
      </c>
      <c r="U15" s="39">
        <f>(80)/$D$60</f>
        <v>1.4285714285714286</v>
      </c>
      <c r="V15" s="67">
        <f t="shared" si="3"/>
        <v>0.44552732335537765</v>
      </c>
      <c r="W15" s="15" t="s">
        <v>42</v>
      </c>
      <c r="X15" s="15" t="s">
        <v>118</v>
      </c>
      <c r="Y15" s="34">
        <f>(95+120)/$D$69</f>
        <v>12.477678571428571</v>
      </c>
      <c r="Z15" s="34">
        <f>(200+200)/$D$59</f>
        <v>6.6006600660066006</v>
      </c>
      <c r="AA15" s="67">
        <f t="shared" si="4"/>
        <v>0.52899744357262202</v>
      </c>
      <c r="AB15" s="34">
        <f>(54340+21125)/$D$68</f>
        <v>673.79464285714289</v>
      </c>
      <c r="AC15" s="34">
        <f>47+120</f>
        <v>167</v>
      </c>
      <c r="AD15" s="67">
        <f t="shared" si="5"/>
        <v>0.24784999668720598</v>
      </c>
      <c r="AE15" s="34">
        <f>2637/$D$68</f>
        <v>23.544642857142858</v>
      </c>
      <c r="AF15" s="34">
        <v>140</v>
      </c>
      <c r="AG15" s="67">
        <f t="shared" si="6"/>
        <v>5.9461509290860821</v>
      </c>
      <c r="AH15" s="36">
        <v>73</v>
      </c>
      <c r="AI15">
        <v>14</v>
      </c>
      <c r="AJ15" s="67">
        <f t="shared" si="7"/>
        <v>0.19178082191780821</v>
      </c>
      <c r="AK15">
        <v>59</v>
      </c>
      <c r="AL15">
        <v>16</v>
      </c>
      <c r="AM15" s="67">
        <f t="shared" si="8"/>
        <v>0.2711864406779661</v>
      </c>
      <c r="AN15" s="18"/>
      <c r="AO15" s="18"/>
      <c r="AP15" s="67" t="str">
        <f t="shared" si="9"/>
        <v/>
      </c>
      <c r="AQ15" s="18"/>
      <c r="AR15" s="18"/>
      <c r="AS15" s="67" t="str">
        <f t="shared" si="10"/>
        <v/>
      </c>
      <c r="AT15" s="18"/>
      <c r="AU15" s="18"/>
      <c r="AV15" s="67" t="str">
        <f t="shared" si="11"/>
        <v/>
      </c>
      <c r="AW15" s="18"/>
      <c r="AX15" s="18"/>
      <c r="AY15" s="67" t="str">
        <f t="shared" si="12"/>
        <v/>
      </c>
    </row>
    <row r="16" spans="1:51" s="3" customFormat="1" ht="15" x14ac:dyDescent="0.3">
      <c r="A16" s="15" t="s">
        <v>12</v>
      </c>
      <c r="B16" s="15" t="s">
        <v>42</v>
      </c>
      <c r="C16" s="34">
        <f>19800*$D$74</f>
        <v>45964.285714285717</v>
      </c>
      <c r="D16" s="34">
        <f>(3960600/$D$64)</f>
        <v>79212.025070785763</v>
      </c>
      <c r="E16" s="67">
        <f>D16/C16</f>
        <v>1.7233385407785557</v>
      </c>
      <c r="F16" s="15" t="s">
        <v>42</v>
      </c>
      <c r="G16" s="34">
        <f>(757832.5)/$D$69</f>
        <v>43981.350446428572</v>
      </c>
      <c r="H16" s="34">
        <f>(3467634.5)/$D$63</f>
        <v>66685.278846153844</v>
      </c>
      <c r="I16" s="67">
        <f t="shared" ref="I16:I17" si="15">H16/G16</f>
        <v>1.5162171731716096</v>
      </c>
      <c r="J16" s="34"/>
      <c r="K16" s="15" t="s">
        <v>42</v>
      </c>
      <c r="L16" s="34">
        <f>(770256)/$D$69</f>
        <v>44702.357142857145</v>
      </c>
      <c r="M16" s="34">
        <f>(3437630)/$D$62</f>
        <v>63659.814814814818</v>
      </c>
      <c r="N16" s="67">
        <f t="shared" si="1"/>
        <v>1.4240818355813889</v>
      </c>
      <c r="O16" s="15" t="s">
        <v>42</v>
      </c>
      <c r="P16" s="34">
        <f>(965818)/$D$69</f>
        <v>56051.9375</v>
      </c>
      <c r="Q16" s="34">
        <f>(4240202)/$D$61</f>
        <v>74389.508771929832</v>
      </c>
      <c r="R16" s="67">
        <f t="shared" si="2"/>
        <v>1.3271532098587999</v>
      </c>
      <c r="S16" s="15" t="s">
        <v>42</v>
      </c>
      <c r="T16" s="39">
        <f>(888908.15+34893.55+17003.33)/$D$69</f>
        <v>54600.291919642863</v>
      </c>
      <c r="U16" s="39">
        <f>(3939200+138386.59+60570)/$D$60</f>
        <v>73895.653392857144</v>
      </c>
      <c r="V16" s="67">
        <f t="shared" si="3"/>
        <v>1.3533930093562858</v>
      </c>
      <c r="W16" s="15" t="s">
        <v>42</v>
      </c>
      <c r="X16" s="15" t="s">
        <v>118</v>
      </c>
      <c r="Y16" s="34">
        <f>(739189+6204+529+3618+2975+3060)/$D$69</f>
        <v>43850.334821428572</v>
      </c>
      <c r="Z16" s="34">
        <f>(3384401+27918+2895+19200+14450+14890)/$D$59</f>
        <v>57157.656765676569</v>
      </c>
      <c r="AA16" s="67">
        <f t="shared" si="4"/>
        <v>1.303471387355178</v>
      </c>
      <c r="AB16" s="34">
        <f>(14404+56244+5523723)/$D$68</f>
        <v>49949.741071428572</v>
      </c>
      <c r="AC16" s="34">
        <f>190+747+108319</f>
        <v>109256</v>
      </c>
      <c r="AD16" s="67">
        <f t="shared" si="5"/>
        <v>2.187318645831676</v>
      </c>
      <c r="AE16" s="34">
        <f>(15005+1773328)/$D$68</f>
        <v>15967.258928571429</v>
      </c>
      <c r="AF16" s="34">
        <f>144814</f>
        <v>144814</v>
      </c>
      <c r="AG16" s="67">
        <f t="shared" si="6"/>
        <v>9.0694339365207703</v>
      </c>
      <c r="AH16" s="35">
        <v>69807</v>
      </c>
      <c r="AI16" s="1">
        <v>101879</v>
      </c>
      <c r="AJ16" s="67">
        <f t="shared" si="7"/>
        <v>1.459438165226983</v>
      </c>
      <c r="AK16" s="1">
        <v>54640</v>
      </c>
      <c r="AL16" s="1">
        <v>86923</v>
      </c>
      <c r="AM16" s="67">
        <f t="shared" si="8"/>
        <v>1.5908308931185944</v>
      </c>
      <c r="AN16" s="18">
        <v>52302</v>
      </c>
      <c r="AO16" s="18">
        <v>89291</v>
      </c>
      <c r="AP16" s="67">
        <f t="shared" si="9"/>
        <v>1.7072196091927652</v>
      </c>
      <c r="AQ16" s="18">
        <v>86798</v>
      </c>
      <c r="AR16" s="18">
        <v>147618</v>
      </c>
      <c r="AS16" s="67">
        <f t="shared" si="10"/>
        <v>1.7007073895711882</v>
      </c>
      <c r="AT16" s="18">
        <v>77563</v>
      </c>
      <c r="AU16" s="18">
        <v>132133</v>
      </c>
      <c r="AV16" s="67">
        <f t="shared" si="11"/>
        <v>1.7035571084150949</v>
      </c>
      <c r="AW16" s="18">
        <v>40850</v>
      </c>
      <c r="AX16" s="18">
        <v>74528</v>
      </c>
      <c r="AY16" s="67">
        <f t="shared" si="12"/>
        <v>1.8244308445532436</v>
      </c>
    </row>
    <row r="17" spans="1:51" s="3" customFormat="1" ht="15" customHeight="1" x14ac:dyDescent="0.3">
      <c r="A17" s="15" t="s">
        <v>13</v>
      </c>
      <c r="B17" s="15" t="s">
        <v>42</v>
      </c>
      <c r="C17" s="34"/>
      <c r="D17" s="34"/>
      <c r="E17" s="34"/>
      <c r="F17" s="15" t="s">
        <v>42</v>
      </c>
      <c r="G17" s="34">
        <f>(21704.5)/$D$69</f>
        <v>1259.6361607142858</v>
      </c>
      <c r="H17" s="34">
        <f>(80566.5)/$D$63</f>
        <v>1549.3557692307693</v>
      </c>
      <c r="I17" s="67">
        <f t="shared" si="15"/>
        <v>1.2300026130975756</v>
      </c>
      <c r="J17" s="34"/>
      <c r="K17" s="15" t="s">
        <v>42</v>
      </c>
      <c r="L17" s="34">
        <f>(47124)/$D$69</f>
        <v>2734.875</v>
      </c>
      <c r="M17" s="34">
        <f>(188202)/$D$62</f>
        <v>3485.2222222222222</v>
      </c>
      <c r="N17" s="67">
        <f t="shared" si="1"/>
        <v>1.27436252926449</v>
      </c>
      <c r="O17" s="15" t="s">
        <v>42</v>
      </c>
      <c r="P17" s="34">
        <f>(60394)/$D$69</f>
        <v>3505.0089285714289</v>
      </c>
      <c r="Q17" s="34">
        <f>(208266)/$D$61</f>
        <v>3653.7894736842104</v>
      </c>
      <c r="R17" s="67">
        <f t="shared" si="2"/>
        <v>1.0424479789195349</v>
      </c>
      <c r="S17" s="15" t="s">
        <v>42</v>
      </c>
      <c r="T17" s="39">
        <f>(25475.5+258.5)/$D$69</f>
        <v>1493.4910714285716</v>
      </c>
      <c r="U17" s="39">
        <f>(90421+787.5)/$D$60</f>
        <v>1628.7232142857142</v>
      </c>
      <c r="V17" s="67">
        <f t="shared" si="3"/>
        <v>1.0905476741335915</v>
      </c>
      <c r="W17" s="15" t="s">
        <v>42</v>
      </c>
      <c r="X17" s="15" t="s">
        <v>118</v>
      </c>
      <c r="Y17" s="34">
        <f>53960/$D$69</f>
        <v>3131.6071428571431</v>
      </c>
      <c r="Z17" s="34">
        <f>204275/$D$59</f>
        <v>3370.8745874587457</v>
      </c>
      <c r="AA17" s="67">
        <f t="shared" si="4"/>
        <v>1.0764040422973697</v>
      </c>
      <c r="AB17" s="34">
        <f>461691/$D$68</f>
        <v>4122.2410714285716</v>
      </c>
      <c r="AC17" s="34">
        <v>5450</v>
      </c>
      <c r="AD17" s="67">
        <f t="shared" si="5"/>
        <v>1.3220963804795849</v>
      </c>
      <c r="AE17" s="34">
        <f>111395.5/$D$68</f>
        <v>994.60267857142856</v>
      </c>
      <c r="AF17" s="34">
        <v>8081</v>
      </c>
      <c r="AG17" s="67">
        <f t="shared" si="6"/>
        <v>8.1248524401793603</v>
      </c>
      <c r="AH17" s="37">
        <v>1242</v>
      </c>
      <c r="AI17" s="1">
        <v>1914</v>
      </c>
      <c r="AJ17" s="67">
        <f t="shared" si="7"/>
        <v>1.5410628019323671</v>
      </c>
      <c r="AK17">
        <v>343</v>
      </c>
      <c r="AL17">
        <v>451</v>
      </c>
      <c r="AM17" s="67">
        <f t="shared" si="8"/>
        <v>1.314868804664723</v>
      </c>
      <c r="AN17" s="18">
        <v>1784</v>
      </c>
      <c r="AO17" s="18">
        <v>2658</v>
      </c>
      <c r="AP17" s="67">
        <f t="shared" si="9"/>
        <v>1.4899103139013452</v>
      </c>
      <c r="AQ17" s="18">
        <v>6760</v>
      </c>
      <c r="AR17" s="18">
        <v>10618</v>
      </c>
      <c r="AS17" s="67">
        <f t="shared" si="10"/>
        <v>1.5707100591715977</v>
      </c>
      <c r="AT17" s="18">
        <v>2273</v>
      </c>
      <c r="AU17" s="18">
        <v>3549</v>
      </c>
      <c r="AV17" s="67">
        <f t="shared" si="11"/>
        <v>1.561372635283766</v>
      </c>
      <c r="AW17" s="18">
        <v>2541</v>
      </c>
      <c r="AX17" s="18">
        <v>4782</v>
      </c>
      <c r="AY17" s="67">
        <f t="shared" si="12"/>
        <v>1.8819362455726092</v>
      </c>
    </row>
    <row r="18" spans="1:51" s="3" customFormat="1" ht="15" customHeight="1" x14ac:dyDescent="0.3">
      <c r="A18" s="15" t="s">
        <v>98</v>
      </c>
      <c r="B18" s="15" t="s">
        <v>42</v>
      </c>
      <c r="C18" s="34"/>
      <c r="D18" s="34"/>
      <c r="E18" s="34"/>
      <c r="F18" s="15" t="s">
        <v>42</v>
      </c>
      <c r="G18" s="34"/>
      <c r="H18" s="34"/>
      <c r="I18" s="34"/>
      <c r="J18" s="34"/>
      <c r="K18" s="15" t="s">
        <v>42</v>
      </c>
      <c r="L18" s="34"/>
      <c r="M18" s="34"/>
      <c r="N18" s="67" t="str">
        <f t="shared" si="1"/>
        <v/>
      </c>
      <c r="O18" s="15" t="s">
        <v>42</v>
      </c>
      <c r="P18" s="34"/>
      <c r="Q18" s="34"/>
      <c r="R18" s="67" t="str">
        <f t="shared" si="2"/>
        <v/>
      </c>
      <c r="S18" s="15" t="s">
        <v>42</v>
      </c>
      <c r="T18" s="39"/>
      <c r="U18" s="39"/>
      <c r="V18" s="67" t="str">
        <f t="shared" si="3"/>
        <v/>
      </c>
      <c r="W18" s="15" t="s">
        <v>42</v>
      </c>
      <c r="X18" s="15" t="s">
        <v>118</v>
      </c>
      <c r="Y18" s="34"/>
      <c r="Z18" s="34"/>
      <c r="AA18" s="67" t="str">
        <f t="shared" si="4"/>
        <v/>
      </c>
      <c r="AB18" s="34"/>
      <c r="AC18" s="34"/>
      <c r="AD18" s="67" t="str">
        <f t="shared" si="5"/>
        <v/>
      </c>
      <c r="AE18" s="34"/>
      <c r="AF18" s="34"/>
      <c r="AG18" s="67" t="str">
        <f t="shared" si="6"/>
        <v/>
      </c>
      <c r="AH18"/>
      <c r="AI18"/>
      <c r="AJ18" s="67" t="str">
        <f t="shared" si="7"/>
        <v/>
      </c>
      <c r="AK18" s="35">
        <v>8</v>
      </c>
      <c r="AL18">
        <v>24</v>
      </c>
      <c r="AM18" s="67">
        <f t="shared" si="8"/>
        <v>3</v>
      </c>
      <c r="AN18" s="18"/>
      <c r="AO18" s="18"/>
      <c r="AP18" s="67" t="str">
        <f t="shared" si="9"/>
        <v/>
      </c>
      <c r="AQ18" s="18"/>
      <c r="AR18" s="18"/>
      <c r="AS18" s="67" t="str">
        <f t="shared" si="10"/>
        <v/>
      </c>
      <c r="AT18" s="18"/>
      <c r="AU18" s="18"/>
      <c r="AV18" s="67" t="str">
        <f t="shared" si="11"/>
        <v/>
      </c>
      <c r="AW18" s="18"/>
      <c r="AX18" s="18"/>
      <c r="AY18" s="67" t="str">
        <f t="shared" si="12"/>
        <v/>
      </c>
    </row>
    <row r="19" spans="1:51" s="3" customFormat="1" ht="15" customHeight="1" x14ac:dyDescent="0.3">
      <c r="A19" s="15" t="s">
        <v>46</v>
      </c>
      <c r="B19" s="15" t="s">
        <v>42</v>
      </c>
      <c r="C19" s="34">
        <f>(1220+436)*$D$73</f>
        <v>1922.1428571428573</v>
      </c>
      <c r="D19" s="34">
        <f>(36600+43600)/($D$64)</f>
        <v>1604.0005076698019</v>
      </c>
      <c r="E19" s="67">
        <f>D19/C19</f>
        <v>0.83448558555842522</v>
      </c>
      <c r="F19" s="15" t="s">
        <v>42</v>
      </c>
      <c r="G19" s="34">
        <f>(60938)/$D$69</f>
        <v>3536.5803571428573</v>
      </c>
      <c r="H19" s="34">
        <f>(926091)/$D$63</f>
        <v>17809.442307692309</v>
      </c>
      <c r="I19" s="67">
        <f t="shared" ref="I19:I21" si="16">H19/G19</f>
        <v>5.0357804741301715</v>
      </c>
      <c r="J19" s="34"/>
      <c r="K19" s="15" t="s">
        <v>42</v>
      </c>
      <c r="L19" s="34">
        <f>(99365)/$D$69</f>
        <v>5766.71875</v>
      </c>
      <c r="M19" s="34">
        <f>(1548084)/$D$62</f>
        <v>28668.222222222223</v>
      </c>
      <c r="N19" s="67">
        <f t="shared" si="1"/>
        <v>4.9713231154583744</v>
      </c>
      <c r="O19" s="15" t="s">
        <v>42</v>
      </c>
      <c r="P19" s="34">
        <f>(117175)/$D$69</f>
        <v>6800.3348214285716</v>
      </c>
      <c r="Q19" s="34">
        <f>(2275413)/$D$61</f>
        <v>39919.526315789473</v>
      </c>
      <c r="R19" s="67">
        <f t="shared" si="2"/>
        <v>5.870229534875083</v>
      </c>
      <c r="S19" s="15" t="s">
        <v>42</v>
      </c>
      <c r="T19" s="39">
        <f>(618.35+133273.56+334.978+70.5)/$D$69</f>
        <v>7794.0448392857152</v>
      </c>
      <c r="U19" s="39">
        <f>(22936+2499201+5328+2979)/$D$60</f>
        <v>45186.5</v>
      </c>
      <c r="V19" s="67">
        <f t="shared" si="3"/>
        <v>5.7975673647960582</v>
      </c>
      <c r="W19" s="15" t="s">
        <v>42</v>
      </c>
      <c r="X19" s="15" t="s">
        <v>118</v>
      </c>
      <c r="Y19" s="34">
        <f>(306.65+148066.91+7)/$D$69</f>
        <v>8611.3717857142856</v>
      </c>
      <c r="Z19" s="34">
        <f>(10962+2393177+126)/$D$59</f>
        <v>39674.339933993397</v>
      </c>
      <c r="AA19" s="67">
        <f t="shared" si="4"/>
        <v>4.6072032332654116</v>
      </c>
      <c r="AB19" s="34">
        <f>823875/$D$68</f>
        <v>7356.0267857142853</v>
      </c>
      <c r="AC19" s="34">
        <v>32206</v>
      </c>
      <c r="AD19" s="67">
        <f t="shared" si="5"/>
        <v>4.378178728569261</v>
      </c>
      <c r="AE19" s="34">
        <f>(216625+113036.5)/$D$68</f>
        <v>2943.40625</v>
      </c>
      <c r="AF19" s="34">
        <f>(148+30747)</f>
        <v>30895</v>
      </c>
      <c r="AG19" s="67">
        <f t="shared" si="6"/>
        <v>10.49634246037223</v>
      </c>
      <c r="AH19" s="35">
        <v>14547</v>
      </c>
      <c r="AI19">
        <v>85099</v>
      </c>
      <c r="AJ19" s="67">
        <f t="shared" si="7"/>
        <v>5.8499346944387156</v>
      </c>
      <c r="AK19">
        <v>9996</v>
      </c>
      <c r="AL19">
        <v>57096</v>
      </c>
      <c r="AM19" s="67">
        <f t="shared" si="8"/>
        <v>5.7118847539015603</v>
      </c>
      <c r="AN19" s="18">
        <v>10626</v>
      </c>
      <c r="AO19" s="18">
        <v>57096</v>
      </c>
      <c r="AP19" s="67">
        <f t="shared" si="9"/>
        <v>5.3732354601919816</v>
      </c>
      <c r="AQ19" s="18">
        <v>9712</v>
      </c>
      <c r="AR19" s="18">
        <v>51376</v>
      </c>
      <c r="AS19" s="67">
        <f t="shared" si="10"/>
        <v>5.2899505766062607</v>
      </c>
      <c r="AT19" s="18">
        <v>8080</v>
      </c>
      <c r="AU19" s="18">
        <v>44797</v>
      </c>
      <c r="AV19" s="67">
        <f t="shared" si="11"/>
        <v>5.5441831683168319</v>
      </c>
      <c r="AW19" s="18">
        <v>8505</v>
      </c>
      <c r="AX19" s="18">
        <v>57422</v>
      </c>
      <c r="AY19" s="67">
        <f t="shared" si="12"/>
        <v>6.7515579071134626</v>
      </c>
    </row>
    <row r="20" spans="1:51" s="3" customFormat="1" ht="15" customHeight="1" x14ac:dyDescent="0.3">
      <c r="A20" s="15" t="s">
        <v>47</v>
      </c>
      <c r="B20" s="15" t="s">
        <v>42</v>
      </c>
      <c r="C20" s="34"/>
      <c r="D20" s="34"/>
      <c r="E20" s="34"/>
      <c r="F20" s="15" t="s">
        <v>42</v>
      </c>
      <c r="G20" s="34">
        <f>(21448.5)/$D$69</f>
        <v>1244.7790178571429</v>
      </c>
      <c r="H20" s="34">
        <f>(97561)/$D$63</f>
        <v>1876.1730769230769</v>
      </c>
      <c r="I20" s="67">
        <f t="shared" si="16"/>
        <v>1.5072338543694797</v>
      </c>
      <c r="J20" s="34"/>
      <c r="K20" s="15" t="s">
        <v>42</v>
      </c>
      <c r="L20" s="34">
        <f>(25140)/$D$69</f>
        <v>1459.0178571428571</v>
      </c>
      <c r="M20" s="34">
        <f>(120382)/$D$62</f>
        <v>2229.2962962962961</v>
      </c>
      <c r="N20" s="67">
        <f t="shared" si="1"/>
        <v>1.5279431196694522</v>
      </c>
      <c r="O20" s="15" t="s">
        <v>42</v>
      </c>
      <c r="P20" s="34">
        <f>(8369)/$D$69</f>
        <v>485.70089285714289</v>
      </c>
      <c r="Q20" s="34">
        <f>(55805)/$D$61</f>
        <v>979.03508771929819</v>
      </c>
      <c r="R20" s="67">
        <f t="shared" si="2"/>
        <v>2.0157160551221338</v>
      </c>
      <c r="S20" s="15" t="s">
        <v>42</v>
      </c>
      <c r="T20" s="39">
        <f>(36352.95+4995)/$D$69</f>
        <v>2399.6578125000001</v>
      </c>
      <c r="U20" s="39">
        <f>(198093+15022)/$D$60</f>
        <v>3805.625</v>
      </c>
      <c r="V20" s="67">
        <f t="shared" si="3"/>
        <v>1.585903198437798</v>
      </c>
      <c r="W20" s="15" t="s">
        <v>42</v>
      </c>
      <c r="X20" s="15" t="s">
        <v>118</v>
      </c>
      <c r="Y20" s="34">
        <f>(29988.75+46267)/$D$69</f>
        <v>4425.5569196428578</v>
      </c>
      <c r="Z20" s="34">
        <f>(148268+54326)/$D$59</f>
        <v>3343.1353135313529</v>
      </c>
      <c r="AA20" s="67">
        <f t="shared" si="4"/>
        <v>0.75541573054745481</v>
      </c>
      <c r="AB20" s="34">
        <f>(118946+11436+12226)/$D$68</f>
        <v>1273.2857142857142</v>
      </c>
      <c r="AC20" s="34">
        <f>1554+169+141</f>
        <v>1864</v>
      </c>
      <c r="AD20" s="67">
        <f t="shared" si="5"/>
        <v>1.4639290923370358</v>
      </c>
      <c r="AE20" s="34">
        <f>18370/$D$68</f>
        <v>164.01785714285714</v>
      </c>
      <c r="AF20" s="34">
        <v>2171</v>
      </c>
      <c r="AG20" s="67">
        <f t="shared" si="6"/>
        <v>13.236363636363636</v>
      </c>
      <c r="AH20" s="37">
        <v>1390</v>
      </c>
      <c r="AI20" s="1">
        <v>3492</v>
      </c>
      <c r="AJ20" s="67">
        <f t="shared" si="7"/>
        <v>2.512230215827338</v>
      </c>
      <c r="AK20" s="1">
        <v>3260</v>
      </c>
      <c r="AL20">
        <v>4207</v>
      </c>
      <c r="AM20" s="67">
        <f t="shared" si="8"/>
        <v>1.2904907975460123</v>
      </c>
      <c r="AN20" s="18">
        <v>4646</v>
      </c>
      <c r="AO20" s="18">
        <v>5292</v>
      </c>
      <c r="AP20" s="67">
        <f t="shared" si="9"/>
        <v>1.1390443392165304</v>
      </c>
      <c r="AQ20" s="18">
        <v>2418</v>
      </c>
      <c r="AR20" s="18">
        <v>7612</v>
      </c>
      <c r="AS20" s="67">
        <f t="shared" si="10"/>
        <v>3.1480562448304386</v>
      </c>
      <c r="AT20" s="18">
        <v>3344</v>
      </c>
      <c r="AU20" s="18">
        <v>5748</v>
      </c>
      <c r="AV20" s="67">
        <f t="shared" si="11"/>
        <v>1.7188995215311005</v>
      </c>
      <c r="AW20" s="18">
        <v>3267</v>
      </c>
      <c r="AX20" s="18">
        <v>4941</v>
      </c>
      <c r="AY20" s="67">
        <f t="shared" si="12"/>
        <v>1.5123966942148761</v>
      </c>
    </row>
    <row r="21" spans="1:51" s="3" customFormat="1" ht="15" customHeight="1" x14ac:dyDescent="0.3">
      <c r="A21" s="15" t="s">
        <v>48</v>
      </c>
      <c r="B21" s="15" t="s">
        <v>42</v>
      </c>
      <c r="C21" s="34">
        <f>300*$D$74</f>
        <v>696.42857142857144</v>
      </c>
      <c r="D21" s="34">
        <f>(180000/$D$64)</f>
        <v>3600.0011394085332</v>
      </c>
      <c r="E21" s="67">
        <f>D21/C21</f>
        <v>5.1692324053045606</v>
      </c>
      <c r="F21" s="15" t="s">
        <v>42</v>
      </c>
      <c r="G21" s="34">
        <f>(55975.5)/$D$69</f>
        <v>3248.578125</v>
      </c>
      <c r="H21" s="34">
        <f>(313738)/$D$63</f>
        <v>6033.4230769230771</v>
      </c>
      <c r="I21" s="67">
        <f t="shared" si="16"/>
        <v>1.8572504168798702</v>
      </c>
      <c r="J21" s="34"/>
      <c r="K21" s="15" t="s">
        <v>42</v>
      </c>
      <c r="L21" s="34">
        <f>(140381)/$D$69</f>
        <v>8147.1116071428578</v>
      </c>
      <c r="M21" s="34">
        <f>(847801)/$D$62</f>
        <v>15700.018518518518</v>
      </c>
      <c r="N21" s="67">
        <f t="shared" si="1"/>
        <v>1.9270656001267692</v>
      </c>
      <c r="O21" s="15" t="s">
        <v>42</v>
      </c>
      <c r="P21" s="34">
        <f>(237991)/$D$69</f>
        <v>13811.977678571429</v>
      </c>
      <c r="Q21" s="34">
        <f>(1691681)/$D$61</f>
        <v>29678.614035087718</v>
      </c>
      <c r="R21" s="67">
        <f t="shared" si="2"/>
        <v>2.148759194791674</v>
      </c>
      <c r="S21" s="15" t="s">
        <v>42</v>
      </c>
      <c r="T21" s="39">
        <f>(187618.3+3718.75+115+33.5)/$D$69</f>
        <v>11113.000669642857</v>
      </c>
      <c r="U21" s="39">
        <f>(1887367+74158+1593+260)/$D$60</f>
        <v>35060.321428571428</v>
      </c>
      <c r="V21" s="67">
        <f t="shared" si="3"/>
        <v>3.1548924067236808</v>
      </c>
      <c r="W21" s="15" t="s">
        <v>42</v>
      </c>
      <c r="X21" s="15" t="s">
        <v>118</v>
      </c>
      <c r="Y21" s="34">
        <f>(99224.75+5753+15.5)/$D$69</f>
        <v>6093.3582589285716</v>
      </c>
      <c r="Z21" s="34">
        <f>(895624+36141.6+227)/$D$59</f>
        <v>15379.415841584158</v>
      </c>
      <c r="AA21" s="67">
        <f t="shared" si="4"/>
        <v>2.5239638288211212</v>
      </c>
      <c r="AB21" s="34">
        <f>1022781/$D$68</f>
        <v>9131.9732142857138</v>
      </c>
      <c r="AC21" s="34">
        <v>23776</v>
      </c>
      <c r="AD21" s="67">
        <f t="shared" si="5"/>
        <v>2.603599402022525</v>
      </c>
      <c r="AE21" s="34">
        <f>3611.5/$D$68</f>
        <v>32.245535714285715</v>
      </c>
      <c r="AF21" s="34">
        <v>820</v>
      </c>
      <c r="AG21" s="67">
        <f t="shared" si="6"/>
        <v>25.429876782500344</v>
      </c>
      <c r="AH21" s="37">
        <v>10115</v>
      </c>
      <c r="AI21" s="1">
        <v>30413</v>
      </c>
      <c r="AJ21" s="67">
        <f t="shared" si="7"/>
        <v>3.0067226890756302</v>
      </c>
      <c r="AK21" s="1">
        <v>14556</v>
      </c>
      <c r="AL21">
        <v>43483</v>
      </c>
      <c r="AM21" s="67">
        <f t="shared" si="8"/>
        <v>2.9872904644133005</v>
      </c>
      <c r="AN21" s="18">
        <v>8819</v>
      </c>
      <c r="AO21" s="18">
        <v>21931</v>
      </c>
      <c r="AP21" s="67">
        <f t="shared" si="9"/>
        <v>2.4867898854745434</v>
      </c>
      <c r="AQ21" s="18">
        <v>11255</v>
      </c>
      <c r="AR21" s="18">
        <v>28984</v>
      </c>
      <c r="AS21" s="67">
        <f t="shared" si="10"/>
        <v>2.5752110173256328</v>
      </c>
      <c r="AT21" s="18">
        <v>11215</v>
      </c>
      <c r="AU21" s="18">
        <v>28520</v>
      </c>
      <c r="AV21" s="67">
        <f t="shared" si="11"/>
        <v>2.543022737405261</v>
      </c>
      <c r="AW21" s="18">
        <v>9040</v>
      </c>
      <c r="AX21" s="18">
        <v>27964</v>
      </c>
      <c r="AY21" s="67">
        <f t="shared" si="12"/>
        <v>3.093362831858407</v>
      </c>
    </row>
    <row r="22" spans="1:51" s="3" customFormat="1" ht="15" customHeight="1" x14ac:dyDescent="0.3">
      <c r="A22" s="15" t="s">
        <v>49</v>
      </c>
      <c r="B22" s="15" t="s">
        <v>142</v>
      </c>
      <c r="C22" s="34"/>
      <c r="D22" s="34"/>
      <c r="E22" s="34"/>
      <c r="F22" s="15" t="s">
        <v>142</v>
      </c>
      <c r="G22" s="34"/>
      <c r="H22" s="34"/>
      <c r="I22" s="34"/>
      <c r="J22" s="34"/>
      <c r="K22" s="15" t="s">
        <v>142</v>
      </c>
      <c r="L22" s="34">
        <f>(160)/$D$69</f>
        <v>9.2857142857142865</v>
      </c>
      <c r="M22" s="34">
        <f>(80)/$D$62</f>
        <v>1.4814814814814814</v>
      </c>
      <c r="N22" s="67">
        <f t="shared" si="1"/>
        <v>0.15954415954415951</v>
      </c>
      <c r="O22" s="15" t="s">
        <v>142</v>
      </c>
      <c r="P22" s="34"/>
      <c r="Q22" s="34"/>
      <c r="R22" s="67" t="str">
        <f t="shared" si="2"/>
        <v/>
      </c>
      <c r="S22" s="40" t="s">
        <v>142</v>
      </c>
      <c r="T22" s="39">
        <v>1</v>
      </c>
      <c r="U22" s="39">
        <f>(6)/$D$60</f>
        <v>0.10714285714285714</v>
      </c>
      <c r="V22" s="67"/>
      <c r="W22" s="15" t="s">
        <v>42</v>
      </c>
      <c r="X22" s="15" t="s">
        <v>118</v>
      </c>
      <c r="Y22" s="34">
        <f>(300+2800)/$D$69</f>
        <v>179.91071428571431</v>
      </c>
      <c r="Z22" s="34">
        <f>(1550+8560)/$D$59</f>
        <v>166.83168316831683</v>
      </c>
      <c r="AA22" s="67">
        <f t="shared" si="4"/>
        <v>0.92730265582389493</v>
      </c>
      <c r="AB22" s="34"/>
      <c r="AC22" s="34"/>
      <c r="AD22" s="67" t="str">
        <f t="shared" si="5"/>
        <v/>
      </c>
      <c r="AE22" s="34"/>
      <c r="AF22" s="34"/>
      <c r="AG22" s="67" t="str">
        <f t="shared" si="6"/>
        <v/>
      </c>
      <c r="AH22" s="36"/>
      <c r="AI22"/>
      <c r="AJ22" s="67" t="str">
        <f t="shared" si="7"/>
        <v/>
      </c>
      <c r="AK22">
        <v>153</v>
      </c>
      <c r="AL22">
        <v>518</v>
      </c>
      <c r="AM22" s="67">
        <f t="shared" si="8"/>
        <v>3.3856209150326797</v>
      </c>
      <c r="AN22" s="18">
        <v>465</v>
      </c>
      <c r="AO22" s="18">
        <v>2945</v>
      </c>
      <c r="AP22" s="67">
        <f t="shared" si="9"/>
        <v>6.333333333333333</v>
      </c>
      <c r="AQ22" s="18">
        <v>282</v>
      </c>
      <c r="AR22" s="18">
        <v>1976</v>
      </c>
      <c r="AS22" s="67">
        <f t="shared" si="10"/>
        <v>7.0070921985815602</v>
      </c>
      <c r="AT22" s="18">
        <v>450</v>
      </c>
      <c r="AU22" s="18">
        <v>4305</v>
      </c>
      <c r="AV22" s="67">
        <f t="shared" si="11"/>
        <v>9.5666666666666664</v>
      </c>
      <c r="AW22" s="18">
        <v>870</v>
      </c>
      <c r="AX22" s="18">
        <v>4161</v>
      </c>
      <c r="AY22" s="67">
        <f t="shared" si="12"/>
        <v>4.7827586206896555</v>
      </c>
    </row>
    <row r="23" spans="1:51" s="3" customFormat="1" ht="15" customHeight="1" x14ac:dyDescent="0.3">
      <c r="A23" s="15" t="s">
        <v>50</v>
      </c>
      <c r="B23" s="15" t="s">
        <v>42</v>
      </c>
      <c r="C23" s="34">
        <f>(9000+240+6600+396)*$D$74</f>
        <v>37690.71428571429</v>
      </c>
      <c r="D23" s="34">
        <f>(237600+6600000+7200000+480000)/($D$64)</f>
        <v>290352.09189709625</v>
      </c>
      <c r="E23" s="67">
        <f>D23/C23</f>
        <v>7.703544424658114</v>
      </c>
      <c r="F23" s="15" t="s">
        <v>42</v>
      </c>
      <c r="G23" s="34"/>
      <c r="H23" s="34">
        <f>(8890)/$D$63</f>
        <v>170.96153846153845</v>
      </c>
      <c r="I23" s="67"/>
      <c r="J23" s="34"/>
      <c r="K23" s="15" t="s">
        <v>42</v>
      </c>
      <c r="L23" s="34"/>
      <c r="M23" s="34">
        <f>(167100)/$D$62</f>
        <v>3094.4444444444443</v>
      </c>
      <c r="N23" s="67" t="str">
        <f t="shared" si="1"/>
        <v/>
      </c>
      <c r="O23" s="15" t="s">
        <v>42</v>
      </c>
      <c r="P23" s="34"/>
      <c r="Q23" s="34">
        <f>(153670)/$D$61</f>
        <v>2695.9649122807018</v>
      </c>
      <c r="R23" s="67" t="str">
        <f t="shared" si="2"/>
        <v/>
      </c>
      <c r="S23" s="15" t="s">
        <v>42</v>
      </c>
      <c r="T23" s="39">
        <f>(3994.5+187.5+9.75)/$D$69</f>
        <v>243.27120535714286</v>
      </c>
      <c r="U23" s="39">
        <f>(32174+2324+529)/$D$60</f>
        <v>625.48214285714289</v>
      </c>
      <c r="V23" s="67">
        <f t="shared" si="3"/>
        <v>2.5711310220166905</v>
      </c>
      <c r="W23" s="15" t="s">
        <v>42</v>
      </c>
      <c r="X23" s="15" t="s">
        <v>118</v>
      </c>
      <c r="Y23" s="34">
        <f>(5.25+22.92+145.82+0.025+106+61.5+9)/$D$69</f>
        <v>20.342388392857142</v>
      </c>
      <c r="Z23" s="34">
        <f>(282+1177+9152+20+9315+1821+930)/$D$59</f>
        <v>374.53795379537951</v>
      </c>
      <c r="AA23" s="67">
        <f t="shared" si="4"/>
        <v>18.411700069933364</v>
      </c>
      <c r="AB23" s="34"/>
      <c r="AC23" s="34">
        <f>106+209</f>
        <v>315</v>
      </c>
      <c r="AD23" s="67" t="str">
        <f t="shared" si="5"/>
        <v/>
      </c>
      <c r="AE23" s="34">
        <f>(62.25+37.75+662875+85)/$D$68</f>
        <v>5920.1785714285716</v>
      </c>
      <c r="AF23" s="34">
        <f>(50+46+276+214)</f>
        <v>586</v>
      </c>
      <c r="AG23" s="67">
        <f t="shared" si="6"/>
        <v>9.8983500738997976E-2</v>
      </c>
      <c r="AH23">
        <v>20</v>
      </c>
      <c r="AI23" s="3">
        <v>464</v>
      </c>
      <c r="AJ23" s="67">
        <f t="shared" si="7"/>
        <v>23.2</v>
      </c>
      <c r="AK23">
        <v>53</v>
      </c>
      <c r="AL23" s="3">
        <v>1075</v>
      </c>
      <c r="AM23" s="67">
        <f t="shared" si="8"/>
        <v>20.283018867924529</v>
      </c>
      <c r="AN23" s="18">
        <v>106</v>
      </c>
      <c r="AO23" s="18">
        <v>860</v>
      </c>
      <c r="AP23" s="67">
        <f t="shared" si="9"/>
        <v>8.1132075471698109</v>
      </c>
      <c r="AQ23" s="18">
        <v>330</v>
      </c>
      <c r="AR23" s="18">
        <v>920</v>
      </c>
      <c r="AS23" s="67">
        <f t="shared" si="10"/>
        <v>2.7878787878787881</v>
      </c>
      <c r="AT23" s="18">
        <v>61</v>
      </c>
      <c r="AU23" s="18">
        <v>1171</v>
      </c>
      <c r="AV23" s="67">
        <f t="shared" si="11"/>
        <v>19.196721311475411</v>
      </c>
      <c r="AW23" s="18">
        <v>43</v>
      </c>
      <c r="AX23" s="18">
        <v>833</v>
      </c>
      <c r="AY23" s="67">
        <f t="shared" si="12"/>
        <v>19.372093023255815</v>
      </c>
    </row>
    <row r="24" spans="1:51" s="3" customFormat="1" x14ac:dyDescent="0.3">
      <c r="A24" s="15" t="s">
        <v>51</v>
      </c>
      <c r="B24" s="15" t="s">
        <v>42</v>
      </c>
      <c r="C24" s="34"/>
      <c r="D24" s="34"/>
      <c r="E24" s="34"/>
      <c r="F24" s="15" t="s">
        <v>42</v>
      </c>
      <c r="G24" s="34"/>
      <c r="H24" s="34"/>
      <c r="I24" s="34"/>
      <c r="J24" s="34"/>
      <c r="K24" s="15" t="s">
        <v>42</v>
      </c>
      <c r="L24" s="34"/>
      <c r="M24" s="34"/>
      <c r="N24" s="67" t="str">
        <f t="shared" si="1"/>
        <v/>
      </c>
      <c r="O24" s="15" t="s">
        <v>42</v>
      </c>
      <c r="P24" s="34"/>
      <c r="Q24" s="34"/>
      <c r="R24" s="67" t="str">
        <f t="shared" si="2"/>
        <v/>
      </c>
      <c r="S24" s="15" t="s">
        <v>42</v>
      </c>
      <c r="T24" s="39"/>
      <c r="U24" s="39"/>
      <c r="V24" s="67" t="str">
        <f t="shared" si="3"/>
        <v/>
      </c>
      <c r="W24" s="15" t="s">
        <v>42</v>
      </c>
      <c r="X24" s="15" t="s">
        <v>118</v>
      </c>
      <c r="Y24" s="34">
        <f>44/$D$69</f>
        <v>2.5535714285714288</v>
      </c>
      <c r="Z24" s="34">
        <f>150/$D$59</f>
        <v>2.4752475247524752</v>
      </c>
      <c r="AA24" s="67">
        <f t="shared" si="4"/>
        <v>0.96932770200096918</v>
      </c>
      <c r="AB24" s="34">
        <f>(6519+142)/$D$68</f>
        <v>59.473214285714285</v>
      </c>
      <c r="AC24" s="34">
        <f>34+3</f>
        <v>37</v>
      </c>
      <c r="AD24" s="67">
        <f t="shared" si="5"/>
        <v>0.62212880948806482</v>
      </c>
      <c r="AE24" s="34">
        <f>(56+250)/$D$68</f>
        <v>2.7321428571428572</v>
      </c>
      <c r="AF24" s="34">
        <f>(3+9)</f>
        <v>12</v>
      </c>
      <c r="AG24" s="67">
        <f t="shared" si="6"/>
        <v>4.3921568627450975</v>
      </c>
      <c r="AJ24" s="67" t="str">
        <f t="shared" si="7"/>
        <v/>
      </c>
      <c r="AM24" s="67" t="str">
        <f t="shared" si="8"/>
        <v/>
      </c>
      <c r="AP24" s="67" t="str">
        <f t="shared" si="9"/>
        <v/>
      </c>
      <c r="AQ24" s="18">
        <v>2</v>
      </c>
      <c r="AR24" s="18">
        <v>2</v>
      </c>
      <c r="AS24" s="67">
        <f t="shared" si="10"/>
        <v>1</v>
      </c>
      <c r="AT24" s="18">
        <v>880</v>
      </c>
      <c r="AU24" s="18">
        <v>979</v>
      </c>
      <c r="AV24" s="67">
        <f t="shared" si="11"/>
        <v>1.1125</v>
      </c>
      <c r="AW24" s="18">
        <v>1058</v>
      </c>
      <c r="AX24" s="18">
        <v>1104</v>
      </c>
      <c r="AY24" s="67">
        <f t="shared" si="12"/>
        <v>1.0434782608695652</v>
      </c>
    </row>
    <row r="25" spans="1:51" s="3" customFormat="1" x14ac:dyDescent="0.3">
      <c r="A25" s="15" t="s">
        <v>113</v>
      </c>
      <c r="B25" s="15" t="s">
        <v>42</v>
      </c>
      <c r="C25" s="34"/>
      <c r="D25" s="34"/>
      <c r="E25" s="34"/>
      <c r="F25" s="15" t="s">
        <v>42</v>
      </c>
      <c r="G25" s="34">
        <f>(100)/$D$69</f>
        <v>5.8035714285714288</v>
      </c>
      <c r="H25" s="34">
        <f>(200)/$D$63</f>
        <v>3.8461538461538463</v>
      </c>
      <c r="I25" s="67">
        <f t="shared" ref="I25:I27" si="17">H25/G25</f>
        <v>0.6627218934911242</v>
      </c>
      <c r="J25" s="34"/>
      <c r="K25" s="15" t="s">
        <v>42</v>
      </c>
      <c r="L25" s="34"/>
      <c r="M25" s="34"/>
      <c r="N25" s="67" t="str">
        <f t="shared" si="1"/>
        <v/>
      </c>
      <c r="O25" s="15" t="s">
        <v>42</v>
      </c>
      <c r="P25" s="34"/>
      <c r="Q25" s="34"/>
      <c r="R25" s="67" t="str">
        <f t="shared" si="2"/>
        <v/>
      </c>
      <c r="S25" s="15" t="s">
        <v>42</v>
      </c>
      <c r="T25" s="39">
        <f>(7201.4)/$D$69</f>
        <v>417.93839285714284</v>
      </c>
      <c r="U25" s="39">
        <f>(13886)/$D$60</f>
        <v>247.96428571428572</v>
      </c>
      <c r="V25" s="67">
        <f t="shared" si="3"/>
        <v>0.59330343886124715</v>
      </c>
      <c r="W25" s="15" t="s">
        <v>42</v>
      </c>
      <c r="X25" s="15" t="s">
        <v>118</v>
      </c>
      <c r="Y25" s="34">
        <f>(3100+50)/$D$69</f>
        <v>182.8125</v>
      </c>
      <c r="Z25" s="34">
        <f>(6274+60)/$D$59</f>
        <v>104.52145214521452</v>
      </c>
      <c r="AA25" s="67">
        <f t="shared" si="4"/>
        <v>0.57174127669177177</v>
      </c>
      <c r="AB25" s="34"/>
      <c r="AC25" s="34"/>
      <c r="AD25" s="67" t="str">
        <f t="shared" si="5"/>
        <v/>
      </c>
      <c r="AE25" s="34"/>
      <c r="AF25" s="34"/>
      <c r="AG25" s="67" t="str">
        <f t="shared" si="6"/>
        <v/>
      </c>
      <c r="AJ25" s="67" t="str">
        <f t="shared" si="7"/>
        <v/>
      </c>
      <c r="AM25" s="67" t="str">
        <f t="shared" si="8"/>
        <v/>
      </c>
      <c r="AP25" s="67" t="str">
        <f t="shared" si="9"/>
        <v/>
      </c>
      <c r="AQ25" s="18"/>
      <c r="AR25" s="18"/>
      <c r="AS25" s="67" t="str">
        <f t="shared" si="10"/>
        <v/>
      </c>
      <c r="AT25" s="18"/>
      <c r="AU25" s="18"/>
      <c r="AV25" s="67" t="str">
        <f t="shared" si="11"/>
        <v/>
      </c>
      <c r="AW25" s="18"/>
      <c r="AX25" s="18"/>
      <c r="AY25" s="67" t="str">
        <f t="shared" si="12"/>
        <v/>
      </c>
    </row>
    <row r="26" spans="1:51" s="3" customFormat="1" ht="15" customHeight="1" x14ac:dyDescent="0.3">
      <c r="A26" s="15" t="s">
        <v>52</v>
      </c>
      <c r="B26" s="15" t="s">
        <v>42</v>
      </c>
      <c r="C26" s="34">
        <f>960*$D$74</f>
        <v>2228.5714285714289</v>
      </c>
      <c r="D26" s="34">
        <f>(288000/$D$64)</f>
        <v>5760.0018230536534</v>
      </c>
      <c r="E26" s="67">
        <f>D26/C26</f>
        <v>2.5846162026522799</v>
      </c>
      <c r="F26" s="15" t="s">
        <v>42</v>
      </c>
      <c r="G26" s="34">
        <f>(24631)/$D$69</f>
        <v>1429.4776785714287</v>
      </c>
      <c r="H26" s="34">
        <f>(52399.5)/$D$63</f>
        <v>1007.6826923076923</v>
      </c>
      <c r="I26" s="67">
        <f t="shared" si="17"/>
        <v>0.70493069420624743</v>
      </c>
      <c r="J26" s="34"/>
      <c r="K26" s="15" t="s">
        <v>42</v>
      </c>
      <c r="L26" s="34">
        <f>67494/$D$69</f>
        <v>3917.0625</v>
      </c>
      <c r="M26" s="34">
        <f>(206272)/$D$62</f>
        <v>3819.8518518518517</v>
      </c>
      <c r="N26" s="67">
        <f t="shared" si="1"/>
        <v>0.97518276817177452</v>
      </c>
      <c r="O26" s="15" t="s">
        <v>42</v>
      </c>
      <c r="P26" s="34">
        <f>(37911)/$D$69</f>
        <v>2200.1919642857142</v>
      </c>
      <c r="Q26" s="34">
        <f>(113682)/$D$61</f>
        <v>1994.421052631579</v>
      </c>
      <c r="R26" s="67">
        <f t="shared" si="2"/>
        <v>0.90647592801251864</v>
      </c>
      <c r="S26" s="15" t="s">
        <v>42</v>
      </c>
      <c r="T26" s="39">
        <f>(57046.95+31243.15+1081.25+1.25+8182)/$D$69</f>
        <v>5661.6508928571438</v>
      </c>
      <c r="U26" s="39">
        <f>(168967+161960+3316+12+32030)/$D$60</f>
        <v>6540.8035714285716</v>
      </c>
      <c r="V26" s="67">
        <f t="shared" si="3"/>
        <v>1.1552820361426002</v>
      </c>
      <c r="W26" s="15" t="s">
        <v>42</v>
      </c>
      <c r="X26" s="15" t="s">
        <v>118</v>
      </c>
      <c r="Y26" s="34">
        <f>(4339+50149.7+4800+191.5+214+69568+2280+718)/$D$69</f>
        <v>7675.8151785714299</v>
      </c>
      <c r="Z26" s="34">
        <f>(15240+163078+14400+415+900+13200+10410+2880)/$D$59</f>
        <v>3638.9933993399341</v>
      </c>
      <c r="AA26" s="67">
        <f t="shared" si="4"/>
        <v>0.4740855941267203</v>
      </c>
      <c r="AB26" s="34">
        <f>(18326+181103+6467)/$D$68</f>
        <v>1838.3571428571429</v>
      </c>
      <c r="AC26" s="34">
        <f>144+1443+57</f>
        <v>1644</v>
      </c>
      <c r="AD26" s="67">
        <f t="shared" si="5"/>
        <v>0.89427672222869792</v>
      </c>
      <c r="AE26" s="34">
        <f>4095/$D$68</f>
        <v>36.5625</v>
      </c>
      <c r="AF26" s="34">
        <v>219</v>
      </c>
      <c r="AG26" s="67">
        <f t="shared" si="6"/>
        <v>5.9897435897435898</v>
      </c>
      <c r="AH26" s="3">
        <v>2722</v>
      </c>
      <c r="AI26" s="3">
        <v>3025</v>
      </c>
      <c r="AJ26" s="67">
        <f t="shared" si="7"/>
        <v>1.1113152094048493</v>
      </c>
      <c r="AK26" s="3">
        <v>1948</v>
      </c>
      <c r="AL26" s="3">
        <v>2174</v>
      </c>
      <c r="AM26" s="67">
        <f t="shared" si="8"/>
        <v>1.1160164271047228</v>
      </c>
      <c r="AN26" s="34">
        <v>2515</v>
      </c>
      <c r="AO26" s="34">
        <v>2714</v>
      </c>
      <c r="AP26" s="67">
        <f t="shared" si="9"/>
        <v>1.0791252485089464</v>
      </c>
      <c r="AQ26" s="34">
        <v>2042</v>
      </c>
      <c r="AR26" s="34">
        <v>2255</v>
      </c>
      <c r="AS26" s="67">
        <f t="shared" si="10"/>
        <v>1.1043095004897159</v>
      </c>
      <c r="AT26" s="34">
        <v>1575</v>
      </c>
      <c r="AU26" s="34">
        <v>1911</v>
      </c>
      <c r="AV26" s="67">
        <f t="shared" si="11"/>
        <v>1.2133333333333334</v>
      </c>
      <c r="AW26" s="34">
        <v>147</v>
      </c>
      <c r="AX26" s="34">
        <v>1297</v>
      </c>
      <c r="AY26" s="67">
        <f t="shared" si="12"/>
        <v>8.8231292517006796</v>
      </c>
    </row>
    <row r="27" spans="1:51" s="3" customFormat="1" ht="15" customHeight="1" x14ac:dyDescent="0.3">
      <c r="A27" s="15" t="s">
        <v>269</v>
      </c>
      <c r="B27" s="15" t="s">
        <v>42</v>
      </c>
      <c r="C27" s="34"/>
      <c r="D27" s="34"/>
      <c r="E27" s="34"/>
      <c r="F27" s="15" t="s">
        <v>42</v>
      </c>
      <c r="G27" s="34">
        <f>2876/$D$69+374*$F$136</f>
        <v>678.23883928571433</v>
      </c>
      <c r="H27" s="34">
        <f>(26850)/$D$63</f>
        <v>516.34615384615381</v>
      </c>
      <c r="I27" s="67">
        <f t="shared" si="17"/>
        <v>0.76130431337424231</v>
      </c>
      <c r="J27" s="34"/>
      <c r="K27" s="15" t="s">
        <v>42</v>
      </c>
      <c r="L27" s="34">
        <f>(8580)/$D$69</f>
        <v>497.94642857142861</v>
      </c>
      <c r="M27" s="34">
        <f>(34500)/$D$62</f>
        <v>638.88888888888891</v>
      </c>
      <c r="N27" s="67">
        <f t="shared" si="1"/>
        <v>1.2830474368935907</v>
      </c>
      <c r="O27" s="15" t="s">
        <v>42</v>
      </c>
      <c r="P27" s="34">
        <f>(5702)/$D$69</f>
        <v>330.91964285714289</v>
      </c>
      <c r="Q27" s="34">
        <f>(27986)/$D$61</f>
        <v>490.98245614035091</v>
      </c>
      <c r="R27" s="67">
        <f t="shared" si="2"/>
        <v>1.4836908800614979</v>
      </c>
      <c r="S27" s="15" t="s">
        <v>42</v>
      </c>
      <c r="T27" s="39">
        <f>(31243.15+1.25)/$D$69</f>
        <v>1813.2910714285715</v>
      </c>
      <c r="U27" s="39">
        <f>(161960+12)/$D$60</f>
        <v>2892.3571428571427</v>
      </c>
      <c r="V27" s="67">
        <f t="shared" si="3"/>
        <v>1.5950870703722413</v>
      </c>
      <c r="W27" s="15" t="s">
        <v>42</v>
      </c>
      <c r="X27" s="15" t="s">
        <v>118</v>
      </c>
      <c r="Y27" s="34">
        <f>6638/$D$69</f>
        <v>385.24107142857144</v>
      </c>
      <c r="Z27" s="34">
        <f>29000/$D$59</f>
        <v>478.54785478547853</v>
      </c>
      <c r="AA27" s="67">
        <f t="shared" si="4"/>
        <v>1.2422036233335711</v>
      </c>
      <c r="AB27" s="34">
        <f>35238/$D$68</f>
        <v>314.625</v>
      </c>
      <c r="AC27" s="34">
        <v>456</v>
      </c>
      <c r="AD27" s="67">
        <f t="shared" si="5"/>
        <v>1.4493444576877235</v>
      </c>
      <c r="AE27" s="34">
        <f>5269.5/$D$68</f>
        <v>47.049107142857146</v>
      </c>
      <c r="AF27" s="34">
        <v>555</v>
      </c>
      <c r="AG27" s="67">
        <f t="shared" si="6"/>
        <v>11.79618559635639</v>
      </c>
      <c r="AH27" s="18">
        <v>448</v>
      </c>
      <c r="AI27" s="18">
        <v>908</v>
      </c>
      <c r="AJ27" s="67">
        <f t="shared" si="7"/>
        <v>2.0267857142857144</v>
      </c>
      <c r="AK27" s="18">
        <v>795</v>
      </c>
      <c r="AL27" s="18">
        <v>1970</v>
      </c>
      <c r="AM27" s="67">
        <f t="shared" si="8"/>
        <v>2.4779874213836477</v>
      </c>
      <c r="AN27" s="18">
        <v>583</v>
      </c>
      <c r="AO27" s="18">
        <v>1059</v>
      </c>
      <c r="AP27" s="67">
        <f t="shared" si="9"/>
        <v>1.8164665523156089</v>
      </c>
      <c r="AQ27" s="18">
        <v>636</v>
      </c>
      <c r="AR27" s="18">
        <v>1384</v>
      </c>
      <c r="AS27" s="67">
        <f t="shared" si="10"/>
        <v>2.1761006289308176</v>
      </c>
      <c r="AT27" s="18">
        <v>560</v>
      </c>
      <c r="AU27" s="18">
        <v>1322</v>
      </c>
      <c r="AV27" s="67">
        <f t="shared" si="11"/>
        <v>2.3607142857142858</v>
      </c>
      <c r="AW27" s="18">
        <v>974</v>
      </c>
      <c r="AX27" s="18">
        <v>2349</v>
      </c>
      <c r="AY27" s="67">
        <f t="shared" si="12"/>
        <v>2.4117043121149897</v>
      </c>
    </row>
    <row r="28" spans="1:51" s="3" customFormat="1" ht="15" customHeight="1" x14ac:dyDescent="0.3">
      <c r="A28" s="15" t="s">
        <v>268</v>
      </c>
      <c r="B28" s="15" t="s">
        <v>42</v>
      </c>
      <c r="C28" s="34"/>
      <c r="D28" s="34"/>
      <c r="E28" s="34"/>
      <c r="F28" s="15" t="s">
        <v>42</v>
      </c>
      <c r="G28" s="34"/>
      <c r="H28" s="34"/>
      <c r="I28" s="34"/>
      <c r="J28" s="34"/>
      <c r="K28" s="15" t="s">
        <v>42</v>
      </c>
      <c r="L28" s="34"/>
      <c r="M28" s="34"/>
      <c r="N28" s="67" t="str">
        <f t="shared" si="1"/>
        <v/>
      </c>
      <c r="O28" s="15" t="s">
        <v>42</v>
      </c>
      <c r="P28" s="34"/>
      <c r="Q28" s="34"/>
      <c r="R28" s="67" t="str">
        <f t="shared" si="2"/>
        <v/>
      </c>
      <c r="S28" s="15" t="s">
        <v>42</v>
      </c>
      <c r="T28" s="39">
        <f>(3994.5+187.5)/$D$69</f>
        <v>242.70535714285717</v>
      </c>
      <c r="U28" s="39">
        <f>(32174+2324)/$D$60</f>
        <v>616.03571428571433</v>
      </c>
      <c r="V28" s="67">
        <f t="shared" si="3"/>
        <v>2.5382040245741821</v>
      </c>
      <c r="W28" s="15" t="s">
        <v>42</v>
      </c>
      <c r="X28" s="15" t="s">
        <v>118</v>
      </c>
      <c r="Y28" s="34">
        <f>1300.9/$D$69</f>
        <v>75.49866071428572</v>
      </c>
      <c r="Z28" s="34">
        <f>19933/$D$59</f>
        <v>328.9273927392739</v>
      </c>
      <c r="AA28" s="67">
        <f t="shared" si="4"/>
        <v>4.3567314920201605</v>
      </c>
      <c r="AB28" s="34">
        <f>15304/$D$68</f>
        <v>136.64285714285714</v>
      </c>
      <c r="AC28" s="34">
        <v>692</v>
      </c>
      <c r="AD28" s="67">
        <f t="shared" si="5"/>
        <v>5.0642969158389963</v>
      </c>
      <c r="AE28" s="34">
        <f>4428.45/$D$68</f>
        <v>39.53973214285714</v>
      </c>
      <c r="AF28" s="34">
        <v>1838</v>
      </c>
      <c r="AG28" s="67">
        <f t="shared" si="6"/>
        <v>46.484887488850504</v>
      </c>
      <c r="AH28" s="18">
        <v>49</v>
      </c>
      <c r="AI28" s="18">
        <v>276</v>
      </c>
      <c r="AJ28" s="67">
        <f t="shared" si="7"/>
        <v>5.6326530612244898</v>
      </c>
      <c r="AK28" s="18">
        <v>69</v>
      </c>
      <c r="AL28" s="18">
        <v>428</v>
      </c>
      <c r="AM28" s="67">
        <f t="shared" si="8"/>
        <v>6.2028985507246377</v>
      </c>
      <c r="AN28" s="18">
        <v>115</v>
      </c>
      <c r="AO28" s="18">
        <v>847</v>
      </c>
      <c r="AP28" s="67">
        <f t="shared" si="9"/>
        <v>7.3652173913043475</v>
      </c>
      <c r="AQ28" s="18">
        <v>246</v>
      </c>
      <c r="AR28" s="18">
        <v>1225</v>
      </c>
      <c r="AS28" s="67">
        <f t="shared" si="10"/>
        <v>4.9796747967479673</v>
      </c>
      <c r="AT28" s="18">
        <v>172</v>
      </c>
      <c r="AU28" s="18">
        <v>781</v>
      </c>
      <c r="AV28" s="67">
        <f t="shared" si="11"/>
        <v>4.5406976744186043</v>
      </c>
      <c r="AW28" s="18">
        <v>67</v>
      </c>
      <c r="AX28" s="18">
        <v>781</v>
      </c>
      <c r="AY28" s="67">
        <f t="shared" si="12"/>
        <v>11.656716417910447</v>
      </c>
    </row>
    <row r="29" spans="1:51" s="3" customFormat="1" ht="15" customHeight="1" x14ac:dyDescent="0.3">
      <c r="A29" s="15" t="s">
        <v>53</v>
      </c>
      <c r="B29" s="15" t="s">
        <v>42</v>
      </c>
      <c r="C29" s="34"/>
      <c r="D29" s="34"/>
      <c r="E29" s="34"/>
      <c r="F29" s="15" t="s">
        <v>42</v>
      </c>
      <c r="G29" s="34">
        <f>(12781)/$D$69</f>
        <v>741.75446428571433</v>
      </c>
      <c r="H29" s="34">
        <f>(113102.5)/$D$63</f>
        <v>2175.0480769230771</v>
      </c>
      <c r="I29" s="67">
        <f t="shared" ref="I29:I31" si="18">H29/G29</f>
        <v>2.9323019700563289</v>
      </c>
      <c r="J29" s="34"/>
      <c r="K29" s="15" t="s">
        <v>42</v>
      </c>
      <c r="L29" s="34">
        <f>(12210)/$D$69</f>
        <v>708.61607142857144</v>
      </c>
      <c r="M29" s="34">
        <f>(206272)/$D$62</f>
        <v>3819.8518518518517</v>
      </c>
      <c r="N29" s="67">
        <f t="shared" si="1"/>
        <v>5.3905803239136567</v>
      </c>
      <c r="O29" s="15" t="s">
        <v>42</v>
      </c>
      <c r="P29" s="34">
        <f>(13028)/$D$69</f>
        <v>756.08928571428578</v>
      </c>
      <c r="Q29" s="34">
        <f>(231552)/$D$61</f>
        <v>4062.3157894736842</v>
      </c>
      <c r="R29" s="67">
        <f t="shared" si="2"/>
        <v>5.3727990413671449</v>
      </c>
      <c r="S29" s="15" t="s">
        <v>42</v>
      </c>
      <c r="T29" s="39">
        <f>(17739.82+9761.83+10.5)/$D$69</f>
        <v>1596.6872767857144</v>
      </c>
      <c r="U29" s="39">
        <f>(410822+223007+42)/$D$60</f>
        <v>11319.125</v>
      </c>
      <c r="V29" s="67">
        <f t="shared" si="3"/>
        <v>7.0891308301688802</v>
      </c>
      <c r="W29" s="15" t="s">
        <v>42</v>
      </c>
      <c r="X29" s="15" t="s">
        <v>118</v>
      </c>
      <c r="Y29" s="34">
        <f>13101.5/$D$69</f>
        <v>760.35491071428578</v>
      </c>
      <c r="Z29" s="34">
        <f>258432/$D$59</f>
        <v>4264.5544554455446</v>
      </c>
      <c r="AA29" s="67">
        <f t="shared" si="4"/>
        <v>5.6086366976171362</v>
      </c>
      <c r="AB29" s="34">
        <f>148830/$D$68</f>
        <v>1328.8392857142858</v>
      </c>
      <c r="AC29" s="34">
        <v>5747</v>
      </c>
      <c r="AD29" s="67">
        <f t="shared" si="5"/>
        <v>4.3248269838070277</v>
      </c>
      <c r="AE29" s="34">
        <f>15278.5/$D$68</f>
        <v>136.41517857142858</v>
      </c>
      <c r="AF29" s="34">
        <v>14234</v>
      </c>
      <c r="AG29" s="67">
        <f t="shared" si="6"/>
        <v>104.34322741106783</v>
      </c>
      <c r="AH29" s="18">
        <v>1399</v>
      </c>
      <c r="AI29" s="18">
        <v>13883</v>
      </c>
      <c r="AJ29" s="67">
        <f t="shared" si="7"/>
        <v>9.9235167977126526</v>
      </c>
      <c r="AK29" s="18">
        <v>718</v>
      </c>
      <c r="AL29" s="18">
        <v>5802</v>
      </c>
      <c r="AM29" s="67">
        <f t="shared" si="8"/>
        <v>8.0807799442896933</v>
      </c>
      <c r="AN29" s="18">
        <v>982</v>
      </c>
      <c r="AO29" s="18">
        <v>8241</v>
      </c>
      <c r="AP29" s="67">
        <f t="shared" si="9"/>
        <v>8.3920570264765786</v>
      </c>
      <c r="AQ29" s="18">
        <v>872</v>
      </c>
      <c r="AR29" s="18">
        <v>6804</v>
      </c>
      <c r="AS29" s="67">
        <f t="shared" si="10"/>
        <v>7.8027522935779814</v>
      </c>
      <c r="AT29" s="18">
        <v>602</v>
      </c>
      <c r="AU29" s="18">
        <v>7076</v>
      </c>
      <c r="AV29" s="67">
        <f t="shared" si="11"/>
        <v>11.754152823920267</v>
      </c>
      <c r="AW29" s="18">
        <v>1439</v>
      </c>
      <c r="AX29" s="18">
        <v>13512</v>
      </c>
      <c r="AY29" s="67">
        <f t="shared" si="12"/>
        <v>9.3898540653231404</v>
      </c>
    </row>
    <row r="30" spans="1:51" s="3" customFormat="1" ht="15" customHeight="1" x14ac:dyDescent="0.3">
      <c r="A30" s="15" t="s">
        <v>54</v>
      </c>
      <c r="B30" s="15" t="s">
        <v>42</v>
      </c>
      <c r="C30" s="34">
        <f>1260*$D$74</f>
        <v>2925.0000000000005</v>
      </c>
      <c r="D30" s="34">
        <f>(596000/$D$64)</f>
        <v>11920.003772708254</v>
      </c>
      <c r="E30" s="67">
        <f>D30/C30</f>
        <v>4.0752149650284624</v>
      </c>
      <c r="F30" s="15" t="s">
        <v>42</v>
      </c>
      <c r="G30" s="34">
        <f>(6021)/$D$69</f>
        <v>349.43303571428572</v>
      </c>
      <c r="H30" s="34">
        <f>(60390)/$D$63</f>
        <v>1161.3461538461538</v>
      </c>
      <c r="I30" s="67">
        <f t="shared" si="18"/>
        <v>3.3235156243090009</v>
      </c>
      <c r="J30" s="34"/>
      <c r="K30" s="15" t="s">
        <v>42</v>
      </c>
      <c r="L30" s="34">
        <f>(17290)/$D$69</f>
        <v>1003.4375</v>
      </c>
      <c r="M30" s="34">
        <f>(196903)/$D$62</f>
        <v>3646.3518518518517</v>
      </c>
      <c r="N30" s="67">
        <f t="shared" si="1"/>
        <v>3.633860456532521</v>
      </c>
      <c r="O30" s="15" t="s">
        <v>42</v>
      </c>
      <c r="P30" s="34">
        <f>(33590)/$D$69</f>
        <v>1949.4196428571429</v>
      </c>
      <c r="Q30" s="34">
        <f>(451103)/$D$61</f>
        <v>7914.0877192982452</v>
      </c>
      <c r="R30" s="67">
        <f t="shared" si="2"/>
        <v>4.0597147711608468</v>
      </c>
      <c r="S30" s="15" t="s">
        <v>42</v>
      </c>
      <c r="T30" s="39">
        <f>(101143.5+13.5+2999.33)/$D$69</f>
        <v>6044.7870089285716</v>
      </c>
      <c r="U30" s="39">
        <f>(1330041+243+29902)/$D$60</f>
        <v>24289.035714285714</v>
      </c>
      <c r="V30" s="67">
        <f t="shared" si="3"/>
        <v>4.0181789165456312</v>
      </c>
      <c r="W30" s="15" t="s">
        <v>42</v>
      </c>
      <c r="X30" s="15" t="s">
        <v>118</v>
      </c>
      <c r="Y30" s="34">
        <f>(88735.65+4609)/$D$69</f>
        <v>5417.3234375000002</v>
      </c>
      <c r="Z30" s="34">
        <f>(1155697+47640)/$D$59</f>
        <v>19857.046204620463</v>
      </c>
      <c r="AA30" s="67">
        <f t="shared" si="4"/>
        <v>3.6654717839376674</v>
      </c>
      <c r="AB30" s="34">
        <f>13169/$D$68</f>
        <v>117.58035714285714</v>
      </c>
      <c r="AC30" s="34">
        <v>442</v>
      </c>
      <c r="AD30" s="67">
        <f t="shared" si="5"/>
        <v>3.759131293188549</v>
      </c>
      <c r="AE30" s="34"/>
      <c r="AF30" s="34"/>
      <c r="AG30" s="67" t="str">
        <f t="shared" si="6"/>
        <v/>
      </c>
      <c r="AH30" s="18">
        <v>448</v>
      </c>
      <c r="AI30" s="18">
        <v>2690</v>
      </c>
      <c r="AJ30" s="67">
        <f t="shared" si="7"/>
        <v>6.0044642857142856</v>
      </c>
      <c r="AK30" s="18">
        <v>2175</v>
      </c>
      <c r="AL30" s="18">
        <v>10714</v>
      </c>
      <c r="AM30" s="67">
        <f t="shared" si="8"/>
        <v>4.9259770114942532</v>
      </c>
      <c r="AN30" s="18">
        <v>2651</v>
      </c>
      <c r="AO30" s="18">
        <v>13254</v>
      </c>
      <c r="AP30" s="67">
        <f t="shared" si="9"/>
        <v>4.9996227838551492</v>
      </c>
      <c r="AQ30" s="18">
        <v>11270</v>
      </c>
      <c r="AR30" s="18">
        <v>56890</v>
      </c>
      <c r="AS30" s="67">
        <f t="shared" si="10"/>
        <v>5.0479148181011535</v>
      </c>
      <c r="AT30" s="18">
        <v>8450</v>
      </c>
      <c r="AU30" s="18">
        <v>42201</v>
      </c>
      <c r="AV30" s="67">
        <f t="shared" si="11"/>
        <v>4.9942011834319526</v>
      </c>
      <c r="AW30" s="18">
        <v>354</v>
      </c>
      <c r="AX30" s="18">
        <v>1899</v>
      </c>
      <c r="AY30" s="67">
        <f t="shared" si="12"/>
        <v>5.3644067796610173</v>
      </c>
    </row>
    <row r="31" spans="1:51" s="3" customFormat="1" ht="15" customHeight="1" x14ac:dyDescent="0.3">
      <c r="A31" s="15" t="s">
        <v>266</v>
      </c>
      <c r="B31" s="15" t="s">
        <v>42</v>
      </c>
      <c r="C31" s="34"/>
      <c r="D31" s="34"/>
      <c r="E31" s="34"/>
      <c r="F31" s="15" t="s">
        <v>42</v>
      </c>
      <c r="G31" s="34">
        <f>(8306)/$D$69</f>
        <v>482.04464285714289</v>
      </c>
      <c r="H31" s="34">
        <f>(34171)/$D$63</f>
        <v>657.13461538461536</v>
      </c>
      <c r="I31" s="67">
        <f t="shared" si="18"/>
        <v>1.3632235626345537</v>
      </c>
      <c r="J31" s="34"/>
      <c r="K31" s="15" t="s">
        <v>42</v>
      </c>
      <c r="L31" s="34">
        <f>(620+13475)/$D$69</f>
        <v>818.01339285714289</v>
      </c>
      <c r="M31" s="34">
        <f>(5080+63237)/$D$62</f>
        <v>1265.1296296296296</v>
      </c>
      <c r="N31" s="67">
        <f t="shared" si="1"/>
        <v>1.5465879173576937</v>
      </c>
      <c r="O31" s="15" t="s">
        <v>42</v>
      </c>
      <c r="P31" s="34">
        <f>(7041)/$D$69</f>
        <v>408.62946428571428</v>
      </c>
      <c r="Q31" s="34">
        <f>(40128)/$D$61</f>
        <v>704</v>
      </c>
      <c r="R31" s="67">
        <f t="shared" si="2"/>
        <v>1.7228322025936003</v>
      </c>
      <c r="S31" s="15" t="s">
        <v>42</v>
      </c>
      <c r="T31" s="39">
        <f>(15450.795+109+60+2+212.3+219+1711.58)/$D$69</f>
        <v>1030.9856026785715</v>
      </c>
      <c r="U31" s="39">
        <f>(79529+794+720+40+2625+4432+8295)/$D$60</f>
        <v>1722.0535714285713</v>
      </c>
      <c r="V31" s="67">
        <f t="shared" si="3"/>
        <v>1.670298369787665</v>
      </c>
      <c r="W31" s="15" t="s">
        <v>42</v>
      </c>
      <c r="X31" s="15" t="s">
        <v>118</v>
      </c>
      <c r="Y31" s="34">
        <f>(50+14125.5+5.5+661+1392+455+6)/$D$69</f>
        <v>968.90625</v>
      </c>
      <c r="Z31" s="34">
        <f>(30000+73102+20+3420+7110+2530+5)/$D$59</f>
        <v>1917.2772277227723</v>
      </c>
      <c r="AA31" s="67">
        <f t="shared" si="4"/>
        <v>1.978805718017375</v>
      </c>
      <c r="AB31" s="34">
        <f>(70648+263)/$D$68</f>
        <v>633.13392857142856</v>
      </c>
      <c r="AC31" s="34">
        <f>906+11</f>
        <v>917</v>
      </c>
      <c r="AD31" s="67">
        <f t="shared" si="5"/>
        <v>1.4483507495311023</v>
      </c>
      <c r="AE31" s="34">
        <f>(11584.5+1011.5)/$D$68</f>
        <v>112.46428571428571</v>
      </c>
      <c r="AF31" s="34">
        <f>(1106+541)</f>
        <v>1647</v>
      </c>
      <c r="AG31" s="67">
        <f t="shared" si="6"/>
        <v>14.644649094950779</v>
      </c>
      <c r="AH31" s="18">
        <f>975+10</f>
        <v>985</v>
      </c>
      <c r="AI31" s="18">
        <f>1556+102</f>
        <v>1658</v>
      </c>
      <c r="AJ31" s="67">
        <f t="shared" si="7"/>
        <v>1.683248730964467</v>
      </c>
      <c r="AK31" s="18">
        <f>1414+28</f>
        <v>1442</v>
      </c>
      <c r="AL31" s="18">
        <f>2328+183</f>
        <v>2511</v>
      </c>
      <c r="AM31" s="67">
        <f t="shared" si="8"/>
        <v>1.7413314840499305</v>
      </c>
      <c r="AN31" s="18">
        <f>823+51</f>
        <v>874</v>
      </c>
      <c r="AO31" s="18">
        <f>97+1642</f>
        <v>1739</v>
      </c>
      <c r="AP31" s="67">
        <f t="shared" si="9"/>
        <v>1.9897025171624714</v>
      </c>
      <c r="AQ31" s="18">
        <v>803</v>
      </c>
      <c r="AR31" s="18">
        <v>1483</v>
      </c>
      <c r="AS31" s="67">
        <f t="shared" si="10"/>
        <v>1.8468244084682441</v>
      </c>
      <c r="AT31" s="18">
        <v>1612</v>
      </c>
      <c r="AU31" s="18">
        <v>2839</v>
      </c>
      <c r="AV31" s="67">
        <f t="shared" si="11"/>
        <v>1.7611662531017369</v>
      </c>
      <c r="AW31" s="18">
        <v>724</v>
      </c>
      <c r="AX31" s="18">
        <v>3914</v>
      </c>
      <c r="AY31" s="67">
        <f t="shared" si="12"/>
        <v>5.4060773480662982</v>
      </c>
    </row>
    <row r="32" spans="1:51" s="3" customFormat="1" ht="15" customHeight="1" x14ac:dyDescent="0.3">
      <c r="A32" s="15" t="s">
        <v>55</v>
      </c>
      <c r="B32" s="15" t="s">
        <v>42</v>
      </c>
      <c r="C32" s="34"/>
      <c r="D32" s="34"/>
      <c r="E32" s="34"/>
      <c r="F32" s="15" t="s">
        <v>42</v>
      </c>
      <c r="G32" s="34"/>
      <c r="H32" s="34"/>
      <c r="I32" s="34" t="s">
        <v>175</v>
      </c>
      <c r="J32" s="34"/>
      <c r="K32" s="15" t="s">
        <v>42</v>
      </c>
      <c r="L32" s="34"/>
      <c r="M32" s="34"/>
      <c r="N32" s="67" t="str">
        <f t="shared" si="1"/>
        <v/>
      </c>
      <c r="O32" s="15" t="s">
        <v>42</v>
      </c>
      <c r="P32" s="34"/>
      <c r="Q32" s="34"/>
      <c r="R32" s="67" t="str">
        <f t="shared" si="2"/>
        <v/>
      </c>
      <c r="S32" s="15" t="s">
        <v>42</v>
      </c>
      <c r="T32" s="39"/>
      <c r="U32" s="39"/>
      <c r="V32" s="67" t="str">
        <f t="shared" si="3"/>
        <v/>
      </c>
      <c r="W32" s="15" t="s">
        <v>42</v>
      </c>
      <c r="X32" s="15" t="s">
        <v>118</v>
      </c>
      <c r="Y32" s="34"/>
      <c r="Z32" s="34"/>
      <c r="AA32" s="67"/>
      <c r="AB32" s="34"/>
      <c r="AC32" s="34"/>
      <c r="AD32" s="67" t="str">
        <f t="shared" si="5"/>
        <v/>
      </c>
      <c r="AE32" s="34"/>
      <c r="AF32" s="34"/>
      <c r="AG32" s="67" t="str">
        <f t="shared" si="6"/>
        <v/>
      </c>
      <c r="AH32" s="18"/>
      <c r="AI32" s="18"/>
      <c r="AJ32" s="67" t="str">
        <f t="shared" si="7"/>
        <v/>
      </c>
      <c r="AK32" s="18"/>
      <c r="AL32" s="18"/>
      <c r="AM32" s="67" t="str">
        <f t="shared" si="8"/>
        <v/>
      </c>
      <c r="AN32" s="18">
        <v>107</v>
      </c>
      <c r="AO32" s="18">
        <v>23193</v>
      </c>
      <c r="AP32" s="67">
        <f t="shared" si="9"/>
        <v>216.75700934579439</v>
      </c>
      <c r="AQ32" s="18">
        <v>72</v>
      </c>
      <c r="AR32" s="18">
        <v>15750</v>
      </c>
      <c r="AS32" s="67">
        <f t="shared" si="10"/>
        <v>218.75</v>
      </c>
      <c r="AT32" s="18"/>
      <c r="AU32" s="18">
        <v>6</v>
      </c>
      <c r="AV32" s="67" t="str">
        <f t="shared" si="11"/>
        <v/>
      </c>
      <c r="AW32" s="18"/>
      <c r="AX32" s="18"/>
      <c r="AY32" s="67" t="str">
        <f t="shared" si="12"/>
        <v/>
      </c>
    </row>
    <row r="33" spans="1:51" s="3" customFormat="1" ht="15.6" customHeight="1" x14ac:dyDescent="0.3">
      <c r="A33" s="15" t="s">
        <v>270</v>
      </c>
      <c r="B33" s="15" t="s">
        <v>42</v>
      </c>
      <c r="C33" s="34"/>
      <c r="D33" s="34"/>
      <c r="E33" s="34"/>
      <c r="F33" s="68" t="s">
        <v>42</v>
      </c>
      <c r="G33" s="75" t="s">
        <v>229</v>
      </c>
      <c r="H33" s="34">
        <f>(74224.5)/$D$63</f>
        <v>1427.3942307692307</v>
      </c>
      <c r="I33" s="34"/>
      <c r="J33" s="34"/>
      <c r="K33" s="15" t="s">
        <v>42</v>
      </c>
      <c r="L33" s="34"/>
      <c r="M33" s="34"/>
      <c r="N33" s="67" t="str">
        <f t="shared" si="1"/>
        <v/>
      </c>
      <c r="O33" s="15" t="s">
        <v>42</v>
      </c>
      <c r="P33" s="34">
        <f>(68283)/$D$69</f>
        <v>3962.8526785714289</v>
      </c>
      <c r="Q33" s="34">
        <f>(786498)/$D$61</f>
        <v>13798.21052631579</v>
      </c>
      <c r="R33" s="67">
        <f t="shared" si="2"/>
        <v>3.481888337895497</v>
      </c>
      <c r="S33" s="15" t="s">
        <v>42</v>
      </c>
      <c r="T33" s="39">
        <f>(113749.15+150.625+8)/$D$69</f>
        <v>6610.7190848214286</v>
      </c>
      <c r="U33" s="39">
        <f>(1347038+6933+105)/$D$60</f>
        <v>24179.928571428572</v>
      </c>
      <c r="V33" s="67">
        <f t="shared" si="3"/>
        <v>3.6576850810295367</v>
      </c>
      <c r="W33" s="15" t="s">
        <v>42</v>
      </c>
      <c r="X33" s="15" t="s">
        <v>118</v>
      </c>
      <c r="Y33" s="34">
        <f>98555.75/$D$69</f>
        <v>5719.7533482142862</v>
      </c>
      <c r="Z33" s="34">
        <f>608184/$D$59</f>
        <v>10036.039603960397</v>
      </c>
      <c r="AA33" s="67">
        <f t="shared" si="4"/>
        <v>1.7546280395279037</v>
      </c>
      <c r="AB33" s="86">
        <f>104/$D$68</f>
        <v>0.9285714285714286</v>
      </c>
      <c r="AC33" s="34">
        <v>1</v>
      </c>
      <c r="AD33" s="67">
        <f t="shared" si="5"/>
        <v>1.0769230769230769</v>
      </c>
      <c r="AE33" s="34">
        <f>60425.8/$D$68</f>
        <v>539.51607142857142</v>
      </c>
      <c r="AF33" s="34">
        <v>16323</v>
      </c>
      <c r="AG33" s="67">
        <f t="shared" si="6"/>
        <v>30.254891122666145</v>
      </c>
      <c r="AH33" s="18">
        <v>6230</v>
      </c>
      <c r="AI33" s="18">
        <v>27227</v>
      </c>
      <c r="AJ33" s="67">
        <f t="shared" si="7"/>
        <v>4.3703049759229531</v>
      </c>
      <c r="AK33" s="18">
        <v>4900</v>
      </c>
      <c r="AL33" s="18">
        <v>23645</v>
      </c>
      <c r="AM33" s="67">
        <f t="shared" si="8"/>
        <v>4.8255102040816329</v>
      </c>
      <c r="AN33" s="18">
        <v>9982</v>
      </c>
      <c r="AO33" s="18">
        <v>45828</v>
      </c>
      <c r="AP33" s="67">
        <f t="shared" si="9"/>
        <v>4.5910639150470844</v>
      </c>
      <c r="AQ33" s="18">
        <v>6690</v>
      </c>
      <c r="AR33" s="18">
        <v>32899</v>
      </c>
      <c r="AS33" s="67">
        <f t="shared" si="10"/>
        <v>4.9176382660687592</v>
      </c>
      <c r="AT33" s="18">
        <v>8075</v>
      </c>
      <c r="AU33" s="18">
        <v>41630</v>
      </c>
      <c r="AV33" s="67">
        <f t="shared" si="11"/>
        <v>5.1554179566563469</v>
      </c>
      <c r="AW33" s="18">
        <v>7223</v>
      </c>
      <c r="AX33" s="18">
        <v>41546</v>
      </c>
      <c r="AY33" s="67">
        <f t="shared" si="12"/>
        <v>5.7519036411463382</v>
      </c>
    </row>
    <row r="34" spans="1:51" s="3" customFormat="1" ht="13.8" customHeight="1" x14ac:dyDescent="0.3">
      <c r="A34" s="15" t="s">
        <v>56</v>
      </c>
      <c r="B34" s="15" t="s">
        <v>42</v>
      </c>
      <c r="C34" s="34"/>
      <c r="D34" s="34"/>
      <c r="E34" s="34"/>
      <c r="F34" s="68" t="s">
        <v>42</v>
      </c>
      <c r="G34" s="76" t="s">
        <v>230</v>
      </c>
      <c r="H34" s="34">
        <f>(19033139.5)/$D$63</f>
        <v>366021.91346153844</v>
      </c>
      <c r="I34" s="34"/>
      <c r="J34" s="34"/>
      <c r="K34" s="15" t="s">
        <v>42</v>
      </c>
      <c r="L34" s="34">
        <f>(964286+773379)/$D$69</f>
        <v>100846.62946428572</v>
      </c>
      <c r="M34" s="34">
        <f>(15445000+19573095)/$D$62</f>
        <v>648483.24074074079</v>
      </c>
      <c r="N34" s="67">
        <f t="shared" si="1"/>
        <v>6.4303908240225081</v>
      </c>
      <c r="O34" s="15" t="s">
        <v>42</v>
      </c>
      <c r="P34" s="34">
        <f>(908468+792965)/$D$69</f>
        <v>98743.879464285725</v>
      </c>
      <c r="Q34" s="34">
        <f>(14020263+19893184)/$D$61</f>
        <v>594972.75438596494</v>
      </c>
      <c r="R34" s="67">
        <f t="shared" si="2"/>
        <v>6.0254140065578268</v>
      </c>
      <c r="S34" s="15" t="s">
        <v>42</v>
      </c>
      <c r="T34" s="39">
        <f>(1552262.155+3122.225)/$D$69</f>
        <v>90267.843482142867</v>
      </c>
      <c r="U34" s="39">
        <f>(30547661+45121)/$D$60</f>
        <v>546299.67857142852</v>
      </c>
      <c r="V34" s="67">
        <f t="shared" si="3"/>
        <v>6.0519854856120459</v>
      </c>
      <c r="W34" s="15" t="s">
        <v>42</v>
      </c>
      <c r="X34" s="15" t="s">
        <v>118</v>
      </c>
      <c r="Y34" s="34">
        <f>(1528034.37+600.5+1061.5+208.5)/$D$69</f>
        <v>88789.121919642872</v>
      </c>
      <c r="Z34" s="34">
        <f>(33785570+18060+32270+6280)/$D$59</f>
        <v>558451.81518151809</v>
      </c>
      <c r="AA34" s="67">
        <f t="shared" si="4"/>
        <v>6.2896422794555358</v>
      </c>
      <c r="AB34" s="34">
        <f>(8610220+435)/$D$68</f>
        <v>76880.84821428571</v>
      </c>
      <c r="AC34" s="34">
        <f>453806+276</f>
        <v>454082</v>
      </c>
      <c r="AD34" s="67">
        <f t="shared" si="5"/>
        <v>5.9063084051097166</v>
      </c>
      <c r="AE34" s="34">
        <f>1230942.75/$D$68</f>
        <v>10990.560267857143</v>
      </c>
      <c r="AF34" s="34">
        <v>648716</v>
      </c>
      <c r="AG34" s="67">
        <f t="shared" si="6"/>
        <v>59.024834420609729</v>
      </c>
      <c r="AH34" s="18">
        <v>106676</v>
      </c>
      <c r="AI34" s="18">
        <v>853463</v>
      </c>
      <c r="AJ34" s="67">
        <f t="shared" si="7"/>
        <v>8.0005155798867591</v>
      </c>
      <c r="AK34" s="18">
        <v>134180</v>
      </c>
      <c r="AL34" s="18">
        <v>990147</v>
      </c>
      <c r="AM34" s="67">
        <f t="shared" si="8"/>
        <v>7.3792442987032345</v>
      </c>
      <c r="AN34" s="18">
        <v>117422</v>
      </c>
      <c r="AO34" s="18">
        <v>816810</v>
      </c>
      <c r="AP34" s="67">
        <f t="shared" si="9"/>
        <v>6.956192195670317</v>
      </c>
      <c r="AQ34" s="18">
        <v>128561</v>
      </c>
      <c r="AR34" s="18">
        <v>871535</v>
      </c>
      <c r="AS34" s="67">
        <f t="shared" si="10"/>
        <v>6.7791554203840976</v>
      </c>
      <c r="AT34" s="18">
        <v>103672</v>
      </c>
      <c r="AU34" s="18">
        <v>711033</v>
      </c>
      <c r="AV34" s="67">
        <f t="shared" si="11"/>
        <v>6.8584863801219234</v>
      </c>
      <c r="AW34" s="18">
        <v>79785</v>
      </c>
      <c r="AX34" s="18">
        <v>546345</v>
      </c>
      <c r="AY34" s="67">
        <f t="shared" si="12"/>
        <v>6.8477157360406089</v>
      </c>
    </row>
    <row r="35" spans="1:51" s="3" customFormat="1" ht="15" customHeight="1" x14ac:dyDescent="0.3">
      <c r="A35" s="15" t="s">
        <v>273</v>
      </c>
      <c r="B35" s="15" t="s">
        <v>42</v>
      </c>
      <c r="C35" s="34"/>
      <c r="D35" s="34"/>
      <c r="E35" s="34"/>
      <c r="F35" s="15" t="s">
        <v>42</v>
      </c>
      <c r="G35" s="34"/>
      <c r="H35" s="34"/>
      <c r="I35" s="34"/>
      <c r="J35" s="34"/>
      <c r="K35" s="15" t="s">
        <v>42</v>
      </c>
      <c r="L35" s="34"/>
      <c r="M35" s="34"/>
      <c r="N35" s="67" t="str">
        <f t="shared" si="1"/>
        <v/>
      </c>
      <c r="O35" s="15" t="s">
        <v>42</v>
      </c>
      <c r="P35" s="34"/>
      <c r="Q35" s="34"/>
      <c r="R35" s="67" t="str">
        <f t="shared" si="2"/>
        <v/>
      </c>
      <c r="S35" s="15" t="s">
        <v>42</v>
      </c>
      <c r="T35" s="39">
        <f>(176.6+54.125)/$D$69</f>
        <v>13.390290178571428</v>
      </c>
      <c r="U35" s="39">
        <f>(12285+2574)/$D$60</f>
        <v>265.33928571428572</v>
      </c>
      <c r="V35" s="67">
        <f t="shared" si="3"/>
        <v>19.81579802795536</v>
      </c>
      <c r="W35" s="15" t="s">
        <v>42</v>
      </c>
      <c r="X35" s="15" t="s">
        <v>118</v>
      </c>
      <c r="Y35" s="34">
        <f>337/$D$69</f>
        <v>19.558035714285715</v>
      </c>
      <c r="Z35" s="34">
        <f>32381.5/$D$59</f>
        <v>534.34818481848185</v>
      </c>
      <c r="AA35" s="67">
        <f t="shared" si="4"/>
        <v>27.321158045957528</v>
      </c>
      <c r="AB35" s="34">
        <f>1924/$D$68</f>
        <v>17.178571428571427</v>
      </c>
      <c r="AC35" s="34">
        <v>432</v>
      </c>
      <c r="AD35" s="67">
        <f t="shared" si="5"/>
        <v>25.147609147609149</v>
      </c>
      <c r="AE35" s="34"/>
      <c r="AF35" s="34"/>
      <c r="AG35" s="67" t="str">
        <f t="shared" si="6"/>
        <v/>
      </c>
      <c r="AH35" s="18">
        <v>22</v>
      </c>
      <c r="AI35" s="18">
        <v>234</v>
      </c>
      <c r="AJ35" s="67">
        <f t="shared" si="7"/>
        <v>10.636363636363637</v>
      </c>
      <c r="AK35" s="18">
        <v>100</v>
      </c>
      <c r="AL35" s="18">
        <v>1282</v>
      </c>
      <c r="AM35" s="67">
        <f t="shared" si="8"/>
        <v>12.82</v>
      </c>
      <c r="AN35" s="18">
        <v>131</v>
      </c>
      <c r="AO35" s="18">
        <v>1626</v>
      </c>
      <c r="AP35" s="67">
        <f t="shared" si="9"/>
        <v>12.412213740458014</v>
      </c>
      <c r="AQ35" s="18">
        <v>200</v>
      </c>
      <c r="AR35" s="18">
        <v>3420</v>
      </c>
      <c r="AS35" s="67">
        <f t="shared" si="10"/>
        <v>17.100000000000001</v>
      </c>
      <c r="AT35" s="18">
        <v>633</v>
      </c>
      <c r="AU35" s="18">
        <v>5973</v>
      </c>
      <c r="AV35" s="67">
        <f t="shared" si="11"/>
        <v>9.4360189573459721</v>
      </c>
      <c r="AW35" s="18">
        <v>354</v>
      </c>
      <c r="AX35" s="18">
        <v>4525</v>
      </c>
      <c r="AY35" s="67">
        <f t="shared" si="12"/>
        <v>12.782485875706215</v>
      </c>
    </row>
    <row r="36" spans="1:51" s="3" customFormat="1" ht="15" customHeight="1" x14ac:dyDescent="0.3">
      <c r="A36" s="15" t="s">
        <v>272</v>
      </c>
      <c r="B36" s="15" t="s">
        <v>42</v>
      </c>
      <c r="C36" s="34"/>
      <c r="D36" s="34"/>
      <c r="E36" s="34"/>
      <c r="F36" s="15" t="s">
        <v>42</v>
      </c>
      <c r="G36" s="34"/>
      <c r="H36" s="34"/>
      <c r="I36" s="34"/>
      <c r="J36" s="34"/>
      <c r="K36" s="15" t="s">
        <v>42</v>
      </c>
      <c r="L36" s="34"/>
      <c r="M36" s="34"/>
      <c r="N36" s="67" t="str">
        <f t="shared" si="1"/>
        <v/>
      </c>
      <c r="O36" s="15" t="s">
        <v>42</v>
      </c>
      <c r="P36" s="34"/>
      <c r="Q36" s="34"/>
      <c r="R36" s="67" t="str">
        <f t="shared" si="2"/>
        <v/>
      </c>
      <c r="S36" s="15" t="s">
        <v>42</v>
      </c>
      <c r="T36" s="39">
        <f>(161.375+2.5)/$D$69</f>
        <v>9.5106026785714288</v>
      </c>
      <c r="U36" s="39">
        <f>(12310+78)/$D$60</f>
        <v>221.21428571428572</v>
      </c>
      <c r="V36" s="67">
        <f t="shared" si="3"/>
        <v>23.259754738015609</v>
      </c>
      <c r="W36" s="15" t="s">
        <v>42</v>
      </c>
      <c r="X36" s="15" t="s">
        <v>118</v>
      </c>
      <c r="Y36" s="34">
        <f>351/$D$69</f>
        <v>20.370535714285715</v>
      </c>
      <c r="Z36" s="34">
        <f>35515/$D$59</f>
        <v>586.05610561056108</v>
      </c>
      <c r="AA36" s="67">
        <f t="shared" si="4"/>
        <v>28.76979348164928</v>
      </c>
      <c r="AB36" s="34"/>
      <c r="AC36" s="34"/>
      <c r="AD36" s="67" t="str">
        <f t="shared" si="5"/>
        <v/>
      </c>
      <c r="AE36" s="34">
        <f>1148.75/$D$68</f>
        <v>10.256696428571429</v>
      </c>
      <c r="AF36" s="34">
        <v>1434</v>
      </c>
      <c r="AG36" s="67">
        <f t="shared" si="6"/>
        <v>139.81109902067465</v>
      </c>
      <c r="AH36" s="18">
        <v>54</v>
      </c>
      <c r="AI36" s="18">
        <v>944</v>
      </c>
      <c r="AJ36" s="67">
        <f t="shared" si="7"/>
        <v>17.481481481481481</v>
      </c>
      <c r="AK36" s="18">
        <v>71</v>
      </c>
      <c r="AL36" s="18">
        <v>1140</v>
      </c>
      <c r="AM36" s="67">
        <f t="shared" si="8"/>
        <v>16.056338028169016</v>
      </c>
      <c r="AN36" s="18">
        <v>203</v>
      </c>
      <c r="AO36" s="18">
        <v>4784</v>
      </c>
      <c r="AP36" s="67">
        <f t="shared" si="9"/>
        <v>23.566502463054189</v>
      </c>
      <c r="AQ36" s="18">
        <v>474</v>
      </c>
      <c r="AR36" s="18">
        <v>11222</v>
      </c>
      <c r="AS36" s="67">
        <f t="shared" si="10"/>
        <v>23.675105485232066</v>
      </c>
      <c r="AT36" s="18">
        <v>387</v>
      </c>
      <c r="AU36" s="18">
        <v>8592</v>
      </c>
      <c r="AV36" s="67">
        <f t="shared" si="11"/>
        <v>22.2015503875969</v>
      </c>
      <c r="AW36" s="18">
        <v>161</v>
      </c>
      <c r="AX36" s="18">
        <v>4856</v>
      </c>
      <c r="AY36" s="67">
        <f t="shared" si="12"/>
        <v>30.161490683229815</v>
      </c>
    </row>
    <row r="37" spans="1:51" s="3" customFormat="1" ht="15" customHeight="1" x14ac:dyDescent="0.3">
      <c r="A37" s="15" t="s">
        <v>271</v>
      </c>
      <c r="B37" s="15" t="s">
        <v>42</v>
      </c>
      <c r="C37" s="34"/>
      <c r="D37" s="34"/>
      <c r="E37" s="34"/>
      <c r="F37" s="15" t="s">
        <v>42</v>
      </c>
      <c r="G37" s="34"/>
      <c r="H37" s="34"/>
      <c r="I37" s="34"/>
      <c r="J37" s="34"/>
      <c r="K37" s="15" t="s">
        <v>42</v>
      </c>
      <c r="L37" s="34"/>
      <c r="M37" s="34"/>
      <c r="N37" s="67" t="str">
        <f t="shared" si="1"/>
        <v/>
      </c>
      <c r="O37" s="15" t="s">
        <v>42</v>
      </c>
      <c r="P37" s="34"/>
      <c r="Q37" s="34"/>
      <c r="R37" s="67" t="str">
        <f t="shared" si="2"/>
        <v/>
      </c>
      <c r="S37" s="15" t="s">
        <v>42</v>
      </c>
      <c r="T37" s="39">
        <f>(6114.275+3375)/$D$69</f>
        <v>550.7168526785714</v>
      </c>
      <c r="U37" s="39">
        <f>(259817+90)/$D$60</f>
        <v>4641.1964285714284</v>
      </c>
      <c r="V37" s="67">
        <f t="shared" si="3"/>
        <v>8.4275547515889908</v>
      </c>
      <c r="W37" s="15" t="s">
        <v>42</v>
      </c>
      <c r="X37" s="15" t="s">
        <v>118</v>
      </c>
      <c r="Y37" s="34">
        <f>349.87/$D$69</f>
        <v>20.304955357142859</v>
      </c>
      <c r="Z37" s="34">
        <f>330577/$D$59</f>
        <v>5455.0660066006603</v>
      </c>
      <c r="AA37" s="67">
        <f t="shared" ref="AA37" si="19">IFERROR(Z37/Y37,"")</f>
        <v>268.65688255166157</v>
      </c>
      <c r="AB37" s="34"/>
      <c r="AC37" s="34"/>
      <c r="AD37" s="67" t="str">
        <f t="shared" si="5"/>
        <v/>
      </c>
      <c r="AE37" s="34">
        <f>18.13/$D$68</f>
        <v>0.16187499999999999</v>
      </c>
      <c r="AF37" s="34">
        <v>17</v>
      </c>
      <c r="AG37" s="67">
        <f t="shared" si="6"/>
        <v>105.01930501930502</v>
      </c>
      <c r="AH37" s="18">
        <v>27</v>
      </c>
      <c r="AI37" s="18">
        <v>39</v>
      </c>
      <c r="AJ37" s="67">
        <f t="shared" si="7"/>
        <v>1.4444444444444444</v>
      </c>
      <c r="AK37" s="18">
        <v>20</v>
      </c>
      <c r="AL37" s="18">
        <v>346</v>
      </c>
      <c r="AM37" s="67">
        <f t="shared" si="8"/>
        <v>17.3</v>
      </c>
      <c r="AN37" s="18">
        <v>119</v>
      </c>
      <c r="AO37" s="18">
        <v>147</v>
      </c>
      <c r="AP37" s="67">
        <f t="shared" si="9"/>
        <v>1.2352941176470589</v>
      </c>
      <c r="AQ37" s="18">
        <v>24</v>
      </c>
      <c r="AR37" s="18">
        <v>417</v>
      </c>
      <c r="AS37" s="67">
        <f t="shared" si="10"/>
        <v>17.375</v>
      </c>
      <c r="AT37" s="18">
        <v>20</v>
      </c>
      <c r="AU37" s="18">
        <v>258</v>
      </c>
      <c r="AV37" s="67">
        <f t="shared" si="11"/>
        <v>12.9</v>
      </c>
      <c r="AW37" s="18">
        <v>25</v>
      </c>
      <c r="AX37" s="18">
        <v>3425</v>
      </c>
      <c r="AY37" s="67">
        <f t="shared" si="12"/>
        <v>137</v>
      </c>
    </row>
    <row r="38" spans="1:51" s="3" customFormat="1" ht="15" customHeight="1" x14ac:dyDescent="0.3">
      <c r="A38" s="15" t="s">
        <v>99</v>
      </c>
      <c r="B38" s="15" t="s">
        <v>42</v>
      </c>
      <c r="C38" s="34"/>
      <c r="D38" s="34"/>
      <c r="E38" s="34"/>
      <c r="F38" s="15" t="s">
        <v>42</v>
      </c>
      <c r="G38" s="34">
        <f>(660)/$D$69</f>
        <v>38.303571428571431</v>
      </c>
      <c r="H38" s="34">
        <f>(3875)/$D$63</f>
        <v>74.519230769230774</v>
      </c>
      <c r="I38" s="67">
        <f t="shared" ref="I38:I53" si="20">H38/G38</f>
        <v>1.9454904070288686</v>
      </c>
      <c r="J38" s="34"/>
      <c r="K38" s="15" t="s">
        <v>42</v>
      </c>
      <c r="L38" s="34">
        <f>(595)/$D$69</f>
        <v>34.53125</v>
      </c>
      <c r="M38" s="34">
        <f>(4167)/$D$62</f>
        <v>77.166666666666671</v>
      </c>
      <c r="N38" s="67">
        <f t="shared" si="1"/>
        <v>2.2346907993966818</v>
      </c>
      <c r="O38" s="15" t="s">
        <v>42</v>
      </c>
      <c r="P38" s="34"/>
      <c r="Q38" s="34"/>
      <c r="R38" s="67" t="str">
        <f t="shared" si="2"/>
        <v/>
      </c>
      <c r="S38" s="15" t="s">
        <v>42</v>
      </c>
      <c r="T38" s="39"/>
      <c r="U38" s="39"/>
      <c r="V38" s="67" t="str">
        <f t="shared" si="3"/>
        <v/>
      </c>
      <c r="W38" s="15" t="s">
        <v>42</v>
      </c>
      <c r="X38" s="15" t="s">
        <v>118</v>
      </c>
      <c r="Y38" s="34">
        <f>(450+2495)/$D$69</f>
        <v>170.91517857142858</v>
      </c>
      <c r="Z38" s="34">
        <f>(3675+31200)/$D$59</f>
        <v>575.49504950495043</v>
      </c>
      <c r="AA38" s="67">
        <f t="shared" si="4"/>
        <v>3.3671383332665243</v>
      </c>
      <c r="AB38" s="34">
        <f>3415/$D$68</f>
        <v>30.491071428571427</v>
      </c>
      <c r="AC38" s="34">
        <v>66</v>
      </c>
      <c r="AD38" s="67">
        <f t="shared" si="5"/>
        <v>2.1645680819912152</v>
      </c>
      <c r="AE38" s="34">
        <f>1290/$D$68</f>
        <v>11.517857142857142</v>
      </c>
      <c r="AF38" s="34">
        <v>281</v>
      </c>
      <c r="AG38" s="67">
        <f t="shared" si="6"/>
        <v>24.396899224806202</v>
      </c>
      <c r="AH38" s="18">
        <v>16</v>
      </c>
      <c r="AI38" s="18">
        <v>47</v>
      </c>
      <c r="AJ38" s="67">
        <f t="shared" si="7"/>
        <v>2.9375</v>
      </c>
      <c r="AK38" s="18">
        <v>40</v>
      </c>
      <c r="AL38" s="18">
        <v>129</v>
      </c>
      <c r="AM38" s="67">
        <f t="shared" si="8"/>
        <v>3.2250000000000001</v>
      </c>
      <c r="AN38" s="18"/>
      <c r="AO38" s="18"/>
      <c r="AP38" s="67" t="str">
        <f t="shared" si="9"/>
        <v/>
      </c>
      <c r="AQ38" s="18"/>
      <c r="AR38" s="18"/>
      <c r="AS38" s="67" t="str">
        <f t="shared" si="10"/>
        <v/>
      </c>
      <c r="AT38" s="18"/>
      <c r="AU38" s="18"/>
      <c r="AV38" s="67" t="str">
        <f t="shared" si="11"/>
        <v/>
      </c>
      <c r="AW38" s="18"/>
      <c r="AX38" s="18"/>
      <c r="AY38" s="67" t="str">
        <f t="shared" si="12"/>
        <v/>
      </c>
    </row>
    <row r="39" spans="1:51" s="3" customFormat="1" ht="15" customHeight="1" x14ac:dyDescent="0.3">
      <c r="A39" s="15" t="s">
        <v>57</v>
      </c>
      <c r="B39" s="15" t="s">
        <v>42</v>
      </c>
      <c r="C39" s="34"/>
      <c r="D39" s="34"/>
      <c r="E39" s="34"/>
      <c r="F39" s="68" t="s">
        <v>42</v>
      </c>
      <c r="G39" s="44" t="s">
        <v>231</v>
      </c>
      <c r="H39" s="34">
        <f>(97919)/$D$63</f>
        <v>1883.0576923076924</v>
      </c>
      <c r="I39" s="67"/>
      <c r="J39" s="34"/>
      <c r="K39" s="15" t="s">
        <v>42</v>
      </c>
      <c r="L39" s="34">
        <f>(6378)/$D$69</f>
        <v>370.15178571428572</v>
      </c>
      <c r="M39" s="34">
        <f>(319393)/$D$62</f>
        <v>5914.6851851851852</v>
      </c>
      <c r="N39" s="67">
        <f t="shared" si="1"/>
        <v>15.97908051090867</v>
      </c>
      <c r="O39" s="15" t="s">
        <v>42</v>
      </c>
      <c r="P39" s="34">
        <f>(299)/$D$69</f>
        <v>17.352678571428573</v>
      </c>
      <c r="Q39" s="34">
        <f>(27245)/$D$61</f>
        <v>477.98245614035091</v>
      </c>
      <c r="R39" s="67">
        <f t="shared" si="2"/>
        <v>27.545168555554049</v>
      </c>
      <c r="S39" s="15" t="s">
        <v>42</v>
      </c>
      <c r="T39" s="39">
        <f>(507.825+84.125+16)/$D$69</f>
        <v>35.282812500000006</v>
      </c>
      <c r="U39" s="39">
        <f>(36731+5785+580)/$D$60</f>
        <v>769.57142857142856</v>
      </c>
      <c r="V39" s="67">
        <f t="shared" si="3"/>
        <v>21.81151030891963</v>
      </c>
      <c r="W39" s="15" t="s">
        <v>42</v>
      </c>
      <c r="X39" s="15" t="s">
        <v>118</v>
      </c>
      <c r="Y39" s="34">
        <f>(1458.22+2)/$D$69</f>
        <v>84.744910714285723</v>
      </c>
      <c r="Z39" s="34">
        <f>(109959+100)/$D$59</f>
        <v>1816.155115511551</v>
      </c>
      <c r="AA39" s="67">
        <f t="shared" si="4"/>
        <v>21.43084581957552</v>
      </c>
      <c r="AB39" s="34">
        <f>(310609+653)/$D$68</f>
        <v>2779.125</v>
      </c>
      <c r="AC39" s="34">
        <f>(37598+50)</f>
        <v>37648</v>
      </c>
      <c r="AD39" s="67">
        <f t="shared" si="5"/>
        <v>13.546709845724823</v>
      </c>
      <c r="AE39" s="34">
        <f>1680.95/$D$68</f>
        <v>15.008482142857144</v>
      </c>
      <c r="AF39" s="34">
        <v>2533</v>
      </c>
      <c r="AG39" s="67">
        <f t="shared" si="6"/>
        <v>168.77123055415092</v>
      </c>
      <c r="AH39" s="18">
        <v>103</v>
      </c>
      <c r="AI39" s="18">
        <v>2977</v>
      </c>
      <c r="AJ39" s="67">
        <f t="shared" si="7"/>
        <v>28.902912621359224</v>
      </c>
      <c r="AK39" s="18">
        <v>323</v>
      </c>
      <c r="AL39" s="18">
        <v>8313</v>
      </c>
      <c r="AM39" s="67">
        <f t="shared" si="8"/>
        <v>25.736842105263158</v>
      </c>
      <c r="AN39" s="18">
        <v>938</v>
      </c>
      <c r="AO39" s="18">
        <v>21285</v>
      </c>
      <c r="AP39" s="67">
        <f t="shared" si="9"/>
        <v>22.691897654584221</v>
      </c>
      <c r="AQ39" s="18">
        <v>624</v>
      </c>
      <c r="AR39" s="18">
        <v>16300</v>
      </c>
      <c r="AS39" s="67">
        <f t="shared" si="10"/>
        <v>26.121794871794872</v>
      </c>
      <c r="AT39" s="18">
        <v>268</v>
      </c>
      <c r="AU39" s="18">
        <v>5092</v>
      </c>
      <c r="AV39" s="67">
        <f t="shared" si="11"/>
        <v>19</v>
      </c>
      <c r="AW39" s="18">
        <v>542</v>
      </c>
      <c r="AX39" s="18">
        <v>16842</v>
      </c>
      <c r="AY39" s="67">
        <f t="shared" si="12"/>
        <v>31.073800738007382</v>
      </c>
    </row>
    <row r="40" spans="1:51" s="3" customFormat="1" ht="15" customHeight="1" x14ac:dyDescent="0.3">
      <c r="A40" s="15" t="s">
        <v>58</v>
      </c>
      <c r="B40" s="15" t="s">
        <v>42</v>
      </c>
      <c r="C40" s="34"/>
      <c r="D40" s="34"/>
      <c r="E40" s="34"/>
      <c r="F40" s="15" t="s">
        <v>42</v>
      </c>
      <c r="G40" s="34">
        <f>(441)/$D$69</f>
        <v>25.59375</v>
      </c>
      <c r="H40" s="34">
        <f>62677/$D$63</f>
        <v>1205.3269230769231</v>
      </c>
      <c r="I40" s="67">
        <f t="shared" si="20"/>
        <v>47.09458063304217</v>
      </c>
      <c r="J40" s="34"/>
      <c r="K40" s="15" t="s">
        <v>42</v>
      </c>
      <c r="L40" s="34">
        <f>(972)/$D$69</f>
        <v>56.410714285714292</v>
      </c>
      <c r="M40" s="34">
        <f>(221640)/$D$62</f>
        <v>4104.4444444444443</v>
      </c>
      <c r="N40" s="67">
        <f t="shared" si="1"/>
        <v>72.760015476064851</v>
      </c>
      <c r="O40" s="15" t="s">
        <v>42</v>
      </c>
      <c r="P40" s="34">
        <f>(494)/$D$69</f>
        <v>28.669642857142858</v>
      </c>
      <c r="Q40" s="34">
        <f>(111225)/$D$61</f>
        <v>1951.3157894736842</v>
      </c>
      <c r="R40" s="67">
        <f t="shared" si="2"/>
        <v>68.062089199954102</v>
      </c>
      <c r="S40" s="15" t="s">
        <v>42</v>
      </c>
      <c r="T40" s="39">
        <f>(36.615+0.25+6.725+191.331+73.165)/$D$69</f>
        <v>17.879991071428574</v>
      </c>
      <c r="U40" s="39">
        <f>(204.82+125+1090+32250+3803)/$D$60</f>
        <v>669.15750000000003</v>
      </c>
      <c r="V40" s="67">
        <f t="shared" si="3"/>
        <v>37.424934795928607</v>
      </c>
      <c r="W40" s="15" t="s">
        <v>42</v>
      </c>
      <c r="X40" s="15" t="s">
        <v>118</v>
      </c>
      <c r="Y40" s="34">
        <f>(505+47.34)/$D$69</f>
        <v>32.055446428571429</v>
      </c>
      <c r="Z40" s="34">
        <f>(109507+13695)/$D$59</f>
        <v>2033.0363036303629</v>
      </c>
      <c r="AA40" s="67">
        <f t="shared" si="4"/>
        <v>63.422492279449017</v>
      </c>
      <c r="AB40" s="34">
        <f>(2996+302)/$D$68</f>
        <v>29.446428571428573</v>
      </c>
      <c r="AC40" s="34">
        <f>1410+178</f>
        <v>1588</v>
      </c>
      <c r="AD40" s="67">
        <f t="shared" si="5"/>
        <v>53.928441479684658</v>
      </c>
      <c r="AE40" s="34">
        <f>(46625+570725)/$D$68</f>
        <v>5512.0535714285716</v>
      </c>
      <c r="AF40" s="34">
        <f>255+1698</f>
        <v>1953</v>
      </c>
      <c r="AG40" s="67">
        <f t="shared" si="6"/>
        <v>0.35431440835830563</v>
      </c>
      <c r="AH40" s="18"/>
      <c r="AI40" s="18"/>
      <c r="AJ40" s="67" t="str">
        <f t="shared" si="7"/>
        <v/>
      </c>
      <c r="AK40" s="18">
        <v>3</v>
      </c>
      <c r="AL40" s="18">
        <v>236</v>
      </c>
      <c r="AM40" s="67">
        <f t="shared" si="8"/>
        <v>78.666666666666671</v>
      </c>
      <c r="AN40" s="18">
        <v>45</v>
      </c>
      <c r="AO40" s="18">
        <f>395+2090</f>
        <v>2485</v>
      </c>
      <c r="AP40" s="67">
        <f t="shared" si="9"/>
        <v>55.222222222222221</v>
      </c>
      <c r="AQ40" s="18">
        <v>31</v>
      </c>
      <c r="AR40" s="18">
        <v>1640</v>
      </c>
      <c r="AS40" s="67">
        <f t="shared" si="10"/>
        <v>52.903225806451616</v>
      </c>
      <c r="AT40" s="18">
        <v>23</v>
      </c>
      <c r="AU40" s="18">
        <v>1479</v>
      </c>
      <c r="AV40" s="67">
        <f t="shared" si="11"/>
        <v>64.304347826086953</v>
      </c>
      <c r="AW40" s="18">
        <v>8</v>
      </c>
      <c r="AX40" s="18">
        <v>755</v>
      </c>
      <c r="AY40" s="67">
        <f t="shared" si="12"/>
        <v>94.375</v>
      </c>
    </row>
    <row r="41" spans="1:51" s="3" customFormat="1" ht="15" customHeight="1" x14ac:dyDescent="0.3">
      <c r="A41" s="15" t="s">
        <v>61</v>
      </c>
      <c r="B41" s="15" t="s">
        <v>42</v>
      </c>
      <c r="C41" s="34"/>
      <c r="D41" s="34"/>
      <c r="E41" s="34"/>
      <c r="F41" s="15" t="s">
        <v>42</v>
      </c>
      <c r="G41" s="34"/>
      <c r="H41" s="34"/>
      <c r="I41" s="34"/>
      <c r="J41" s="34"/>
      <c r="K41" s="15" t="s">
        <v>42</v>
      </c>
      <c r="L41" s="34"/>
      <c r="M41" s="34"/>
      <c r="N41" s="67" t="str">
        <f t="shared" si="1"/>
        <v/>
      </c>
      <c r="O41" s="15" t="s">
        <v>42</v>
      </c>
      <c r="P41" s="34"/>
      <c r="Q41" s="34"/>
      <c r="R41" s="67" t="str">
        <f t="shared" si="2"/>
        <v/>
      </c>
      <c r="S41" s="15" t="s">
        <v>42</v>
      </c>
      <c r="T41" s="39"/>
      <c r="U41" s="39"/>
      <c r="V41" s="67" t="str">
        <f t="shared" si="3"/>
        <v/>
      </c>
      <c r="W41" s="15" t="s">
        <v>42</v>
      </c>
      <c r="X41" s="15" t="s">
        <v>118</v>
      </c>
      <c r="Y41" s="34"/>
      <c r="Z41" s="34"/>
      <c r="AA41" s="67" t="str">
        <f t="shared" si="4"/>
        <v/>
      </c>
      <c r="AB41" s="34"/>
      <c r="AC41" s="34"/>
      <c r="AD41" s="67" t="str">
        <f t="shared" si="5"/>
        <v/>
      </c>
      <c r="AE41" s="34"/>
      <c r="AF41" s="34"/>
      <c r="AG41" s="67" t="str">
        <f t="shared" si="6"/>
        <v/>
      </c>
      <c r="AH41" s="18"/>
      <c r="AI41" s="18"/>
      <c r="AJ41" s="67" t="str">
        <f t="shared" si="7"/>
        <v/>
      </c>
      <c r="AK41" s="18"/>
      <c r="AL41" s="18"/>
      <c r="AM41" s="67" t="str">
        <f t="shared" si="8"/>
        <v/>
      </c>
      <c r="AN41" s="18"/>
      <c r="AO41" s="18"/>
      <c r="AP41" s="67" t="str">
        <f t="shared" si="9"/>
        <v/>
      </c>
      <c r="AQ41" s="18">
        <v>1228</v>
      </c>
      <c r="AR41" s="18">
        <v>3039</v>
      </c>
      <c r="AS41" s="67">
        <f t="shared" si="10"/>
        <v>2.474755700325733</v>
      </c>
      <c r="AT41" s="18">
        <v>371</v>
      </c>
      <c r="AU41" s="18">
        <v>2181</v>
      </c>
      <c r="AV41" s="67">
        <f t="shared" si="11"/>
        <v>5.8787061994609164</v>
      </c>
      <c r="AW41" s="18">
        <v>163</v>
      </c>
      <c r="AX41" s="18">
        <v>1281</v>
      </c>
      <c r="AY41" s="67">
        <f t="shared" si="12"/>
        <v>7.8588957055214728</v>
      </c>
    </row>
    <row r="42" spans="1:51" s="3" customFormat="1" x14ac:dyDescent="0.3">
      <c r="A42" s="15" t="s">
        <v>59</v>
      </c>
      <c r="B42" s="15" t="s">
        <v>42</v>
      </c>
      <c r="C42" s="34"/>
      <c r="D42" s="34"/>
      <c r="E42" s="34"/>
      <c r="F42" s="15" t="s">
        <v>42</v>
      </c>
      <c r="G42" s="34">
        <f>(6424.25)/$D$69</f>
        <v>372.8359375</v>
      </c>
      <c r="H42" s="34">
        <f>(88823)/$D$63</f>
        <v>1708.1346153846155</v>
      </c>
      <c r="I42" s="67">
        <f t="shared" si="20"/>
        <v>4.5814645091304147</v>
      </c>
      <c r="J42" s="34"/>
      <c r="K42" s="15" t="s">
        <v>42</v>
      </c>
      <c r="L42" s="34">
        <f>(15084)/$D$69</f>
        <v>875.41071428571433</v>
      </c>
      <c r="M42" s="34">
        <f>(225689)/$D$62</f>
        <v>4179.4259259259261</v>
      </c>
      <c r="N42" s="67">
        <f t="shared" si="1"/>
        <v>4.77424579996842</v>
      </c>
      <c r="O42" s="15" t="s">
        <v>42</v>
      </c>
      <c r="P42" s="34">
        <f>(20604)/$D$69</f>
        <v>1195.7678571428571</v>
      </c>
      <c r="Q42" s="34">
        <f>(243519)/$D$61</f>
        <v>4272.2631578947367</v>
      </c>
      <c r="R42" s="67">
        <f t="shared" si="2"/>
        <v>3.5728198683169103</v>
      </c>
      <c r="S42" s="15" t="s">
        <v>42</v>
      </c>
      <c r="T42" s="39">
        <f>(1881+493+12409.75+861.75+248+12.75+293.5)/$D$69</f>
        <v>940.1640625</v>
      </c>
      <c r="U42" s="39">
        <f>(32559+5122+153631+12755+6128+390+9481.8)/$D$60</f>
        <v>3929.7642857142855</v>
      </c>
      <c r="V42" s="67">
        <f t="shared" si="3"/>
        <v>4.1798707719848478</v>
      </c>
      <c r="W42" s="15" t="s">
        <v>42</v>
      </c>
      <c r="X42" s="15" t="s">
        <v>118</v>
      </c>
      <c r="Y42" s="34">
        <f>(1939+235+61.5)/$D$69</f>
        <v>129.73883928571431</v>
      </c>
      <c r="Z42" s="34">
        <f>(19128+5103+4580)/$D$59</f>
        <v>475.42904290429044</v>
      </c>
      <c r="AA42" s="67">
        <f t="shared" si="4"/>
        <v>3.6645082191408234</v>
      </c>
      <c r="AB42" s="34">
        <f>(70040+598+1683)/$D$68</f>
        <v>645.72321428571433</v>
      </c>
      <c r="AC42" s="34">
        <f>2149+48+56</f>
        <v>2253</v>
      </c>
      <c r="AD42" s="67">
        <f t="shared" si="5"/>
        <v>3.4891110465839796</v>
      </c>
      <c r="AE42" s="34">
        <f>(1467+12655.5+260.75)/$D$68</f>
        <v>128.421875</v>
      </c>
      <c r="AF42" s="34">
        <f>372+3339+66</f>
        <v>3777</v>
      </c>
      <c r="AG42" s="67">
        <f t="shared" si="6"/>
        <v>29.410877235673439</v>
      </c>
      <c r="AH42" s="34">
        <v>722</v>
      </c>
      <c r="AI42" s="34">
        <v>3493</v>
      </c>
      <c r="AJ42" s="67">
        <f t="shared" si="7"/>
        <v>4.837950138504155</v>
      </c>
      <c r="AK42" s="34">
        <v>1062</v>
      </c>
      <c r="AL42" s="34">
        <v>4448</v>
      </c>
      <c r="AM42" s="67">
        <f t="shared" si="8"/>
        <v>4.1883239171374766</v>
      </c>
      <c r="AN42" s="34">
        <v>1190</v>
      </c>
      <c r="AO42" s="34">
        <v>5379</v>
      </c>
      <c r="AP42" s="67">
        <f t="shared" si="9"/>
        <v>4.5201680672268907</v>
      </c>
      <c r="AQ42" s="18">
        <v>1508</v>
      </c>
      <c r="AR42" s="18">
        <v>6943</v>
      </c>
      <c r="AS42" s="67">
        <f t="shared" si="10"/>
        <v>4.6041114058355435</v>
      </c>
      <c r="AT42" s="18">
        <v>485</v>
      </c>
      <c r="AU42" s="18">
        <v>6078</v>
      </c>
      <c r="AV42" s="67">
        <f t="shared" si="11"/>
        <v>12.531958762886598</v>
      </c>
      <c r="AW42" s="18">
        <v>729</v>
      </c>
      <c r="AX42" s="18">
        <v>4666</v>
      </c>
      <c r="AY42" s="67">
        <f t="shared" si="12"/>
        <v>6.4005486968449929</v>
      </c>
    </row>
    <row r="43" spans="1:51" s="3" customFormat="1" x14ac:dyDescent="0.3">
      <c r="A43" s="15" t="s">
        <v>89</v>
      </c>
      <c r="B43" s="15" t="s">
        <v>42</v>
      </c>
      <c r="C43" s="34"/>
      <c r="D43" s="34"/>
      <c r="E43" s="34"/>
      <c r="F43" s="15" t="s">
        <v>42</v>
      </c>
      <c r="G43" s="34"/>
      <c r="H43" s="34">
        <f>(8650)/$D$63</f>
        <v>166.34615384615384</v>
      </c>
      <c r="I43" s="67"/>
      <c r="J43" s="34"/>
      <c r="K43" s="15" t="s">
        <v>42</v>
      </c>
      <c r="L43" s="34"/>
      <c r="M43" s="34">
        <f>(2410)/$D$62</f>
        <v>44.629629629629626</v>
      </c>
      <c r="N43" s="67" t="str">
        <f t="shared" si="1"/>
        <v/>
      </c>
      <c r="O43" s="15" t="s">
        <v>42</v>
      </c>
      <c r="P43" s="34">
        <f>(153)/$D$69</f>
        <v>8.8794642857142865</v>
      </c>
      <c r="Q43" s="34">
        <f>(1954)/$D$61</f>
        <v>34.280701754385966</v>
      </c>
      <c r="R43" s="67">
        <f t="shared" si="2"/>
        <v>3.8606722941088263</v>
      </c>
      <c r="S43" s="15" t="s">
        <v>42</v>
      </c>
      <c r="T43" s="39">
        <f>(293+1056.5+1.5+66.25)/$D$69</f>
        <v>82.251116071428569</v>
      </c>
      <c r="U43" s="39">
        <f>(22098+135+924+135+1200)/$D$60</f>
        <v>437.35714285714283</v>
      </c>
      <c r="V43" s="67">
        <f t="shared" si="3"/>
        <v>5.3173399188569412</v>
      </c>
      <c r="W43" s="15" t="s">
        <v>42</v>
      </c>
      <c r="X43" s="15" t="s">
        <v>118</v>
      </c>
      <c r="Y43" s="34">
        <f>(398+1170.5+78+1243)/$D$69</f>
        <v>167.69419642857144</v>
      </c>
      <c r="Z43" s="34">
        <f>(4940+18850+1821+2730)/$D$59</f>
        <v>467.67326732673268</v>
      </c>
      <c r="AA43" s="67">
        <f t="shared" si="4"/>
        <v>2.7888458711565245</v>
      </c>
      <c r="AB43" s="34"/>
      <c r="AC43" s="34"/>
      <c r="AD43" s="67" t="str">
        <f t="shared" si="5"/>
        <v/>
      </c>
      <c r="AE43" s="34"/>
      <c r="AF43" s="34"/>
      <c r="AG43" s="67" t="str">
        <f t="shared" si="6"/>
        <v/>
      </c>
      <c r="AH43" s="18">
        <v>7</v>
      </c>
      <c r="AI43" s="18">
        <v>32</v>
      </c>
      <c r="AJ43" s="67">
        <f t="shared" si="7"/>
        <v>4.5714285714285712</v>
      </c>
      <c r="AK43" s="18">
        <v>8</v>
      </c>
      <c r="AL43" s="18">
        <v>48</v>
      </c>
      <c r="AM43" s="67">
        <f t="shared" si="8"/>
        <v>6</v>
      </c>
      <c r="AN43" s="18">
        <v>71</v>
      </c>
      <c r="AO43" s="18">
        <v>324</v>
      </c>
      <c r="AP43" s="67">
        <f t="shared" si="9"/>
        <v>4.563380281690141</v>
      </c>
      <c r="AQ43" s="18"/>
      <c r="AR43" s="18"/>
      <c r="AS43" s="67" t="str">
        <f t="shared" si="10"/>
        <v/>
      </c>
      <c r="AT43" s="18"/>
      <c r="AU43" s="18"/>
      <c r="AV43" s="67" t="str">
        <f t="shared" si="11"/>
        <v/>
      </c>
      <c r="AW43" s="18"/>
      <c r="AX43" s="18"/>
      <c r="AY43" s="67" t="str">
        <f t="shared" si="12"/>
        <v/>
      </c>
    </row>
    <row r="44" spans="1:51" s="3" customFormat="1" ht="15" customHeight="1" x14ac:dyDescent="0.3">
      <c r="A44" s="15" t="s">
        <v>60</v>
      </c>
      <c r="B44" s="15" t="s">
        <v>42</v>
      </c>
      <c r="C44" s="34"/>
      <c r="D44" s="34"/>
      <c r="E44" s="34"/>
      <c r="F44" s="15" t="s">
        <v>42</v>
      </c>
      <c r="G44" s="34">
        <f>(100+2183.5)/$D$69</f>
        <v>132.52455357142858</v>
      </c>
      <c r="H44" s="34">
        <f>(1000+10125)/$D$63</f>
        <v>213.94230769230768</v>
      </c>
      <c r="I44" s="67">
        <f t="shared" si="20"/>
        <v>1.614359769014398</v>
      </c>
      <c r="J44" s="34"/>
      <c r="K44" s="15" t="s">
        <v>42</v>
      </c>
      <c r="L44" s="34">
        <f>(734+958)/$D$69</f>
        <v>98.196428571428569</v>
      </c>
      <c r="M44" s="34">
        <f>(6663+4385)/$D$62</f>
        <v>204.59259259259258</v>
      </c>
      <c r="N44" s="67">
        <f t="shared" si="1"/>
        <v>2.0835033979242015</v>
      </c>
      <c r="O44" s="15" t="s">
        <v>42</v>
      </c>
      <c r="P44" s="34">
        <f>(1086+647)/$D$69</f>
        <v>100.57589285714286</v>
      </c>
      <c r="Q44" s="34">
        <f>(6452+3678)/$D$61</f>
        <v>177.71929824561403</v>
      </c>
      <c r="R44" s="67">
        <f t="shared" si="2"/>
        <v>1.7670168585830504</v>
      </c>
      <c r="S44" s="15" t="s">
        <v>42</v>
      </c>
      <c r="T44" s="39">
        <f>(6292.1+14.5+9.29+156.25+83)/$D$69</f>
        <v>380.43223214285717</v>
      </c>
      <c r="U44" s="39">
        <f>(10453+60+148+2732+2320)/$D$60</f>
        <v>280.58928571428572</v>
      </c>
      <c r="V44" s="67">
        <f t="shared" si="3"/>
        <v>0.73755392421355315</v>
      </c>
      <c r="W44" s="15" t="s">
        <v>42</v>
      </c>
      <c r="X44" s="15" t="s">
        <v>118</v>
      </c>
      <c r="Y44" s="34">
        <f>(1347.2+0.25+1.5+246.1+40.29)/$D$69</f>
        <v>94.908124999999998</v>
      </c>
      <c r="Z44" s="34">
        <f>(9538+10+15+2576+657)/$D$59</f>
        <v>211.15511551155114</v>
      </c>
      <c r="AA44" s="67">
        <f t="shared" si="4"/>
        <v>2.2248370780852658</v>
      </c>
      <c r="AB44" s="34">
        <f>1358/$D$68</f>
        <v>12.125</v>
      </c>
      <c r="AC44" s="34">
        <v>72</v>
      </c>
      <c r="AD44" s="67">
        <f t="shared" si="5"/>
        <v>5.9381443298969074</v>
      </c>
      <c r="AE44" s="34">
        <f>(1616.75+494+50.5+27.375)/$D$68</f>
        <v>19.541294642857142</v>
      </c>
      <c r="AF44" s="34">
        <f>(192+62+11+8)</f>
        <v>273</v>
      </c>
      <c r="AG44" s="67">
        <f t="shared" si="6"/>
        <v>13.97041521503227</v>
      </c>
      <c r="AH44" s="18">
        <v>53</v>
      </c>
      <c r="AI44" s="18">
        <v>116</v>
      </c>
      <c r="AJ44" s="67">
        <f t="shared" si="7"/>
        <v>2.1886792452830188</v>
      </c>
      <c r="AK44" s="18">
        <v>197</v>
      </c>
      <c r="AL44" s="18">
        <v>704</v>
      </c>
      <c r="AM44" s="67">
        <f t="shared" si="8"/>
        <v>3.5736040609137056</v>
      </c>
      <c r="AN44" s="18">
        <v>342</v>
      </c>
      <c r="AO44" s="18">
        <v>1289</v>
      </c>
      <c r="AP44" s="67">
        <f t="shared" si="9"/>
        <v>3.7690058479532165</v>
      </c>
      <c r="AQ44" s="18">
        <v>300</v>
      </c>
      <c r="AR44" s="18">
        <v>957</v>
      </c>
      <c r="AS44" s="67">
        <f t="shared" si="10"/>
        <v>3.19</v>
      </c>
      <c r="AT44" s="18">
        <v>251</v>
      </c>
      <c r="AU44" s="18">
        <v>1251</v>
      </c>
      <c r="AV44" s="67">
        <f t="shared" si="11"/>
        <v>4.9840637450199203</v>
      </c>
      <c r="AW44" s="18">
        <v>394</v>
      </c>
      <c r="AX44" s="18">
        <v>1079</v>
      </c>
      <c r="AY44" s="67">
        <f t="shared" si="12"/>
        <v>2.7385786802030458</v>
      </c>
    </row>
    <row r="45" spans="1:51" s="3" customFormat="1" ht="15" customHeight="1" x14ac:dyDescent="0.3">
      <c r="A45" s="15" t="s">
        <v>267</v>
      </c>
      <c r="B45" s="15" t="s">
        <v>3</v>
      </c>
      <c r="C45" s="34"/>
      <c r="D45" s="34"/>
      <c r="E45" s="34"/>
      <c r="F45" s="40" t="s">
        <v>3</v>
      </c>
      <c r="G45" s="34">
        <f>(285171)</f>
        <v>285171</v>
      </c>
      <c r="H45" s="34">
        <f>(840274)/$D$63</f>
        <v>16159.115384615385</v>
      </c>
      <c r="I45" s="67">
        <f t="shared" si="20"/>
        <v>5.6664651681325888E-2</v>
      </c>
      <c r="J45" s="34"/>
      <c r="K45" s="15" t="s">
        <v>42</v>
      </c>
      <c r="L45" s="34">
        <f>(28727)/$D$69</f>
        <v>1667.1919642857144</v>
      </c>
      <c r="M45" s="34">
        <f>(1056940)/$D$62</f>
        <v>19572.962962962964</v>
      </c>
      <c r="N45" s="67">
        <f t="shared" si="1"/>
        <v>11.74007755690493</v>
      </c>
      <c r="O45" s="15" t="s">
        <v>42</v>
      </c>
      <c r="P45" s="34">
        <f>(48549)/$D$69</f>
        <v>2817.5758928571431</v>
      </c>
      <c r="Q45" s="34">
        <f>(1985933)/$D$61</f>
        <v>34840.929824561405</v>
      </c>
      <c r="R45" s="67">
        <f t="shared" si="2"/>
        <v>12.3655692515282</v>
      </c>
      <c r="S45" s="15" t="s">
        <v>42</v>
      </c>
      <c r="T45" s="39">
        <f>(20801.35+85+326)/$D$69</f>
        <v>1231.0738839285714</v>
      </c>
      <c r="U45" s="39">
        <f>(718227+295479+5700)/$D$60</f>
        <v>18203.678571428572</v>
      </c>
      <c r="V45" s="67">
        <f t="shared" si="3"/>
        <v>14.786828645359172</v>
      </c>
      <c r="W45" s="15" t="s">
        <v>42</v>
      </c>
      <c r="X45" s="15" t="s">
        <v>118</v>
      </c>
      <c r="Y45" s="34">
        <f>(29618.5+764)/$D$69</f>
        <v>1763.2700892857144</v>
      </c>
      <c r="Z45" s="34">
        <f>(805502+27400)/$D$59</f>
        <v>13744.257425742573</v>
      </c>
      <c r="AA45" s="67">
        <f t="shared" si="4"/>
        <v>7.7947544787708916</v>
      </c>
      <c r="AB45" s="34">
        <f>314170/$D$68</f>
        <v>2805.0892857142858</v>
      </c>
      <c r="AC45" s="34">
        <v>20524</v>
      </c>
      <c r="AD45" s="67">
        <f t="shared" si="5"/>
        <v>7.3167011490594263</v>
      </c>
      <c r="AE45" s="34">
        <f>19859.5/$D$68</f>
        <v>177.31696428571428</v>
      </c>
      <c r="AF45" s="34">
        <v>13978</v>
      </c>
      <c r="AG45" s="67">
        <f t="shared" si="6"/>
        <v>78.830584858631894</v>
      </c>
      <c r="AH45" s="18">
        <v>1047</v>
      </c>
      <c r="AI45" s="18">
        <v>10065</v>
      </c>
      <c r="AJ45" s="67">
        <f t="shared" si="7"/>
        <v>9.6131805157593124</v>
      </c>
      <c r="AK45" s="18">
        <v>2065</v>
      </c>
      <c r="AL45" s="18">
        <v>24176</v>
      </c>
      <c r="AM45" s="67">
        <f t="shared" si="8"/>
        <v>11.707506053268766</v>
      </c>
      <c r="AN45" s="18">
        <v>2715</v>
      </c>
      <c r="AO45" s="18">
        <v>22555</v>
      </c>
      <c r="AP45" s="67">
        <f t="shared" si="9"/>
        <v>8.30755064456722</v>
      </c>
      <c r="AQ45" s="18">
        <v>2377</v>
      </c>
      <c r="AR45" s="18">
        <v>43571</v>
      </c>
      <c r="AS45" s="67">
        <f t="shared" si="10"/>
        <v>18.330248212031972</v>
      </c>
      <c r="AT45" s="18">
        <v>3238</v>
      </c>
      <c r="AU45" s="18">
        <v>87252</v>
      </c>
      <c r="AV45" s="67">
        <f t="shared" si="11"/>
        <v>26.946263125386039</v>
      </c>
      <c r="AW45" s="18">
        <v>1986</v>
      </c>
      <c r="AX45" s="18">
        <v>53109</v>
      </c>
      <c r="AY45" s="67">
        <f t="shared" si="12"/>
        <v>26.741691842900302</v>
      </c>
    </row>
    <row r="46" spans="1:51" s="3" customFormat="1" x14ac:dyDescent="0.3">
      <c r="A46" s="15" t="s">
        <v>62</v>
      </c>
      <c r="B46" s="15" t="s">
        <v>42</v>
      </c>
      <c r="C46" s="34"/>
      <c r="D46" s="34"/>
      <c r="E46" s="34"/>
      <c r="F46" s="15" t="s">
        <v>42</v>
      </c>
      <c r="G46" s="34">
        <f>(4131)/$D$69</f>
        <v>239.74553571428572</v>
      </c>
      <c r="H46" s="34">
        <f>(27029.5)/$D$63</f>
        <v>519.79807692307691</v>
      </c>
      <c r="I46" s="67">
        <f t="shared" si="20"/>
        <v>2.1681241128199398</v>
      </c>
      <c r="J46" s="34"/>
      <c r="K46" s="15" t="s">
        <v>42</v>
      </c>
      <c r="L46" s="34">
        <f>(40232)/$D$69</f>
        <v>2334.8928571428573</v>
      </c>
      <c r="M46" s="34">
        <f>(262873)/$D$62</f>
        <v>4868.0185185185182</v>
      </c>
      <c r="N46" s="67">
        <f t="shared" si="1"/>
        <v>2.0849001715973277</v>
      </c>
      <c r="O46" s="15" t="s">
        <v>42</v>
      </c>
      <c r="P46" s="34">
        <f>(33768)/$D$69</f>
        <v>1959.75</v>
      </c>
      <c r="Q46" s="34">
        <f>(269966)/$D$61</f>
        <v>4736.2456140350878</v>
      </c>
      <c r="R46" s="67">
        <f t="shared" si="2"/>
        <v>2.4167601041128144</v>
      </c>
      <c r="S46" s="15" t="s">
        <v>42</v>
      </c>
      <c r="T46" s="39">
        <f>(37907.9+6488.5)/$D$69</f>
        <v>2576.576785714286</v>
      </c>
      <c r="U46" s="39">
        <f>(295479+47660)/$D$60</f>
        <v>6127.4821428571431</v>
      </c>
      <c r="V46" s="67">
        <f t="shared" si="3"/>
        <v>2.3781484708046321</v>
      </c>
      <c r="W46" s="15" t="s">
        <v>42</v>
      </c>
      <c r="X46" s="15" t="s">
        <v>118</v>
      </c>
      <c r="Y46" s="34">
        <f>(43576.5+14639)/$D$69</f>
        <v>3378.578125</v>
      </c>
      <c r="Z46" s="34">
        <f>(454302+185534)/$D$59</f>
        <v>10558.349834983497</v>
      </c>
      <c r="AA46" s="67">
        <f t="shared" si="4"/>
        <v>3.1250867803992239</v>
      </c>
      <c r="AB46" s="34"/>
      <c r="AC46" s="34"/>
      <c r="AD46" s="67"/>
      <c r="AE46" s="34">
        <f>20689/$D$68</f>
        <v>184.72321428571428</v>
      </c>
      <c r="AF46" s="34">
        <f>5559</f>
        <v>5559</v>
      </c>
      <c r="AG46" s="67">
        <f t="shared" si="6"/>
        <v>30.093672966310603</v>
      </c>
      <c r="AH46" s="18">
        <v>1203</v>
      </c>
      <c r="AI46" s="18">
        <v>3582</v>
      </c>
      <c r="AJ46" s="67">
        <f t="shared" si="7"/>
        <v>2.9775561097256857</v>
      </c>
      <c r="AK46" s="18">
        <v>2499</v>
      </c>
      <c r="AL46" s="18">
        <v>9751</v>
      </c>
      <c r="AM46" s="67">
        <f t="shared" si="8"/>
        <v>3.9019607843137254</v>
      </c>
      <c r="AN46" s="18">
        <v>879</v>
      </c>
      <c r="AO46" s="18">
        <v>4169</v>
      </c>
      <c r="AP46" s="67">
        <f t="shared" si="9"/>
        <v>4.742889647326507</v>
      </c>
      <c r="AQ46" s="18">
        <v>1566</v>
      </c>
      <c r="AR46" s="18">
        <v>6503</v>
      </c>
      <c r="AS46" s="67">
        <f t="shared" si="10"/>
        <v>4.1526181353767564</v>
      </c>
      <c r="AT46" s="18">
        <v>1668</v>
      </c>
      <c r="AU46" s="18">
        <v>7132</v>
      </c>
      <c r="AV46" s="67">
        <f t="shared" si="11"/>
        <v>4.275779376498801</v>
      </c>
      <c r="AW46" s="18">
        <v>839</v>
      </c>
      <c r="AX46" s="18">
        <v>5286</v>
      </c>
      <c r="AY46" s="67">
        <f t="shared" si="12"/>
        <v>6.3003575685339692</v>
      </c>
    </row>
    <row r="47" spans="1:51" s="3" customFormat="1" ht="15" customHeight="1" x14ac:dyDescent="0.3">
      <c r="A47" s="15" t="s">
        <v>274</v>
      </c>
      <c r="B47" s="15" t="s">
        <v>42</v>
      </c>
      <c r="C47" s="34"/>
      <c r="D47" s="34"/>
      <c r="E47" s="34"/>
      <c r="F47" s="15" t="s">
        <v>42</v>
      </c>
      <c r="G47" s="34"/>
      <c r="H47" s="34"/>
      <c r="I47" s="34"/>
      <c r="J47" s="34"/>
      <c r="K47" s="15" t="s">
        <v>42</v>
      </c>
      <c r="L47" s="34"/>
      <c r="M47" s="34"/>
      <c r="N47" s="67" t="str">
        <f t="shared" si="1"/>
        <v/>
      </c>
      <c r="O47" s="15" t="s">
        <v>42</v>
      </c>
      <c r="P47" s="34"/>
      <c r="Q47" s="34"/>
      <c r="R47" s="67" t="str">
        <f t="shared" si="2"/>
        <v/>
      </c>
      <c r="S47" s="15" t="s">
        <v>42</v>
      </c>
      <c r="T47" s="39"/>
      <c r="U47" s="39"/>
      <c r="V47" s="67" t="str">
        <f t="shared" si="3"/>
        <v/>
      </c>
      <c r="W47" s="15" t="s">
        <v>42</v>
      </c>
      <c r="X47" s="15" t="s">
        <v>118</v>
      </c>
      <c r="Y47" s="34"/>
      <c r="Z47" s="34"/>
      <c r="AA47" s="67"/>
      <c r="AB47" s="34"/>
      <c r="AC47" s="34"/>
      <c r="AD47" s="67"/>
      <c r="AE47" s="34">
        <f>5406.65/$D$68</f>
        <v>48.273660714285711</v>
      </c>
      <c r="AF47" s="34">
        <v>3630</v>
      </c>
      <c r="AG47" s="67">
        <f t="shared" si="6"/>
        <v>75.196286055135815</v>
      </c>
      <c r="AH47" s="18">
        <v>71</v>
      </c>
      <c r="AI47" s="18">
        <v>1049</v>
      </c>
      <c r="AJ47" s="67">
        <f t="shared" si="7"/>
        <v>14.774647887323944</v>
      </c>
      <c r="AK47" s="18">
        <v>98</v>
      </c>
      <c r="AL47" s="18">
        <v>895</v>
      </c>
      <c r="AM47" s="67">
        <f t="shared" si="8"/>
        <v>9.1326530612244898</v>
      </c>
      <c r="AN47" s="18">
        <v>275</v>
      </c>
      <c r="AO47" s="18">
        <v>1732</v>
      </c>
      <c r="AP47" s="67">
        <f t="shared" si="9"/>
        <v>6.2981818181818179</v>
      </c>
      <c r="AQ47" s="34">
        <v>183</v>
      </c>
      <c r="AR47" s="34">
        <v>2170</v>
      </c>
      <c r="AS47" s="67">
        <f t="shared" si="10"/>
        <v>11.857923497267759</v>
      </c>
      <c r="AT47" s="34">
        <v>129</v>
      </c>
      <c r="AU47" s="34">
        <v>1535</v>
      </c>
      <c r="AV47" s="67">
        <f t="shared" si="11"/>
        <v>11.89922480620155</v>
      </c>
      <c r="AW47" s="34">
        <v>123</v>
      </c>
      <c r="AX47" s="34">
        <v>1928</v>
      </c>
      <c r="AY47" s="67">
        <f t="shared" si="12"/>
        <v>15.674796747967479</v>
      </c>
    </row>
    <row r="48" spans="1:51" s="3" customFormat="1" ht="15" customHeight="1" x14ac:dyDescent="0.3">
      <c r="A48" s="15" t="s">
        <v>67</v>
      </c>
      <c r="B48" s="15" t="s">
        <v>42</v>
      </c>
      <c r="C48" s="34"/>
      <c r="D48" s="34"/>
      <c r="E48" s="34"/>
      <c r="F48" s="15" t="s">
        <v>42</v>
      </c>
      <c r="G48" s="34">
        <f>(676.5)/$D$69</f>
        <v>39.261160714285715</v>
      </c>
      <c r="H48" s="34">
        <f>(6275)/$D$63</f>
        <v>120.67307692307692</v>
      </c>
      <c r="I48" s="67">
        <f t="shared" si="20"/>
        <v>3.0735993212541053</v>
      </c>
      <c r="J48" s="34"/>
      <c r="K48" s="15" t="s">
        <v>42</v>
      </c>
      <c r="L48" s="34">
        <f>(833)/$D$69</f>
        <v>48.34375</v>
      </c>
      <c r="M48" s="34">
        <f>(11722)/$D$62</f>
        <v>217.07407407407408</v>
      </c>
      <c r="N48" s="67">
        <f t="shared" si="1"/>
        <v>4.4902200196317841</v>
      </c>
      <c r="O48" s="15" t="s">
        <v>42</v>
      </c>
      <c r="P48" s="34">
        <f>(2615.5+321)/$D$69</f>
        <v>170.421875</v>
      </c>
      <c r="Q48" s="34">
        <f>(32435+7023)/$D$61</f>
        <v>692.24561403508767</v>
      </c>
      <c r="R48" s="67">
        <f t="shared" si="2"/>
        <v>4.06195280996109</v>
      </c>
      <c r="S48" s="15" t="s">
        <v>42</v>
      </c>
      <c r="T48" s="39">
        <f>(157.89+1987+2135.5+391.5+33)/$D$69</f>
        <v>273.05165178571428</v>
      </c>
      <c r="U48" s="39">
        <f>(8614+19844+55184+4364+495)/$D$60</f>
        <v>1580.375</v>
      </c>
      <c r="V48" s="67">
        <f t="shared" si="3"/>
        <v>5.7878243536144147</v>
      </c>
      <c r="W48" s="15" t="s">
        <v>42</v>
      </c>
      <c r="X48" s="15" t="s">
        <v>118</v>
      </c>
      <c r="Y48" s="34">
        <f>(385.45+264.5+543+83+13)/$D$69</f>
        <v>74.805133928571436</v>
      </c>
      <c r="Z48" s="34">
        <f>(11754+2116+11809+1130+176)/$D$59</f>
        <v>445.29702970297029</v>
      </c>
      <c r="AA48" s="67">
        <f t="shared" si="4"/>
        <v>5.952760276161893</v>
      </c>
      <c r="AB48" s="34">
        <f>1079/$D$68</f>
        <v>9.6339285714285712</v>
      </c>
      <c r="AC48" s="34">
        <v>98</v>
      </c>
      <c r="AD48" s="67">
        <f t="shared" si="5"/>
        <v>10.172381835032438</v>
      </c>
      <c r="AE48" s="34">
        <f>543.5/$D$68</f>
        <v>4.8526785714285712</v>
      </c>
      <c r="AF48" s="34">
        <v>327</v>
      </c>
      <c r="AG48" s="67">
        <f t="shared" si="6"/>
        <v>67.385464581416741</v>
      </c>
      <c r="AH48" s="34">
        <v>11</v>
      </c>
      <c r="AI48" s="34">
        <v>130</v>
      </c>
      <c r="AJ48" s="67">
        <f t="shared" si="7"/>
        <v>11.818181818181818</v>
      </c>
      <c r="AK48" s="34">
        <v>13</v>
      </c>
      <c r="AL48" s="34">
        <v>172</v>
      </c>
      <c r="AM48" s="67">
        <f t="shared" si="8"/>
        <v>13.23076923076923</v>
      </c>
      <c r="AP48" s="67" t="str">
        <f t="shared" si="9"/>
        <v/>
      </c>
      <c r="AQ48" s="18"/>
      <c r="AR48" s="18"/>
      <c r="AS48" s="67" t="str">
        <f t="shared" si="10"/>
        <v/>
      </c>
      <c r="AT48" s="18"/>
      <c r="AU48" s="18"/>
      <c r="AV48" s="67" t="str">
        <f t="shared" si="11"/>
        <v/>
      </c>
      <c r="AW48" s="18">
        <v>11</v>
      </c>
      <c r="AX48" s="18">
        <v>326</v>
      </c>
      <c r="AY48" s="67">
        <f t="shared" si="12"/>
        <v>29.636363636363637</v>
      </c>
    </row>
    <row r="49" spans="1:56" s="3" customFormat="1" ht="15" customHeight="1" x14ac:dyDescent="0.3">
      <c r="A49" s="15" t="s">
        <v>63</v>
      </c>
      <c r="B49" s="15" t="s">
        <v>42</v>
      </c>
      <c r="C49" s="34"/>
      <c r="D49" s="34"/>
      <c r="E49" s="34"/>
      <c r="F49" s="15" t="s">
        <v>42</v>
      </c>
      <c r="G49" s="34">
        <f>(2488)/$D$69</f>
        <v>144.39285714285714</v>
      </c>
      <c r="H49" s="34">
        <f>(21055)/$D$63</f>
        <v>404.90384615384613</v>
      </c>
      <c r="I49" s="67">
        <f t="shared" si="20"/>
        <v>2.8041819669323997</v>
      </c>
      <c r="J49" s="34"/>
      <c r="K49" s="15" t="s">
        <v>42</v>
      </c>
      <c r="L49" s="34">
        <f>(10042)/$D$69</f>
        <v>582.79464285714289</v>
      </c>
      <c r="M49" s="34">
        <f>(75173)/$D$62</f>
        <v>1392.0925925925926</v>
      </c>
      <c r="N49" s="67">
        <f t="shared" si="1"/>
        <v>2.3886502898651871</v>
      </c>
      <c r="O49" s="15" t="s">
        <v>42</v>
      </c>
      <c r="P49" s="34">
        <f>(3604)/$D$69</f>
        <v>209.16071428571431</v>
      </c>
      <c r="Q49" s="34">
        <f>(20228)/$D$61</f>
        <v>354.87719298245617</v>
      </c>
      <c r="R49" s="67">
        <f t="shared" si="2"/>
        <v>1.6966723134139454</v>
      </c>
      <c r="S49" s="15" t="s">
        <v>42</v>
      </c>
      <c r="T49" s="39">
        <f>(25+14624.9)/$D$69</f>
        <v>850.21741071428573</v>
      </c>
      <c r="U49" s="39">
        <f>(185+116409)/$D$60</f>
        <v>2082.0357142857142</v>
      </c>
      <c r="V49" s="67">
        <f t="shared" si="3"/>
        <v>2.4488274270184043</v>
      </c>
      <c r="W49" s="15" t="s">
        <v>42</v>
      </c>
      <c r="X49" s="15" t="s">
        <v>118</v>
      </c>
      <c r="Y49" s="34">
        <f>9327.15/$D$69</f>
        <v>541.30781249999995</v>
      </c>
      <c r="Z49" s="34">
        <f>90796/$D$59</f>
        <v>1498.2838283828382</v>
      </c>
      <c r="AA49" s="67">
        <f t="shared" si="4"/>
        <v>2.767896183620735</v>
      </c>
      <c r="AB49" s="34">
        <f>(12119+24823+17738)/$D$68</f>
        <v>488.21428571428572</v>
      </c>
      <c r="AC49" s="34">
        <f>278+668+517</f>
        <v>1463</v>
      </c>
      <c r="AD49" s="67">
        <f t="shared" si="5"/>
        <v>2.9966349670811998</v>
      </c>
      <c r="AE49" s="34">
        <f>5739.5/$D$68</f>
        <v>51.245535714285715</v>
      </c>
      <c r="AF49" s="34">
        <v>1696</v>
      </c>
      <c r="AG49" s="67">
        <f t="shared" si="6"/>
        <v>33.095565815837617</v>
      </c>
      <c r="AH49" s="34">
        <v>1182</v>
      </c>
      <c r="AI49" s="34">
        <v>3487</v>
      </c>
      <c r="AJ49" s="67">
        <f t="shared" si="7"/>
        <v>2.9500846023688663</v>
      </c>
      <c r="AK49" s="34">
        <v>697</v>
      </c>
      <c r="AL49" s="34">
        <v>2266</v>
      </c>
      <c r="AM49" s="67">
        <f t="shared" si="8"/>
        <v>3.2510760401721663</v>
      </c>
      <c r="AN49" s="18">
        <v>617</v>
      </c>
      <c r="AO49" s="18">
        <v>2086</v>
      </c>
      <c r="AP49" s="67">
        <f t="shared" si="9"/>
        <v>3.380875202593193</v>
      </c>
      <c r="AQ49" s="18">
        <v>1234</v>
      </c>
      <c r="AR49" s="18">
        <v>4685</v>
      </c>
      <c r="AS49" s="67">
        <f t="shared" si="10"/>
        <v>3.7965964343598055</v>
      </c>
      <c r="AT49" s="18">
        <v>540</v>
      </c>
      <c r="AU49" s="18">
        <v>1610</v>
      </c>
      <c r="AV49" s="67">
        <f t="shared" si="11"/>
        <v>2.9814814814814814</v>
      </c>
      <c r="AW49" s="18">
        <v>604</v>
      </c>
      <c r="AX49" s="18">
        <v>2155</v>
      </c>
      <c r="AY49" s="67">
        <f t="shared" si="12"/>
        <v>3.5678807947019866</v>
      </c>
    </row>
    <row r="50" spans="1:56" s="3" customFormat="1" ht="15" customHeight="1" x14ac:dyDescent="0.3">
      <c r="A50" s="15" t="s">
        <v>64</v>
      </c>
      <c r="B50" s="15" t="s">
        <v>42</v>
      </c>
      <c r="C50" s="34"/>
      <c r="D50" s="34"/>
      <c r="E50" s="34"/>
      <c r="F50" s="15" t="s">
        <v>42</v>
      </c>
      <c r="G50" s="34">
        <f>(2941)/$D$69</f>
        <v>170.68303571428572</v>
      </c>
      <c r="H50" s="34">
        <f>(4200)/$D$63</f>
        <v>80.769230769230774</v>
      </c>
      <c r="I50" s="67">
        <f t="shared" si="20"/>
        <v>0.47321182466214246</v>
      </c>
      <c r="J50" s="34"/>
      <c r="K50" s="15" t="s">
        <v>42</v>
      </c>
      <c r="L50" s="34">
        <f>(3783)/$D$69</f>
        <v>219.54910714285717</v>
      </c>
      <c r="M50" s="34">
        <f>(14685)/$D$62</f>
        <v>271.94444444444446</v>
      </c>
      <c r="N50" s="67">
        <f t="shared" si="1"/>
        <v>1.238649739839272</v>
      </c>
      <c r="O50" s="15" t="s">
        <v>42</v>
      </c>
      <c r="P50" s="34">
        <f>(5465)/$D$69</f>
        <v>317.16517857142861</v>
      </c>
      <c r="Q50" s="34">
        <f>(16743)/$D$61</f>
        <v>293.73684210526318</v>
      </c>
      <c r="R50" s="67">
        <f t="shared" si="2"/>
        <v>0.92613206603672238</v>
      </c>
      <c r="S50" s="15" t="s">
        <v>42</v>
      </c>
      <c r="T50" s="39"/>
      <c r="U50" s="39"/>
      <c r="V50" s="67" t="str">
        <f t="shared" si="3"/>
        <v/>
      </c>
      <c r="W50" s="15" t="s">
        <v>42</v>
      </c>
      <c r="X50" s="15" t="s">
        <v>118</v>
      </c>
      <c r="Y50" s="34">
        <f>(2326+3474)/$D$69</f>
        <v>336.60714285714289</v>
      </c>
      <c r="Z50" s="34">
        <f>(3190+14279)/$D$59</f>
        <v>288.26732673267327</v>
      </c>
      <c r="AA50" s="67">
        <f t="shared" si="4"/>
        <v>0.85639099718990463</v>
      </c>
      <c r="AB50" s="34"/>
      <c r="AC50" s="34"/>
      <c r="AD50" s="67" t="str">
        <f t="shared" si="5"/>
        <v/>
      </c>
      <c r="AE50" s="34">
        <f>6517/$D$68</f>
        <v>58.1875</v>
      </c>
      <c r="AF50" s="34">
        <v>184</v>
      </c>
      <c r="AG50" s="67">
        <f t="shared" si="6"/>
        <v>3.1621911922663801</v>
      </c>
      <c r="AH50" s="18">
        <v>440</v>
      </c>
      <c r="AI50" s="18">
        <v>217</v>
      </c>
      <c r="AJ50" s="67">
        <f t="shared" si="7"/>
        <v>0.49318181818181817</v>
      </c>
      <c r="AK50" s="18">
        <v>1778</v>
      </c>
      <c r="AL50" s="18">
        <v>1094</v>
      </c>
      <c r="AM50" s="67">
        <f t="shared" si="8"/>
        <v>0.61529808773903261</v>
      </c>
      <c r="AN50" s="18">
        <v>994</v>
      </c>
      <c r="AO50" s="18">
        <v>1431</v>
      </c>
      <c r="AP50" s="67">
        <f t="shared" si="9"/>
        <v>1.4396378269617707</v>
      </c>
      <c r="AQ50" s="18">
        <v>1135</v>
      </c>
      <c r="AR50" s="18">
        <v>1579</v>
      </c>
      <c r="AS50" s="67">
        <f t="shared" si="10"/>
        <v>1.3911894273127754</v>
      </c>
      <c r="AT50" s="18">
        <v>1089</v>
      </c>
      <c r="AU50" s="18">
        <v>1715</v>
      </c>
      <c r="AV50" s="67">
        <f t="shared" si="11"/>
        <v>1.5748393021120295</v>
      </c>
      <c r="AW50" s="18">
        <v>1402</v>
      </c>
      <c r="AX50" s="18">
        <v>1971</v>
      </c>
      <c r="AY50" s="67">
        <f t="shared" si="12"/>
        <v>1.4058487874465051</v>
      </c>
    </row>
    <row r="51" spans="1:56" s="3" customFormat="1" x14ac:dyDescent="0.3">
      <c r="A51" s="15" t="s">
        <v>23</v>
      </c>
      <c r="B51" s="15" t="s">
        <v>42</v>
      </c>
      <c r="C51" s="34">
        <v>360</v>
      </c>
      <c r="D51" s="34">
        <f>(57600/$D$64)</f>
        <v>1152.0003646107307</v>
      </c>
      <c r="E51" s="67">
        <f>D51/C51</f>
        <v>3.2000010128075851</v>
      </c>
      <c r="F51" s="15" t="s">
        <v>42</v>
      </c>
      <c r="G51" s="34">
        <f>(1694)/$D$69</f>
        <v>98.3125</v>
      </c>
      <c r="H51" s="34">
        <f>(10675)/$D$63</f>
        <v>205.28846153846155</v>
      </c>
      <c r="I51" s="67">
        <f t="shared" si="20"/>
        <v>2.0881216685412491</v>
      </c>
      <c r="J51" s="34"/>
      <c r="K51" s="15" t="s">
        <v>42</v>
      </c>
      <c r="L51" s="34">
        <f>(796+458)/$D$69</f>
        <v>72.776785714285722</v>
      </c>
      <c r="M51" s="34">
        <f>(5344+3058)/$D$62</f>
        <v>155.59259259259258</v>
      </c>
      <c r="N51" s="67">
        <f t="shared" si="1"/>
        <v>2.1379426291706989</v>
      </c>
      <c r="O51" s="15" t="s">
        <v>42</v>
      </c>
      <c r="P51" s="34">
        <f>(2185+473)/$D$69</f>
        <v>154.25892857142858</v>
      </c>
      <c r="Q51" s="34">
        <f>(14718+3112)/$D$61</f>
        <v>312.80701754385967</v>
      </c>
      <c r="R51" s="67">
        <f t="shared" si="2"/>
        <v>2.0278049409568952</v>
      </c>
      <c r="S51" s="15" t="s">
        <v>42</v>
      </c>
      <c r="T51" s="39">
        <f>(3.5+101.5+4957.75+180.25+109+1937.5)/$D$69</f>
        <v>423.05133928571428</v>
      </c>
      <c r="U51" s="39">
        <f>(25+1172+30127+758+1075+3768)/$D$60</f>
        <v>659.375</v>
      </c>
      <c r="V51" s="67">
        <f t="shared" si="3"/>
        <v>1.5586169780558972</v>
      </c>
      <c r="W51" s="15" t="s">
        <v>42</v>
      </c>
      <c r="X51" s="15" t="s">
        <v>118</v>
      </c>
      <c r="Y51" s="34">
        <f>(46+2857.5+73)/$D$69</f>
        <v>172.74330357142858</v>
      </c>
      <c r="Z51" s="34">
        <f>(467+20208+486)/$D$59</f>
        <v>349.1914191419142</v>
      </c>
      <c r="AA51" s="67">
        <f t="shared" si="4"/>
        <v>2.0214469210815174</v>
      </c>
      <c r="AB51" s="34">
        <f>(97+13+39903)/$D$68</f>
        <v>357.25892857142856</v>
      </c>
      <c r="AC51" s="34">
        <f>4+1+557</f>
        <v>562</v>
      </c>
      <c r="AD51" s="67">
        <f t="shared" si="5"/>
        <v>1.5730887461574989</v>
      </c>
      <c r="AE51" s="34">
        <f>(442.45+6505.5)/$D$68</f>
        <v>62.035267857142856</v>
      </c>
      <c r="AF51" s="34">
        <f>40+711</f>
        <v>751</v>
      </c>
      <c r="AG51" s="67">
        <f t="shared" si="6"/>
        <v>12.106016882677624</v>
      </c>
      <c r="AH51" s="34">
        <f>22+252</f>
        <v>274</v>
      </c>
      <c r="AI51" s="34">
        <f>69+705</f>
        <v>774</v>
      </c>
      <c r="AJ51" s="67">
        <f t="shared" si="7"/>
        <v>2.8248175182481754</v>
      </c>
      <c r="AK51" s="18">
        <f>2+360</f>
        <v>362</v>
      </c>
      <c r="AL51" s="18">
        <f>14+1004</f>
        <v>1018</v>
      </c>
      <c r="AM51" s="67">
        <f t="shared" si="8"/>
        <v>2.8121546961325965</v>
      </c>
      <c r="AN51" s="34">
        <v>705</v>
      </c>
      <c r="AO51" s="18">
        <v>1568</v>
      </c>
      <c r="AP51" s="67">
        <f t="shared" si="9"/>
        <v>2.2241134751773051</v>
      </c>
      <c r="AQ51" s="18">
        <v>444</v>
      </c>
      <c r="AR51" s="18">
        <v>857</v>
      </c>
      <c r="AS51" s="67">
        <f t="shared" si="10"/>
        <v>1.9301801801801801</v>
      </c>
      <c r="AT51" s="18">
        <v>75</v>
      </c>
      <c r="AU51" s="18">
        <v>199</v>
      </c>
      <c r="AV51" s="67">
        <f t="shared" si="11"/>
        <v>2.6533333333333333</v>
      </c>
      <c r="AW51" s="18">
        <v>343</v>
      </c>
      <c r="AX51" s="18">
        <v>958</v>
      </c>
      <c r="AY51" s="67">
        <f t="shared" si="12"/>
        <v>2.7930029154518952</v>
      </c>
    </row>
    <row r="52" spans="1:56" s="3" customFormat="1" ht="15" customHeight="1" x14ac:dyDescent="0.3">
      <c r="A52" s="15" t="s">
        <v>65</v>
      </c>
      <c r="B52" s="15" t="s">
        <v>42</v>
      </c>
      <c r="C52" s="34"/>
      <c r="D52" s="34"/>
      <c r="E52" s="34"/>
      <c r="F52" s="15" t="s">
        <v>42</v>
      </c>
      <c r="G52" s="34">
        <f>(2253)/$D$69</f>
        <v>130.75446428571431</v>
      </c>
      <c r="H52" s="34">
        <f>(114480)/$D$63</f>
        <v>2201.5384615384614</v>
      </c>
      <c r="I52" s="67">
        <f t="shared" si="20"/>
        <v>16.837195376578759</v>
      </c>
      <c r="J52" s="34"/>
      <c r="K52" s="15" t="s">
        <v>42</v>
      </c>
      <c r="L52" s="34">
        <f>(1205)/$D$69</f>
        <v>69.933035714285722</v>
      </c>
      <c r="M52" s="34">
        <f>(54390)/$D$62</f>
        <v>1007.2222222222222</v>
      </c>
      <c r="N52" s="67">
        <f t="shared" si="1"/>
        <v>14.40266695038479</v>
      </c>
      <c r="O52" s="15" t="s">
        <v>42</v>
      </c>
      <c r="P52" s="34">
        <f>(1343)/$D$69</f>
        <v>77.941964285714292</v>
      </c>
      <c r="Q52" s="34">
        <f>(71993)/$D$61</f>
        <v>1263.0350877192982</v>
      </c>
      <c r="R52" s="67">
        <f t="shared" si="2"/>
        <v>16.204814688648995</v>
      </c>
      <c r="S52" s="15" t="s">
        <v>42</v>
      </c>
      <c r="T52" s="39">
        <f>(5762+6.5)/$D$69</f>
        <v>334.77901785714289</v>
      </c>
      <c r="U52" s="39">
        <f>(273840+380)/$D$60</f>
        <v>4896.7857142857147</v>
      </c>
      <c r="V52" s="67">
        <f t="shared" si="3"/>
        <v>14.626919409791906</v>
      </c>
      <c r="W52" s="15" t="s">
        <v>42</v>
      </c>
      <c r="X52" s="15" t="s">
        <v>118</v>
      </c>
      <c r="Y52" s="34">
        <f>(6311.32+36)/$D$69</f>
        <v>368.37124999999997</v>
      </c>
      <c r="Z52" s="34">
        <f>(310292+1960)/$D$59</f>
        <v>5152.6732673267325</v>
      </c>
      <c r="AA52" s="67">
        <f t="shared" si="4"/>
        <v>13.987718279661436</v>
      </c>
      <c r="AB52" s="34">
        <f>(38216+414)/$D$68</f>
        <v>344.91071428571428</v>
      </c>
      <c r="AC52" s="34">
        <f>5046+104</f>
        <v>5150</v>
      </c>
      <c r="AD52" s="67">
        <f t="shared" si="5"/>
        <v>14.931400465959099</v>
      </c>
      <c r="AE52" s="34">
        <f>8249.25/$D$68</f>
        <v>73.654017857142861</v>
      </c>
      <c r="AF52" s="34">
        <v>9092</v>
      </c>
      <c r="AG52" s="67">
        <f t="shared" si="6"/>
        <v>123.44200987968603</v>
      </c>
      <c r="AH52" s="34">
        <f>647</f>
        <v>647</v>
      </c>
      <c r="AI52" s="34">
        <f>27884</f>
        <v>27884</v>
      </c>
      <c r="AJ52" s="67">
        <f t="shared" si="7"/>
        <v>43.097372488408034</v>
      </c>
      <c r="AK52" s="11">
        <f>14+353</f>
        <v>367</v>
      </c>
      <c r="AL52" s="11">
        <f>260+6708</f>
        <v>6968</v>
      </c>
      <c r="AM52" s="67">
        <f t="shared" si="8"/>
        <v>18.986376021798364</v>
      </c>
      <c r="AN52" s="34">
        <v>926</v>
      </c>
      <c r="AO52" s="11">
        <v>19469</v>
      </c>
      <c r="AP52" s="67">
        <f t="shared" si="9"/>
        <v>21.024838012958963</v>
      </c>
      <c r="AQ52" s="18">
        <v>840</v>
      </c>
      <c r="AR52" s="18">
        <v>15989</v>
      </c>
      <c r="AS52" s="67">
        <f t="shared" si="10"/>
        <v>19.034523809523808</v>
      </c>
      <c r="AT52" s="18">
        <v>645</v>
      </c>
      <c r="AU52" s="18">
        <v>11266</v>
      </c>
      <c r="AV52" s="67">
        <f t="shared" si="11"/>
        <v>17.466666666666665</v>
      </c>
      <c r="AW52" s="18">
        <v>803</v>
      </c>
      <c r="AX52" s="18">
        <v>12164</v>
      </c>
      <c r="AY52" s="67">
        <f t="shared" si="12"/>
        <v>15.148194271481943</v>
      </c>
    </row>
    <row r="53" spans="1:56" s="3" customFormat="1" ht="15" customHeight="1" x14ac:dyDescent="0.3">
      <c r="A53" s="15" t="s">
        <v>275</v>
      </c>
      <c r="B53" s="15" t="s">
        <v>42</v>
      </c>
      <c r="C53" s="34"/>
      <c r="D53" s="34"/>
      <c r="E53" s="34"/>
      <c r="F53" s="15" t="s">
        <v>42</v>
      </c>
      <c r="G53" s="34">
        <f>(5694)/$D$69</f>
        <v>330.45535714285717</v>
      </c>
      <c r="H53" s="34">
        <f>(51215)/$D$63</f>
        <v>984.90384615384619</v>
      </c>
      <c r="I53" s="67">
        <f t="shared" si="20"/>
        <v>2.9804444832409489</v>
      </c>
      <c r="J53" s="34"/>
      <c r="K53" s="15" t="s">
        <v>42</v>
      </c>
      <c r="L53" s="34">
        <f>(5032)/$D$69</f>
        <v>292.03571428571428</v>
      </c>
      <c r="M53" s="34">
        <f>(19457)/$D$62</f>
        <v>360.31481481481484</v>
      </c>
      <c r="N53" s="67">
        <f t="shared" si="1"/>
        <v>1.2338039396862928</v>
      </c>
      <c r="O53" s="15" t="s">
        <v>42</v>
      </c>
      <c r="P53" s="34">
        <f>(1510)/$D$69</f>
        <v>87.633928571428569</v>
      </c>
      <c r="Q53" s="34">
        <f>(23067)/$D$61</f>
        <v>404.68421052631578</v>
      </c>
      <c r="R53" s="67">
        <f t="shared" si="2"/>
        <v>4.6178942006059467</v>
      </c>
      <c r="S53" s="15" t="s">
        <v>42</v>
      </c>
      <c r="T53" s="39">
        <f>(15242.5+15+18852)/$D$69</f>
        <v>1979.5691964285716</v>
      </c>
      <c r="U53" s="39">
        <f>(83875+19+180280)/$D$60</f>
        <v>4717.3928571428569</v>
      </c>
      <c r="V53" s="67">
        <f t="shared" si="3"/>
        <v>2.3830401410840873</v>
      </c>
      <c r="W53" s="15" t="s">
        <v>42</v>
      </c>
      <c r="X53" s="15" t="s">
        <v>118</v>
      </c>
      <c r="Y53" s="34">
        <f>(58081.7+15802)/$D$69</f>
        <v>4287.893303571429</v>
      </c>
      <c r="Z53" s="34">
        <f>(573969+173155)/$D$59</f>
        <v>12328.778877887789</v>
      </c>
      <c r="AA53" s="67">
        <f t="shared" si="4"/>
        <v>2.8752531849659193</v>
      </c>
      <c r="AB53" s="34">
        <f>(61+13637+276467)/$D$68</f>
        <v>2590.7589285714284</v>
      </c>
      <c r="AC53" s="34">
        <f>4+377+8200</f>
        <v>8581</v>
      </c>
      <c r="AD53" s="67">
        <f t="shared" si="5"/>
        <v>3.3121568762600591</v>
      </c>
      <c r="AE53" s="34"/>
      <c r="AF53" s="34"/>
      <c r="AG53" s="67" t="str">
        <f t="shared" si="6"/>
        <v/>
      </c>
      <c r="AH53" s="34">
        <v>1956</v>
      </c>
      <c r="AI53" s="34">
        <v>6029</v>
      </c>
      <c r="AJ53" s="67">
        <f t="shared" si="7"/>
        <v>3.0823108384458076</v>
      </c>
      <c r="AK53" s="34">
        <v>3124</v>
      </c>
      <c r="AL53" s="34">
        <f>9823+5</f>
        <v>9828</v>
      </c>
      <c r="AM53" s="67">
        <f t="shared" si="8"/>
        <v>3.145966709346991</v>
      </c>
      <c r="AN53" s="34">
        <f>2413+14</f>
        <v>2427</v>
      </c>
      <c r="AO53" s="34">
        <f>8124+69</f>
        <v>8193</v>
      </c>
      <c r="AP53" s="67">
        <f t="shared" si="9"/>
        <v>3.3757725587144622</v>
      </c>
      <c r="AQ53" s="18">
        <v>3614</v>
      </c>
      <c r="AR53" s="18">
        <v>11458</v>
      </c>
      <c r="AS53" s="67">
        <f t="shared" si="10"/>
        <v>3.1704482567791921</v>
      </c>
      <c r="AT53" s="18">
        <v>3480</v>
      </c>
      <c r="AU53" s="18">
        <v>10706</v>
      </c>
      <c r="AV53" s="67">
        <f t="shared" si="11"/>
        <v>3.0764367816091953</v>
      </c>
      <c r="AW53" s="18">
        <v>2876</v>
      </c>
      <c r="AX53" s="18">
        <v>9820</v>
      </c>
      <c r="AY53" s="67">
        <f t="shared" si="12"/>
        <v>3.4144645340751043</v>
      </c>
    </row>
    <row r="54" spans="1:56" s="3" customFormat="1" ht="15" customHeight="1" x14ac:dyDescent="0.3">
      <c r="A54" s="15" t="s">
        <v>66</v>
      </c>
      <c r="B54" s="15" t="s">
        <v>42</v>
      </c>
      <c r="C54" s="34">
        <f>536</f>
        <v>536</v>
      </c>
      <c r="D54" s="34">
        <f>(140640/$D$64)</f>
        <v>2812.8008902578672</v>
      </c>
      <c r="E54" s="67">
        <f>D54/C54</f>
        <v>5.2477628549587072</v>
      </c>
      <c r="F54" s="68" t="s">
        <v>42</v>
      </c>
      <c r="G54" s="44" t="s">
        <v>232</v>
      </c>
      <c r="H54" s="34">
        <f>(35850+34620.5+10200)/$D$63</f>
        <v>1551.3557692307693</v>
      </c>
      <c r="I54" s="67"/>
      <c r="J54" s="34"/>
      <c r="K54" s="15" t="s">
        <v>42</v>
      </c>
      <c r="L54" s="34">
        <f>(1521+16486+646)/$D$69</f>
        <v>1082.5401785714287</v>
      </c>
      <c r="M54" s="34">
        <f>(15351+86186+7725)/$D$62</f>
        <v>2023.3703703703704</v>
      </c>
      <c r="N54" s="67">
        <f t="shared" si="1"/>
        <v>1.8690949402363115</v>
      </c>
      <c r="O54" s="15" t="s">
        <v>42</v>
      </c>
      <c r="P54" s="34">
        <f>(1474+13264+1048)/$D$69</f>
        <v>916.15178571428578</v>
      </c>
      <c r="Q54" s="34">
        <f>(19843+79710+15234)/$D$61</f>
        <v>2013.8070175438597</v>
      </c>
      <c r="R54" s="67">
        <f t="shared" si="2"/>
        <v>2.1981150382998789</v>
      </c>
      <c r="S54" s="15" t="s">
        <v>42</v>
      </c>
      <c r="T54" s="39">
        <f>(176.5+2848.375+14290+250+825)/$D$69</f>
        <v>1067.26953125</v>
      </c>
      <c r="U54" s="39">
        <f>(4527+26802+93152+28+3650)/$D$60</f>
        <v>2288.5535714285716</v>
      </c>
      <c r="V54" s="67">
        <f t="shared" si="3"/>
        <v>2.1443070418661607</v>
      </c>
      <c r="W54" s="15" t="s">
        <v>42</v>
      </c>
      <c r="X54" s="15" t="s">
        <v>118</v>
      </c>
      <c r="Y54" s="34">
        <f>(180.1+639+4258.2+250+8)/$D$69</f>
        <v>309.63794642857147</v>
      </c>
      <c r="Z54" s="34">
        <f>(6379+6161+23725+1390+40)/$D$59</f>
        <v>622.02970297029697</v>
      </c>
      <c r="AA54" s="67">
        <f t="shared" si="4"/>
        <v>2.0088936454491999</v>
      </c>
      <c r="AB54" s="34">
        <f>(864+62595+7273)/$D$68</f>
        <v>631.53571428571433</v>
      </c>
      <c r="AC54" s="34">
        <f>43+1152+160</f>
        <v>1355</v>
      </c>
      <c r="AD54" s="67">
        <f t="shared" si="5"/>
        <v>2.1455635355991629</v>
      </c>
      <c r="AE54" s="34">
        <f>(219.65+1034.25+12609+224+40)/$D$68</f>
        <v>126.13303571428571</v>
      </c>
      <c r="AF54" s="34">
        <f>92+209+1702+91+67</f>
        <v>2161</v>
      </c>
      <c r="AG54" s="67">
        <f t="shared" si="6"/>
        <v>17.132704273407473</v>
      </c>
      <c r="AH54" s="34">
        <v>716</v>
      </c>
      <c r="AI54" s="34">
        <v>1644</v>
      </c>
      <c r="AJ54" s="67">
        <f t="shared" si="7"/>
        <v>2.2960893854748603</v>
      </c>
      <c r="AK54" s="34">
        <v>619</v>
      </c>
      <c r="AL54" s="34">
        <v>1769</v>
      </c>
      <c r="AM54" s="67">
        <f t="shared" si="8"/>
        <v>2.8578352180936997</v>
      </c>
      <c r="AN54">
        <v>645</v>
      </c>
      <c r="AO54" s="34">
        <v>1643</v>
      </c>
      <c r="AP54" s="67">
        <f t="shared" si="9"/>
        <v>2.5472868217054265</v>
      </c>
      <c r="AQ54" s="18">
        <v>788</v>
      </c>
      <c r="AR54" s="18">
        <v>2071</v>
      </c>
      <c r="AS54" s="67">
        <f t="shared" si="10"/>
        <v>2.6281725888324874</v>
      </c>
      <c r="AT54" s="18">
        <v>640</v>
      </c>
      <c r="AU54" s="18">
        <v>1455</v>
      </c>
      <c r="AV54" s="67">
        <f t="shared" si="11"/>
        <v>2.2734375</v>
      </c>
      <c r="AW54" s="18">
        <v>117</v>
      </c>
      <c r="AX54" s="18">
        <v>358</v>
      </c>
      <c r="AY54" s="67">
        <f t="shared" si="12"/>
        <v>3.0598290598290596</v>
      </c>
    </row>
    <row r="55" spans="1:56" s="3" customFormat="1" ht="15" customHeight="1" x14ac:dyDescent="0.3">
      <c r="A55" s="14" t="s">
        <v>4</v>
      </c>
      <c r="C55" s="14"/>
      <c r="D55" s="34">
        <v>631907</v>
      </c>
      <c r="E55" s="67"/>
      <c r="F55" s="34"/>
      <c r="G55" s="34"/>
      <c r="H55" s="34">
        <v>508290</v>
      </c>
      <c r="I55" s="34"/>
      <c r="J55" s="34"/>
      <c r="K55" s="30"/>
      <c r="L55" s="34"/>
      <c r="M55" s="34">
        <v>865724</v>
      </c>
      <c r="N55" s="34"/>
      <c r="O55" s="30"/>
      <c r="P55" s="34"/>
      <c r="Q55" s="34">
        <f>48680506/$D$61</f>
        <v>854043.96491228067</v>
      </c>
      <c r="R55" s="34"/>
      <c r="S55" s="20"/>
      <c r="T55" s="78"/>
      <c r="U55" s="34">
        <v>894812</v>
      </c>
      <c r="V55" s="34"/>
      <c r="W55" s="20"/>
      <c r="X55" s="20"/>
      <c r="Y55" s="34"/>
      <c r="Z55" s="34">
        <v>836949</v>
      </c>
      <c r="AA55" s="34"/>
      <c r="AB55" s="34"/>
      <c r="AC55" s="34">
        <v>745674</v>
      </c>
      <c r="AD55" s="34"/>
      <c r="AE55" s="34"/>
      <c r="AF55" s="34">
        <f>1014336</f>
        <v>1014336</v>
      </c>
      <c r="AG55" s="34"/>
      <c r="AI55" s="34">
        <v>1240449</v>
      </c>
      <c r="AJ55" s="34"/>
      <c r="AL55" s="34">
        <v>1379114</v>
      </c>
      <c r="AM55" s="34"/>
      <c r="AO55" s="34">
        <v>1258760</v>
      </c>
      <c r="AP55" s="34"/>
      <c r="AR55" s="18">
        <v>1414723</v>
      </c>
      <c r="AS55" s="34"/>
      <c r="AT55" s="11"/>
      <c r="AU55" s="18">
        <v>1217332</v>
      </c>
      <c r="AV55" s="34"/>
      <c r="AW55" s="20"/>
      <c r="AX55" s="18">
        <v>938365</v>
      </c>
      <c r="AY55" s="34"/>
      <c r="BC55" s="21"/>
      <c r="BD55" s="20"/>
    </row>
    <row r="56" spans="1:56" s="3" customFormat="1" ht="15" x14ac:dyDescent="0.3">
      <c r="A56" s="15"/>
      <c r="B56" s="19"/>
      <c r="F56" s="19"/>
      <c r="G56" s="19"/>
      <c r="H56" s="19"/>
      <c r="J56" s="19"/>
      <c r="K56" s="19"/>
      <c r="U56" s="11"/>
      <c r="W56" s="19"/>
      <c r="X56" s="19"/>
      <c r="Z56" s="11"/>
      <c r="AB56" s="11"/>
      <c r="AC56" s="11"/>
      <c r="AE56" s="21"/>
      <c r="AI56" s="21"/>
      <c r="AK56" s="19"/>
    </row>
    <row r="57" spans="1:56" s="3" customFormat="1" ht="15" x14ac:dyDescent="0.3">
      <c r="A57" s="15"/>
      <c r="B57" s="19"/>
      <c r="F57" s="19"/>
      <c r="G57" s="19"/>
      <c r="H57" s="19"/>
      <c r="J57" s="19"/>
      <c r="K57" s="19"/>
      <c r="U57" s="2"/>
      <c r="W57" s="19"/>
      <c r="X57" s="19"/>
      <c r="Z57" s="2"/>
      <c r="AB57" s="2"/>
      <c r="AE57" s="21"/>
      <c r="AK57" s="19"/>
    </row>
    <row r="58" spans="1:56" ht="15" x14ac:dyDescent="0.3">
      <c r="A58" s="25" t="s">
        <v>14</v>
      </c>
      <c r="B58" s="3"/>
      <c r="F58" s="3"/>
      <c r="G58"/>
      <c r="H58"/>
      <c r="J58"/>
      <c r="K58" s="3"/>
      <c r="W58"/>
      <c r="X58"/>
      <c r="AE58" s="21"/>
      <c r="AH58" s="3"/>
      <c r="AK58"/>
    </row>
    <row r="59" spans="1:56" ht="15" x14ac:dyDescent="0.3">
      <c r="A59" s="3" t="s">
        <v>34</v>
      </c>
      <c r="B59" s="3">
        <v>1</v>
      </c>
      <c r="C59" s="4" t="s">
        <v>15</v>
      </c>
      <c r="D59" s="6">
        <v>60.6</v>
      </c>
      <c r="E59" s="4" t="s">
        <v>16</v>
      </c>
      <c r="F59" s="3"/>
      <c r="G59"/>
      <c r="H59" s="6"/>
      <c r="J59" s="21"/>
      <c r="K59"/>
      <c r="L59" s="3"/>
      <c r="M59" s="6"/>
      <c r="O59" s="3"/>
      <c r="Q59" s="6"/>
      <c r="S59" s="3"/>
      <c r="T59"/>
      <c r="U59" s="6"/>
      <c r="W59"/>
      <c r="X59"/>
      <c r="Z59" s="6"/>
      <c r="AC59" s="6"/>
      <c r="AF59" s="6"/>
      <c r="AI59" s="6"/>
      <c r="AK59"/>
      <c r="AL59" s="6"/>
      <c r="AO59" s="6"/>
      <c r="AR59" s="6"/>
      <c r="AU59" s="6"/>
      <c r="AX59" s="6"/>
    </row>
    <row r="60" spans="1:56" ht="15" x14ac:dyDescent="0.3">
      <c r="A60" s="3" t="s">
        <v>38</v>
      </c>
      <c r="B60" s="3">
        <v>1</v>
      </c>
      <c r="C60" s="4" t="s">
        <v>15</v>
      </c>
      <c r="D60" s="6">
        <v>56</v>
      </c>
      <c r="E60" s="4" t="s">
        <v>16</v>
      </c>
      <c r="F60" s="3"/>
      <c r="G60"/>
      <c r="H60" s="6"/>
      <c r="J60" s="21"/>
      <c r="K60"/>
      <c r="L60" s="3"/>
      <c r="M60" s="6"/>
      <c r="O60" s="3"/>
      <c r="Q60" s="6"/>
      <c r="S60" s="3"/>
      <c r="T60"/>
      <c r="U60" s="6"/>
      <c r="W60"/>
      <c r="X60"/>
      <c r="Z60" s="6"/>
      <c r="AC60" s="6"/>
      <c r="AF60" s="6"/>
      <c r="AI60" s="6"/>
      <c r="AK60"/>
      <c r="AL60" s="6"/>
      <c r="AO60" s="6"/>
      <c r="AR60" s="6"/>
      <c r="AU60" s="6"/>
      <c r="AX60" s="6"/>
    </row>
    <row r="61" spans="1:56" ht="15" x14ac:dyDescent="0.3">
      <c r="A61" s="3" t="s">
        <v>20</v>
      </c>
      <c r="B61" s="3">
        <v>1</v>
      </c>
      <c r="C61" s="4" t="s">
        <v>15</v>
      </c>
      <c r="D61" s="6">
        <v>57</v>
      </c>
      <c r="E61" s="4" t="s">
        <v>16</v>
      </c>
      <c r="F61" s="3"/>
      <c r="G61"/>
      <c r="H61" s="6"/>
      <c r="J61" s="21"/>
      <c r="K61"/>
      <c r="L61" s="3"/>
      <c r="M61" s="6"/>
      <c r="O61" s="3"/>
      <c r="Q61" s="6"/>
      <c r="S61" s="3"/>
      <c r="T61"/>
      <c r="U61" s="6"/>
      <c r="W61"/>
      <c r="X61"/>
      <c r="Z61" s="6"/>
      <c r="AC61" s="6"/>
      <c r="AF61" s="6"/>
      <c r="AI61" s="6"/>
      <c r="AK61"/>
      <c r="AL61" s="6"/>
      <c r="AO61" s="6"/>
      <c r="AR61" s="6"/>
      <c r="AU61" s="6"/>
      <c r="AX61" s="6"/>
    </row>
    <row r="62" spans="1:56" ht="15" x14ac:dyDescent="0.3">
      <c r="A62" s="3" t="s">
        <v>19</v>
      </c>
      <c r="B62" s="3">
        <v>1</v>
      </c>
      <c r="C62" s="4" t="s">
        <v>15</v>
      </c>
      <c r="D62" s="6">
        <v>54</v>
      </c>
      <c r="E62" s="4" t="s">
        <v>16</v>
      </c>
      <c r="F62" s="3"/>
      <c r="G62"/>
      <c r="H62" s="6"/>
      <c r="J62" s="21"/>
      <c r="K62"/>
      <c r="L62" s="3"/>
      <c r="M62" s="6"/>
      <c r="O62" s="3"/>
      <c r="Q62" s="6"/>
      <c r="S62" s="3"/>
      <c r="T62"/>
      <c r="U62" s="6"/>
      <c r="W62"/>
      <c r="X62"/>
      <c r="Z62" s="6"/>
      <c r="AC62" s="6"/>
      <c r="AF62" s="6"/>
      <c r="AI62" s="6"/>
      <c r="AK62"/>
      <c r="AL62" s="6"/>
      <c r="AO62" s="6"/>
      <c r="AR62" s="6"/>
      <c r="AU62" s="6"/>
      <c r="AX62" s="6"/>
    </row>
    <row r="63" spans="1:56" ht="15" x14ac:dyDescent="0.3">
      <c r="A63" s="3" t="s">
        <v>150</v>
      </c>
      <c r="B63" s="3">
        <v>1</v>
      </c>
      <c r="C63" s="4" t="s">
        <v>15</v>
      </c>
      <c r="D63" s="6">
        <v>52</v>
      </c>
      <c r="E63" s="4" t="s">
        <v>16</v>
      </c>
      <c r="F63" s="3"/>
      <c r="G63"/>
      <c r="H63" s="6"/>
      <c r="J63" s="21"/>
      <c r="K63"/>
      <c r="L63" s="3"/>
      <c r="M63" s="6"/>
      <c r="O63" s="3"/>
      <c r="Q63" s="6"/>
      <c r="S63" s="3"/>
      <c r="T63"/>
      <c r="U63" s="6"/>
      <c r="W63"/>
      <c r="X63"/>
      <c r="Z63" s="6"/>
      <c r="AC63" s="6"/>
      <c r="AF63" s="6"/>
      <c r="AI63" s="6"/>
      <c r="AK63"/>
      <c r="AL63" s="6"/>
      <c r="AO63" s="6"/>
      <c r="AR63" s="6"/>
      <c r="AU63" s="6"/>
      <c r="AX63" s="6"/>
    </row>
    <row r="64" spans="1:56" ht="15" x14ac:dyDescent="0.3">
      <c r="A64" s="3" t="s">
        <v>28</v>
      </c>
      <c r="B64" s="3">
        <v>1</v>
      </c>
      <c r="C64" s="4" t="s">
        <v>15</v>
      </c>
      <c r="D64" s="6">
        <f>31595340/631907</f>
        <v>49.999984174886492</v>
      </c>
      <c r="E64" s="4" t="s">
        <v>16</v>
      </c>
      <c r="F64" s="3"/>
      <c r="G64"/>
      <c r="H64" s="6"/>
      <c r="J64" s="21"/>
      <c r="K64"/>
      <c r="L64" s="3"/>
      <c r="M64" s="6"/>
      <c r="O64" s="3"/>
      <c r="Q64" s="6"/>
      <c r="S64" s="3"/>
      <c r="T64"/>
      <c r="U64" s="6"/>
      <c r="W64"/>
      <c r="X64"/>
      <c r="Z64" s="6"/>
      <c r="AC64" s="6"/>
      <c r="AF64" s="6"/>
      <c r="AI64" s="6"/>
      <c r="AK64"/>
      <c r="AL64" s="6"/>
      <c r="AO64" s="6"/>
      <c r="AR64" s="6"/>
      <c r="AU64" s="6"/>
      <c r="AX64" s="6"/>
    </row>
    <row r="65" spans="1:50" s="3" customFormat="1" ht="15" x14ac:dyDescent="0.3">
      <c r="A65" s="15" t="s">
        <v>36</v>
      </c>
      <c r="B65" s="3">
        <v>1</v>
      </c>
      <c r="C65" s="4" t="s">
        <v>35</v>
      </c>
      <c r="D65" s="6">
        <v>108</v>
      </c>
      <c r="E65" s="4" t="s">
        <v>18</v>
      </c>
      <c r="H65" s="6"/>
      <c r="J65" s="29"/>
      <c r="M65" s="6"/>
      <c r="N65" s="21"/>
      <c r="O65" s="19"/>
      <c r="Q65" s="6"/>
      <c r="U65" s="6"/>
      <c r="Z65" s="6"/>
      <c r="AC65" s="6"/>
      <c r="AF65" s="6"/>
      <c r="AI65" s="6"/>
      <c r="AL65" s="6"/>
      <c r="AO65" s="6"/>
      <c r="AR65" s="6"/>
      <c r="AU65" s="6"/>
      <c r="AX65" s="6"/>
    </row>
    <row r="66" spans="1:50" s="3" customFormat="1" x14ac:dyDescent="0.3">
      <c r="A66" s="15" t="s">
        <v>36</v>
      </c>
      <c r="B66" s="3">
        <v>1</v>
      </c>
      <c r="C66" s="4" t="s">
        <v>37</v>
      </c>
      <c r="D66" s="6">
        <v>32.5</v>
      </c>
      <c r="E66" s="4" t="s">
        <v>18</v>
      </c>
      <c r="H66" s="6"/>
      <c r="L66"/>
      <c r="M66" s="6"/>
      <c r="O66" s="19"/>
      <c r="Q66" s="6"/>
      <c r="U66" s="6"/>
      <c r="Z66" s="6"/>
      <c r="AC66" s="6"/>
      <c r="AF66" s="6"/>
      <c r="AI66" s="6"/>
      <c r="AL66" s="6"/>
      <c r="AO66" s="6"/>
      <c r="AR66" s="6"/>
      <c r="AU66" s="6"/>
      <c r="AX66" s="6"/>
    </row>
    <row r="67" spans="1:50" x14ac:dyDescent="0.3">
      <c r="B67" s="3">
        <v>1</v>
      </c>
      <c r="C67" s="4" t="s">
        <v>17</v>
      </c>
      <c r="D67" s="6">
        <v>6.5</v>
      </c>
      <c r="E67" s="31" t="s">
        <v>18</v>
      </c>
      <c r="F67" s="3"/>
      <c r="G67" s="4"/>
      <c r="H67" s="6"/>
      <c r="I67" s="4"/>
      <c r="J67" s="6"/>
      <c r="K67" s="4"/>
      <c r="M67" s="6"/>
      <c r="Q67" s="6"/>
      <c r="S67" s="19"/>
      <c r="T67"/>
      <c r="U67" s="6"/>
      <c r="W67"/>
      <c r="X67"/>
      <c r="Z67" s="6"/>
      <c r="AC67" s="6"/>
      <c r="AF67" s="6"/>
      <c r="AI67" s="6"/>
      <c r="AK67"/>
      <c r="AL67" s="6"/>
      <c r="AO67" s="6"/>
      <c r="AR67" s="6"/>
      <c r="AU67" s="6"/>
      <c r="AX67" s="6"/>
    </row>
    <row r="68" spans="1:50" x14ac:dyDescent="0.3">
      <c r="B68" s="3">
        <v>1</v>
      </c>
      <c r="C68" s="4" t="s">
        <v>104</v>
      </c>
      <c r="D68" s="6">
        <v>112</v>
      </c>
      <c r="E68" s="4" t="s">
        <v>106</v>
      </c>
      <c r="F68" s="3"/>
      <c r="G68" s="4"/>
      <c r="H68" s="6"/>
      <c r="I68" s="4"/>
      <c r="J68" s="6"/>
      <c r="K68" s="4"/>
      <c r="M68" s="6"/>
      <c r="Q68" s="6"/>
      <c r="S68" s="19"/>
      <c r="T68"/>
      <c r="U68" s="6"/>
      <c r="W68"/>
      <c r="X68"/>
      <c r="Z68" s="6"/>
      <c r="AC68" s="6"/>
      <c r="AF68" s="6"/>
      <c r="AI68" s="6"/>
      <c r="AK68"/>
      <c r="AL68" s="6"/>
      <c r="AO68" s="6"/>
      <c r="AR68" s="6"/>
      <c r="AU68" s="6"/>
      <c r="AX68" s="6"/>
    </row>
    <row r="69" spans="1:50" x14ac:dyDescent="0.3">
      <c r="B69" s="3">
        <v>1</v>
      </c>
      <c r="C69" s="4" t="s">
        <v>104</v>
      </c>
      <c r="D69" s="6">
        <f>D68/D67</f>
        <v>17.23076923076923</v>
      </c>
      <c r="E69" s="4" t="s">
        <v>17</v>
      </c>
      <c r="F69" s="3"/>
      <c r="G69" s="6"/>
      <c r="H69" s="6"/>
      <c r="I69" s="6"/>
      <c r="J69"/>
      <c r="K69" s="6"/>
      <c r="M69" s="6"/>
      <c r="N69" s="6"/>
      <c r="Q69" s="6"/>
      <c r="R69" s="19"/>
      <c r="S69" s="3"/>
      <c r="T69"/>
      <c r="U69" s="6"/>
      <c r="W69"/>
      <c r="X69"/>
      <c r="Z69" s="6"/>
      <c r="AC69" s="6"/>
      <c r="AE69" s="19"/>
      <c r="AF69" s="6"/>
      <c r="AI69" s="6"/>
      <c r="AK69"/>
      <c r="AL69" s="6"/>
      <c r="AO69" s="6"/>
      <c r="AR69" s="6"/>
      <c r="AU69" s="6"/>
      <c r="AX69" s="6"/>
    </row>
    <row r="70" spans="1:50" s="3" customFormat="1" ht="15" customHeight="1" x14ac:dyDescent="0.3">
      <c r="A70" s="15"/>
      <c r="B70" s="113">
        <v>1</v>
      </c>
      <c r="C70" s="110" t="s">
        <v>153</v>
      </c>
      <c r="D70" s="111">
        <v>130</v>
      </c>
      <c r="E70" s="112" t="s">
        <v>18</v>
      </c>
      <c r="F70" s="20"/>
      <c r="G70" s="22"/>
      <c r="H70" s="46"/>
      <c r="I70" s="22"/>
      <c r="J70" s="22"/>
      <c r="K70" s="22"/>
      <c r="L70" s="22"/>
      <c r="M70" s="46"/>
      <c r="N70" s="22"/>
      <c r="O70" s="22"/>
      <c r="P70" s="22"/>
      <c r="Q70" s="46"/>
      <c r="R70" s="22"/>
      <c r="U70" s="46"/>
      <c r="Z70" s="46"/>
      <c r="AC70" s="46"/>
      <c r="AF70" s="46"/>
      <c r="AI70" s="46"/>
      <c r="AL70" s="46"/>
      <c r="AO70" s="46"/>
      <c r="AR70" s="46"/>
      <c r="AU70" s="46"/>
      <c r="AX70" s="46"/>
    </row>
    <row r="71" spans="1:50" s="3" customFormat="1" ht="15" customHeight="1" x14ac:dyDescent="0.3">
      <c r="B71" s="113"/>
      <c r="C71" s="110"/>
      <c r="D71" s="111"/>
      <c r="E71" s="112"/>
      <c r="H71" s="46"/>
      <c r="M71" s="46"/>
      <c r="Q71" s="46"/>
      <c r="U71" s="46"/>
      <c r="Z71" s="46"/>
      <c r="AC71" s="46"/>
      <c r="AF71" s="46"/>
      <c r="AI71" s="46"/>
      <c r="AL71" s="46"/>
      <c r="AO71" s="46"/>
      <c r="AR71" s="46"/>
      <c r="AU71" s="46"/>
      <c r="AX71" s="46"/>
    </row>
    <row r="72" spans="1:50" s="3" customFormat="1" x14ac:dyDescent="0.3">
      <c r="B72" s="38">
        <v>1</v>
      </c>
      <c r="C72" s="4" t="s">
        <v>154</v>
      </c>
      <c r="D72" s="6">
        <v>260</v>
      </c>
      <c r="E72" s="4" t="s">
        <v>18</v>
      </c>
      <c r="H72" s="6"/>
      <c r="M72" s="6"/>
      <c r="Q72" s="6"/>
      <c r="U72" s="6"/>
      <c r="Z72" s="6"/>
      <c r="AC72" s="6"/>
      <c r="AF72" s="6"/>
      <c r="AI72" s="6"/>
      <c r="AL72" s="6"/>
      <c r="AO72" s="6"/>
      <c r="AR72" s="6"/>
      <c r="AU72" s="6"/>
      <c r="AX72" s="6"/>
    </row>
    <row r="73" spans="1:50" s="3" customFormat="1" x14ac:dyDescent="0.3">
      <c r="B73" s="38">
        <v>1</v>
      </c>
      <c r="C73" s="4" t="s">
        <v>279</v>
      </c>
      <c r="D73" s="6">
        <f>D70/D68</f>
        <v>1.1607142857142858</v>
      </c>
      <c r="E73" s="4" t="s">
        <v>223</v>
      </c>
      <c r="H73" s="6"/>
      <c r="M73" s="6"/>
      <c r="Q73" s="6"/>
      <c r="U73" s="6"/>
      <c r="Z73" s="6"/>
      <c r="AC73" s="6"/>
      <c r="AF73" s="6"/>
      <c r="AI73" s="6"/>
      <c r="AL73" s="6"/>
      <c r="AO73" s="6"/>
      <c r="AR73" s="6"/>
      <c r="AU73" s="6"/>
      <c r="AX73" s="6"/>
    </row>
    <row r="74" spans="1:50" s="3" customFormat="1" x14ac:dyDescent="0.3">
      <c r="B74" s="38">
        <v>1</v>
      </c>
      <c r="C74" s="4" t="s">
        <v>154</v>
      </c>
      <c r="D74" s="6">
        <f>D72/D68</f>
        <v>2.3214285714285716</v>
      </c>
      <c r="E74" s="4" t="s">
        <v>223</v>
      </c>
      <c r="H74" s="6"/>
      <c r="M74" s="6"/>
      <c r="Q74" s="6"/>
      <c r="U74" s="6"/>
      <c r="Z74" s="6"/>
      <c r="AC74" s="6"/>
      <c r="AF74" s="6"/>
      <c r="AI74" s="6"/>
      <c r="AL74" s="6"/>
      <c r="AO74" s="6"/>
      <c r="AR74" s="6"/>
      <c r="AU74" s="6"/>
      <c r="AX74" s="6"/>
    </row>
    <row r="77" spans="1:50" x14ac:dyDescent="0.3">
      <c r="A77" s="15"/>
      <c r="B77" s="15">
        <v>1</v>
      </c>
      <c r="C77" s="4" t="s">
        <v>35</v>
      </c>
      <c r="D77" s="6">
        <v>108</v>
      </c>
      <c r="E77" s="4" t="s">
        <v>18</v>
      </c>
      <c r="F77"/>
      <c r="G77"/>
      <c r="H77" s="4"/>
      <c r="I77" s="6"/>
      <c r="J77" s="6"/>
      <c r="K77" s="4"/>
      <c r="M77" s="70"/>
      <c r="N77" s="70"/>
      <c r="O77" s="70"/>
      <c r="P77" s="70"/>
      <c r="Q77" s="3"/>
      <c r="R77" s="3"/>
      <c r="S77" s="71"/>
      <c r="T77" s="71"/>
      <c r="U77" s="71"/>
      <c r="V77" s="19"/>
      <c r="W77" s="3"/>
      <c r="X77" s="3"/>
      <c r="Y77" s="3"/>
      <c r="Z77" s="3"/>
      <c r="AK77"/>
    </row>
    <row r="78" spans="1:50" x14ac:dyDescent="0.3">
      <c r="A78" s="15"/>
      <c r="B78" s="15">
        <v>1</v>
      </c>
      <c r="C78" s="4" t="s">
        <v>37</v>
      </c>
      <c r="D78" s="6">
        <v>32.5</v>
      </c>
      <c r="E78" s="4" t="s">
        <v>18</v>
      </c>
      <c r="F78" s="3"/>
      <c r="G78" s="3"/>
      <c r="H78" s="4"/>
      <c r="I78" s="6"/>
      <c r="J78" s="6"/>
      <c r="K78" s="4"/>
      <c r="M78" s="70"/>
      <c r="N78" s="70"/>
      <c r="O78" s="70"/>
      <c r="P78" s="70"/>
      <c r="Q78" s="3"/>
      <c r="R78" s="3"/>
      <c r="S78" s="71"/>
      <c r="T78" s="71"/>
      <c r="U78" s="71"/>
      <c r="V78" s="19"/>
      <c r="W78" s="3"/>
      <c r="X78" s="3"/>
      <c r="Y78" s="3"/>
      <c r="Z78" s="3"/>
      <c r="AK78"/>
    </row>
    <row r="79" spans="1:50" x14ac:dyDescent="0.3">
      <c r="B79" s="15">
        <v>1</v>
      </c>
      <c r="C79" s="4" t="s">
        <v>104</v>
      </c>
      <c r="D79" s="6">
        <v>112</v>
      </c>
      <c r="E79" s="4" t="s">
        <v>106</v>
      </c>
      <c r="F79"/>
      <c r="G79"/>
      <c r="H79" s="4"/>
      <c r="I79" s="6"/>
      <c r="J79" s="6"/>
      <c r="K79" s="4"/>
      <c r="M79" s="70"/>
      <c r="N79" s="70"/>
      <c r="O79" s="70"/>
      <c r="P79" s="70"/>
      <c r="Q79" s="3"/>
      <c r="R79" s="3"/>
      <c r="S79" s="71"/>
      <c r="T79" s="71"/>
      <c r="U79" s="71"/>
      <c r="V79" s="19"/>
      <c r="W79" s="3"/>
      <c r="X79" s="3"/>
      <c r="Y79" s="3"/>
      <c r="Z79" s="3"/>
      <c r="AK79"/>
    </row>
    <row r="80" spans="1:50" ht="14.4" customHeight="1" x14ac:dyDescent="0.3">
      <c r="A80" s="15"/>
      <c r="B80" s="109">
        <v>1</v>
      </c>
      <c r="C80" s="110" t="s">
        <v>153</v>
      </c>
      <c r="D80" s="111">
        <v>130</v>
      </c>
      <c r="E80" s="112" t="s">
        <v>18</v>
      </c>
      <c r="F80"/>
      <c r="G80"/>
      <c r="H80" s="4"/>
      <c r="I80" s="6"/>
      <c r="J80" s="6"/>
      <c r="K80" s="4"/>
      <c r="M80" s="70"/>
      <c r="N80" s="70"/>
      <c r="O80" s="70"/>
      <c r="P80" s="70"/>
      <c r="Q80" s="3"/>
      <c r="R80" s="3"/>
      <c r="S80" s="71"/>
      <c r="T80" s="71"/>
      <c r="U80" s="71"/>
      <c r="V80" s="19"/>
      <c r="W80" s="3"/>
      <c r="X80" s="3"/>
      <c r="Y80" s="3"/>
      <c r="Z80" s="3"/>
      <c r="AK80"/>
    </row>
    <row r="81" spans="1:37" ht="14.4" customHeight="1" x14ac:dyDescent="0.3">
      <c r="A81" s="15"/>
      <c r="B81" s="109"/>
      <c r="C81" s="110"/>
      <c r="D81" s="111"/>
      <c r="E81" s="112"/>
      <c r="F81" s="3"/>
      <c r="G81" s="3"/>
      <c r="H81" s="4"/>
      <c r="I81" s="6"/>
      <c r="J81" s="6"/>
      <c r="K81" s="4"/>
      <c r="M81" s="70"/>
      <c r="N81" s="70"/>
      <c r="O81" s="70"/>
      <c r="P81" s="70"/>
      <c r="Q81" s="3"/>
      <c r="R81" s="3"/>
      <c r="S81" s="71"/>
      <c r="T81" s="71"/>
      <c r="U81" s="71"/>
      <c r="V81" s="19"/>
      <c r="W81" s="3"/>
      <c r="X81" s="3"/>
      <c r="Y81" s="3"/>
      <c r="Z81" s="3"/>
      <c r="AK81"/>
    </row>
    <row r="82" spans="1:37" x14ac:dyDescent="0.3">
      <c r="A82" s="15"/>
      <c r="B82" s="16">
        <v>1</v>
      </c>
      <c r="C82" s="4" t="s">
        <v>154</v>
      </c>
      <c r="D82" s="6">
        <v>260</v>
      </c>
      <c r="E82" s="4" t="s">
        <v>18</v>
      </c>
      <c r="F82" s="3"/>
      <c r="G82" s="3"/>
      <c r="H82" s="4"/>
      <c r="I82" s="6"/>
      <c r="J82" s="6"/>
      <c r="K82" s="4"/>
      <c r="M82" s="70"/>
      <c r="N82" s="70"/>
      <c r="O82" s="70"/>
      <c r="P82" s="70"/>
      <c r="Q82" s="3"/>
      <c r="R82" s="3"/>
      <c r="S82" s="71"/>
      <c r="T82" s="71"/>
      <c r="U82" s="71"/>
      <c r="V82" s="19"/>
      <c r="W82" s="3"/>
      <c r="X82" s="3"/>
      <c r="Y82" s="3"/>
      <c r="Z82" s="3"/>
      <c r="AK82"/>
    </row>
    <row r="83" spans="1:37" x14ac:dyDescent="0.3">
      <c r="A83" s="15"/>
      <c r="B83" s="16">
        <v>1</v>
      </c>
      <c r="C83" s="4" t="s">
        <v>279</v>
      </c>
      <c r="D83" s="6">
        <f>D80/D79</f>
        <v>1.1607142857142858</v>
      </c>
      <c r="E83" s="4" t="s">
        <v>223</v>
      </c>
      <c r="F83" s="3"/>
      <c r="G83" s="3"/>
      <c r="H83" s="4"/>
      <c r="I83" s="6"/>
      <c r="J83" s="6"/>
      <c r="K83" s="4"/>
      <c r="M83" s="70"/>
      <c r="N83" s="70"/>
      <c r="O83" s="70"/>
      <c r="P83" s="70"/>
      <c r="Q83" s="3"/>
      <c r="R83" s="3"/>
      <c r="S83" s="71"/>
      <c r="T83" s="71"/>
      <c r="U83" s="71"/>
      <c r="V83" s="19"/>
      <c r="W83" s="3"/>
      <c r="X83" s="3"/>
      <c r="Y83" s="3"/>
      <c r="Z83" s="3"/>
      <c r="AK83"/>
    </row>
    <row r="84" spans="1:37" x14ac:dyDescent="0.3">
      <c r="A84" s="15"/>
      <c r="B84" s="16">
        <v>1</v>
      </c>
      <c r="C84" s="4" t="s">
        <v>154</v>
      </c>
      <c r="D84" s="6">
        <f>D82/D79</f>
        <v>2.3214285714285716</v>
      </c>
      <c r="E84" s="4" t="s">
        <v>223</v>
      </c>
      <c r="F84" s="3"/>
      <c r="G84" s="3"/>
      <c r="H84" s="4"/>
      <c r="I84" s="6"/>
      <c r="J84" s="6"/>
      <c r="K84" s="4"/>
      <c r="M84" s="70"/>
      <c r="N84" s="70"/>
      <c r="O84" s="70"/>
      <c r="P84" s="70"/>
      <c r="Q84" s="3"/>
      <c r="R84" s="3"/>
      <c r="S84" s="71"/>
      <c r="T84" s="71"/>
      <c r="U84" s="71"/>
      <c r="V84" s="19"/>
      <c r="W84" s="3"/>
      <c r="X84" s="3"/>
      <c r="Y84" s="3"/>
      <c r="Z84" s="3"/>
      <c r="AK84"/>
    </row>
    <row r="85" spans="1:37" x14ac:dyDescent="0.3">
      <c r="A85" s="3"/>
      <c r="B85" s="3"/>
      <c r="C85" s="3"/>
      <c r="D85" s="3"/>
      <c r="E85" s="3"/>
      <c r="F85" s="3"/>
      <c r="G85" s="3"/>
      <c r="H85" s="4"/>
      <c r="I85" s="6"/>
      <c r="J85" s="6"/>
      <c r="K85" s="4"/>
      <c r="M85" s="70"/>
      <c r="N85" s="70"/>
      <c r="O85" s="70"/>
      <c r="P85" s="70"/>
      <c r="Q85" s="3"/>
      <c r="R85" s="3"/>
      <c r="S85" s="71"/>
      <c r="T85" s="71"/>
      <c r="U85" s="71"/>
      <c r="V85" s="19"/>
      <c r="W85" s="3"/>
      <c r="X85" s="3"/>
      <c r="Y85" s="3"/>
      <c r="Z85" s="3"/>
      <c r="AK85"/>
    </row>
    <row r="86" spans="1:37" x14ac:dyDescent="0.3">
      <c r="A86" s="3" t="s">
        <v>183</v>
      </c>
      <c r="B86" s="3">
        <v>1</v>
      </c>
      <c r="C86" s="31" t="s">
        <v>184</v>
      </c>
      <c r="D86" s="3">
        <v>373.33</v>
      </c>
      <c r="E86" s="4" t="s">
        <v>18</v>
      </c>
      <c r="F86" s="3">
        <f>D86/D79</f>
        <v>3.3333035714285715</v>
      </c>
      <c r="G86" s="4" t="s">
        <v>223</v>
      </c>
      <c r="H86" s="4"/>
      <c r="I86" s="6"/>
      <c r="J86" s="6"/>
      <c r="K86" s="4"/>
      <c r="M86" s="70"/>
      <c r="N86" s="70"/>
      <c r="O86" s="70"/>
      <c r="P86" s="70"/>
      <c r="Q86" s="3"/>
      <c r="R86" s="3"/>
      <c r="S86" s="71"/>
      <c r="T86" s="71"/>
      <c r="U86" s="71"/>
      <c r="V86" s="19"/>
      <c r="W86" s="3"/>
      <c r="X86" s="3"/>
      <c r="Y86" s="3"/>
      <c r="Z86" s="3"/>
      <c r="AK86"/>
    </row>
    <row r="87" spans="1:37" x14ac:dyDescent="0.3">
      <c r="A87" s="3" t="s">
        <v>185</v>
      </c>
      <c r="B87" s="3">
        <v>1</v>
      </c>
      <c r="C87" s="31" t="s">
        <v>35</v>
      </c>
      <c r="D87" s="3">
        <v>0.5</v>
      </c>
      <c r="E87" s="4" t="s">
        <v>223</v>
      </c>
      <c r="F87" s="3"/>
      <c r="G87" s="3"/>
      <c r="H87" s="4"/>
      <c r="I87" s="6"/>
      <c r="J87" s="6"/>
      <c r="K87" s="4"/>
      <c r="M87" s="70"/>
      <c r="N87" s="70"/>
      <c r="O87" s="70"/>
      <c r="P87" s="70"/>
      <c r="Q87" s="3"/>
      <c r="R87" s="3"/>
      <c r="S87" s="71"/>
      <c r="T87" s="71"/>
      <c r="U87" s="71"/>
      <c r="V87" s="19"/>
      <c r="W87" s="3"/>
      <c r="X87" s="3"/>
      <c r="Y87" s="3"/>
      <c r="Z87" s="3"/>
      <c r="AK87"/>
    </row>
    <row r="88" spans="1:37" x14ac:dyDescent="0.3">
      <c r="A88" t="s">
        <v>33</v>
      </c>
      <c r="B88">
        <v>1</v>
      </c>
      <c r="C88" s="4" t="s">
        <v>186</v>
      </c>
      <c r="D88" s="6">
        <v>1.5</v>
      </c>
      <c r="E88" s="4" t="s">
        <v>223</v>
      </c>
      <c r="F88"/>
      <c r="G88" s="4"/>
      <c r="H88" s="4"/>
      <c r="I88" s="6"/>
      <c r="J88" s="6"/>
      <c r="K88" s="4"/>
      <c r="M88" s="70"/>
      <c r="N88" s="70"/>
      <c r="O88" s="70"/>
      <c r="P88" s="70"/>
      <c r="Q88" s="3"/>
      <c r="R88" s="3"/>
      <c r="S88" s="71"/>
      <c r="T88" s="71"/>
      <c r="U88" s="71"/>
      <c r="V88" s="19"/>
      <c r="W88" s="3"/>
      <c r="X88" s="3"/>
      <c r="Y88" s="3"/>
      <c r="Z88" s="3"/>
      <c r="AK88"/>
    </row>
    <row r="89" spans="1:37" x14ac:dyDescent="0.3">
      <c r="A89" t="s">
        <v>6</v>
      </c>
      <c r="B89">
        <v>1</v>
      </c>
      <c r="C89" s="4" t="s">
        <v>186</v>
      </c>
      <c r="D89" s="6">
        <v>1.75</v>
      </c>
      <c r="E89" s="4" t="s">
        <v>223</v>
      </c>
      <c r="F89"/>
      <c r="G89" s="4"/>
      <c r="H89" s="4"/>
      <c r="I89" s="6"/>
      <c r="J89" s="6"/>
      <c r="K89" s="4"/>
      <c r="M89" s="70"/>
      <c r="N89" s="70"/>
      <c r="O89" s="70"/>
      <c r="P89" s="70"/>
      <c r="Q89" s="3"/>
      <c r="R89" s="3"/>
      <c r="S89" s="71"/>
      <c r="T89" s="71"/>
      <c r="U89" s="71"/>
      <c r="V89" s="19"/>
      <c r="W89" s="3"/>
      <c r="X89" s="3"/>
      <c r="Y89" s="3"/>
      <c r="Z89" s="3"/>
      <c r="AK89"/>
    </row>
    <row r="90" spans="1:37" x14ac:dyDescent="0.3">
      <c r="A90" t="s">
        <v>187</v>
      </c>
      <c r="B90">
        <v>1</v>
      </c>
      <c r="C90" s="4" t="s">
        <v>186</v>
      </c>
      <c r="D90" s="6">
        <v>1.5</v>
      </c>
      <c r="E90" s="4" t="s">
        <v>223</v>
      </c>
      <c r="F90"/>
      <c r="G90" s="4"/>
      <c r="H90" s="4"/>
      <c r="I90" s="6"/>
      <c r="J90" s="6"/>
      <c r="K90" s="4"/>
      <c r="M90" s="70"/>
      <c r="N90" s="70"/>
      <c r="O90" s="70"/>
      <c r="P90" s="70"/>
      <c r="Q90" s="3"/>
      <c r="R90" s="3"/>
      <c r="S90" s="71"/>
      <c r="T90" s="71"/>
      <c r="U90" s="71"/>
      <c r="V90" s="19"/>
      <c r="W90" s="3"/>
      <c r="X90" s="3"/>
      <c r="Y90" s="3"/>
      <c r="Z90" s="3"/>
      <c r="AK90"/>
    </row>
    <row r="91" spans="1:37" x14ac:dyDescent="0.3">
      <c r="A91" t="s">
        <v>188</v>
      </c>
      <c r="B91">
        <v>1</v>
      </c>
      <c r="C91" s="4" t="s">
        <v>184</v>
      </c>
      <c r="D91" s="6">
        <v>1.26</v>
      </c>
      <c r="E91" s="4" t="s">
        <v>223</v>
      </c>
      <c r="F91"/>
      <c r="G91" s="4"/>
      <c r="H91" s="4"/>
      <c r="I91" s="6"/>
      <c r="J91" s="6"/>
      <c r="K91" s="4"/>
      <c r="M91" s="70"/>
      <c r="N91" s="70"/>
      <c r="O91" s="70"/>
      <c r="P91" s="70"/>
      <c r="Q91" s="3"/>
      <c r="R91" s="3"/>
      <c r="S91" s="71"/>
      <c r="T91" s="71"/>
      <c r="U91" s="71"/>
      <c r="V91" s="19"/>
      <c r="W91" s="3"/>
      <c r="X91" s="3"/>
      <c r="Y91" s="3"/>
      <c r="Z91" s="3"/>
      <c r="AK91"/>
    </row>
    <row r="92" spans="1:37" x14ac:dyDescent="0.3">
      <c r="A92" t="s">
        <v>189</v>
      </c>
      <c r="B92">
        <v>1</v>
      </c>
      <c r="C92" s="4" t="s">
        <v>190</v>
      </c>
      <c r="D92" s="6">
        <v>15.9</v>
      </c>
      <c r="E92" s="4" t="s">
        <v>223</v>
      </c>
      <c r="F92"/>
      <c r="G92" s="4"/>
      <c r="H92" s="4"/>
      <c r="I92" s="6"/>
      <c r="J92" s="6"/>
      <c r="K92" s="4"/>
      <c r="M92" s="70"/>
      <c r="N92" s="70"/>
      <c r="O92" s="70"/>
      <c r="P92" s="70"/>
      <c r="Q92" s="3"/>
      <c r="R92" s="3"/>
      <c r="S92" s="71"/>
      <c r="T92" s="71"/>
      <c r="U92" s="71"/>
      <c r="V92" s="19"/>
      <c r="W92" s="3"/>
      <c r="X92" s="3"/>
      <c r="Y92" s="3"/>
      <c r="Z92" s="3"/>
      <c r="AK92"/>
    </row>
    <row r="93" spans="1:37" x14ac:dyDescent="0.3">
      <c r="A93" t="s">
        <v>191</v>
      </c>
      <c r="B93">
        <v>1</v>
      </c>
      <c r="C93" s="4" t="s">
        <v>192</v>
      </c>
      <c r="D93" s="6">
        <f>439.681/D79</f>
        <v>3.9257232142857141</v>
      </c>
      <c r="E93" s="4" t="s">
        <v>223</v>
      </c>
      <c r="F93"/>
      <c r="G93" s="4"/>
      <c r="H93"/>
      <c r="I93" s="6"/>
      <c r="J93" s="6"/>
      <c r="K93" s="4"/>
      <c r="M93" s="70"/>
      <c r="N93" s="70"/>
      <c r="O93" s="70"/>
      <c r="P93" s="70"/>
      <c r="Q93" s="3"/>
      <c r="R93" s="3"/>
      <c r="S93" s="71"/>
      <c r="T93" s="71"/>
      <c r="U93" s="71"/>
      <c r="V93" s="19"/>
      <c r="W93" s="3"/>
      <c r="X93" s="3"/>
      <c r="Y93" s="3"/>
      <c r="Z93" s="3"/>
      <c r="AK93"/>
    </row>
    <row r="94" spans="1:37" x14ac:dyDescent="0.3">
      <c r="A94" t="s">
        <v>193</v>
      </c>
      <c r="B94">
        <v>1</v>
      </c>
      <c r="C94" s="4" t="s">
        <v>192</v>
      </c>
      <c r="D94" s="6">
        <v>3</v>
      </c>
      <c r="E94" s="4" t="s">
        <v>223</v>
      </c>
      <c r="F94"/>
      <c r="G94" s="4"/>
      <c r="H94"/>
      <c r="J94"/>
      <c r="K94"/>
      <c r="M94" s="70"/>
      <c r="N94" s="70"/>
      <c r="O94" s="70"/>
      <c r="P94" s="70"/>
      <c r="Q94" s="19"/>
      <c r="R94" s="19"/>
      <c r="S94" s="71"/>
      <c r="T94" s="71"/>
      <c r="U94" s="71"/>
      <c r="V94" s="19"/>
      <c r="W94" s="3"/>
      <c r="X94" s="3"/>
      <c r="Y94" s="3"/>
      <c r="Z94" s="3"/>
      <c r="AK94"/>
    </row>
    <row r="95" spans="1:37" x14ac:dyDescent="0.3">
      <c r="A95" t="s">
        <v>194</v>
      </c>
      <c r="B95">
        <v>1</v>
      </c>
      <c r="C95" s="4" t="s">
        <v>192</v>
      </c>
      <c r="D95" s="6">
        <v>2.98</v>
      </c>
      <c r="E95" s="4" t="s">
        <v>223</v>
      </c>
      <c r="F95"/>
      <c r="G95" s="4"/>
      <c r="H95"/>
      <c r="J95"/>
      <c r="K95"/>
      <c r="M95" s="70"/>
      <c r="N95" s="70"/>
      <c r="O95" s="70"/>
      <c r="P95" s="70"/>
      <c r="Q95" s="19"/>
      <c r="R95" s="19"/>
      <c r="S95" s="71"/>
      <c r="T95" s="71"/>
      <c r="U95" s="71"/>
      <c r="V95" s="19"/>
      <c r="W95" s="3"/>
      <c r="X95" s="3"/>
      <c r="Y95" s="3"/>
      <c r="Z95" s="3"/>
      <c r="AK95"/>
    </row>
    <row r="96" spans="1:37" x14ac:dyDescent="0.3">
      <c r="A96" t="s">
        <v>195</v>
      </c>
      <c r="B96">
        <v>1</v>
      </c>
      <c r="C96" s="4" t="s">
        <v>196</v>
      </c>
      <c r="D96" s="6">
        <v>9</v>
      </c>
      <c r="E96" s="4" t="s">
        <v>197</v>
      </c>
      <c r="F96"/>
      <c r="G96" s="4"/>
      <c r="H96"/>
      <c r="J96"/>
      <c r="K96"/>
      <c r="M96" s="70"/>
      <c r="N96" s="70"/>
      <c r="O96" s="70"/>
      <c r="P96" s="70"/>
      <c r="Q96" s="19"/>
      <c r="R96" s="19"/>
      <c r="S96" s="71"/>
      <c r="T96" s="71"/>
      <c r="U96" s="71"/>
      <c r="V96" s="19"/>
      <c r="W96" s="3"/>
      <c r="X96" s="3"/>
      <c r="Y96" s="3"/>
      <c r="Z96" s="3"/>
      <c r="AK96"/>
    </row>
    <row r="97" spans="1:37" x14ac:dyDescent="0.3">
      <c r="A97" t="s">
        <v>198</v>
      </c>
      <c r="B97">
        <v>1</v>
      </c>
      <c r="C97" s="4" t="s">
        <v>199</v>
      </c>
      <c r="D97" s="6">
        <v>9</v>
      </c>
      <c r="E97" s="4" t="s">
        <v>197</v>
      </c>
      <c r="F97"/>
      <c r="G97" s="4"/>
      <c r="H97"/>
      <c r="J97"/>
      <c r="K97"/>
      <c r="M97" s="70"/>
      <c r="N97" s="70"/>
      <c r="O97" s="70"/>
      <c r="P97" s="70"/>
      <c r="Q97" s="19"/>
      <c r="R97" s="19"/>
      <c r="S97" s="71"/>
      <c r="T97" s="71"/>
      <c r="U97" s="71"/>
      <c r="V97" s="19"/>
      <c r="W97" s="3"/>
      <c r="X97" s="3"/>
      <c r="Y97" s="3"/>
      <c r="Z97" s="3"/>
      <c r="AK97"/>
    </row>
    <row r="98" spans="1:37" x14ac:dyDescent="0.3">
      <c r="A98" t="s">
        <v>130</v>
      </c>
      <c r="B98">
        <v>1</v>
      </c>
      <c r="C98" s="4" t="s">
        <v>186</v>
      </c>
      <c r="D98" s="6">
        <v>1.75</v>
      </c>
      <c r="E98" s="4" t="s">
        <v>223</v>
      </c>
      <c r="F98">
        <f>D98*D79</f>
        <v>196</v>
      </c>
      <c r="G98" s="4" t="s">
        <v>18</v>
      </c>
      <c r="H98"/>
      <c r="J98"/>
      <c r="K98"/>
      <c r="M98" s="70"/>
      <c r="N98" s="70"/>
      <c r="O98" s="70"/>
      <c r="P98" s="70"/>
      <c r="Q98" s="19"/>
      <c r="R98" s="19"/>
      <c r="S98" s="71"/>
      <c r="T98" s="71"/>
      <c r="U98" s="71"/>
      <c r="V98" s="19"/>
      <c r="W98" s="3"/>
      <c r="X98" s="3"/>
      <c r="Y98" s="3"/>
      <c r="Z98" s="3"/>
      <c r="AK98"/>
    </row>
    <row r="99" spans="1:37" x14ac:dyDescent="0.3">
      <c r="A99" t="s">
        <v>130</v>
      </c>
      <c r="B99">
        <v>1</v>
      </c>
      <c r="C99" s="4" t="s">
        <v>184</v>
      </c>
      <c r="D99" s="6">
        <v>175</v>
      </c>
      <c r="E99" s="4" t="s">
        <v>18</v>
      </c>
      <c r="F99" s="6">
        <f>D99/D79</f>
        <v>1.5625</v>
      </c>
      <c r="G99" s="4" t="s">
        <v>104</v>
      </c>
      <c r="H99"/>
      <c r="J99"/>
      <c r="K99"/>
      <c r="M99" s="70"/>
      <c r="N99" s="70"/>
      <c r="O99" s="70"/>
      <c r="P99" s="70"/>
      <c r="Q99" s="19"/>
      <c r="R99" s="19"/>
      <c r="S99" s="71"/>
      <c r="T99" s="71"/>
      <c r="U99" s="71"/>
      <c r="V99" s="19"/>
      <c r="W99" s="3"/>
      <c r="X99" s="3"/>
      <c r="Y99" s="3"/>
      <c r="Z99" s="3"/>
      <c r="AK99"/>
    </row>
    <row r="100" spans="1:37" x14ac:dyDescent="0.3">
      <c r="A100" t="s">
        <v>200</v>
      </c>
      <c r="B100">
        <v>1</v>
      </c>
      <c r="C100" s="4" t="s">
        <v>201</v>
      </c>
      <c r="D100" s="6">
        <v>0.15175</v>
      </c>
      <c r="E100" s="4" t="s">
        <v>223</v>
      </c>
      <c r="F100" s="6">
        <v>16.997</v>
      </c>
      <c r="G100" s="4" t="s">
        <v>18</v>
      </c>
      <c r="H100"/>
      <c r="J100"/>
      <c r="K100"/>
      <c r="M100" s="70"/>
      <c r="N100" s="70"/>
      <c r="O100" s="70"/>
      <c r="P100" s="70"/>
      <c r="Q100" s="19"/>
      <c r="R100" s="19"/>
      <c r="S100" s="71"/>
      <c r="T100" s="71"/>
      <c r="U100" s="71"/>
      <c r="V100" s="19"/>
      <c r="W100" s="3"/>
      <c r="X100" s="3"/>
      <c r="Y100" s="3"/>
      <c r="Z100" s="3"/>
      <c r="AK100"/>
    </row>
    <row r="101" spans="1:37" x14ac:dyDescent="0.3">
      <c r="A101" t="s">
        <v>7</v>
      </c>
      <c r="B101">
        <v>1</v>
      </c>
      <c r="C101" s="4" t="s">
        <v>186</v>
      </c>
      <c r="D101" s="6">
        <v>1.5</v>
      </c>
      <c r="E101" s="4" t="s">
        <v>223</v>
      </c>
      <c r="F101"/>
      <c r="G101" s="4"/>
      <c r="H101"/>
      <c r="J101"/>
      <c r="K101"/>
      <c r="M101" s="70"/>
      <c r="N101" s="70"/>
      <c r="O101" s="70"/>
      <c r="P101" s="70"/>
      <c r="Q101" s="19"/>
      <c r="R101" s="19"/>
      <c r="S101" s="71"/>
      <c r="T101" s="71"/>
      <c r="U101" s="71"/>
      <c r="V101" s="19"/>
      <c r="W101" s="3"/>
      <c r="X101" s="3"/>
      <c r="Y101" s="3"/>
      <c r="Z101" s="3"/>
      <c r="AK101"/>
    </row>
    <row r="102" spans="1:37" x14ac:dyDescent="0.3">
      <c r="A102" t="s">
        <v>202</v>
      </c>
      <c r="B102">
        <v>1</v>
      </c>
      <c r="C102" s="4" t="s">
        <v>186</v>
      </c>
      <c r="D102" s="6">
        <v>1.625</v>
      </c>
      <c r="E102" s="4" t="s">
        <v>223</v>
      </c>
      <c r="F102"/>
      <c r="G102" s="4"/>
      <c r="H102"/>
      <c r="J102"/>
      <c r="K102"/>
      <c r="M102" s="70"/>
      <c r="N102" s="70"/>
      <c r="O102" s="70"/>
      <c r="P102" s="70"/>
      <c r="Q102" s="19"/>
      <c r="R102" s="19"/>
      <c r="S102" s="71"/>
      <c r="T102" s="71"/>
      <c r="U102" s="71"/>
      <c r="V102" s="19"/>
      <c r="W102" s="3"/>
      <c r="X102" s="3"/>
      <c r="Y102" s="3"/>
      <c r="Z102" s="3"/>
      <c r="AK102"/>
    </row>
    <row r="103" spans="1:37" x14ac:dyDescent="0.3">
      <c r="A103" t="s">
        <v>5</v>
      </c>
      <c r="B103">
        <v>1</v>
      </c>
      <c r="C103" s="4" t="s">
        <v>186</v>
      </c>
      <c r="D103" s="6">
        <v>1.5</v>
      </c>
      <c r="E103" s="4" t="s">
        <v>223</v>
      </c>
      <c r="F103"/>
      <c r="G103" s="4"/>
      <c r="H103"/>
      <c r="J103"/>
      <c r="K103"/>
      <c r="M103" s="70"/>
      <c r="N103" s="70"/>
      <c r="O103" s="70"/>
      <c r="P103" s="70"/>
      <c r="Q103" s="19"/>
      <c r="R103" s="19"/>
      <c r="S103" s="71"/>
      <c r="T103" s="71"/>
      <c r="U103" s="71"/>
      <c r="V103" s="19"/>
      <c r="W103" s="3"/>
      <c r="X103" s="3"/>
      <c r="Y103" s="3"/>
      <c r="Z103" s="3"/>
      <c r="AK103"/>
    </row>
    <row r="104" spans="1:37" x14ac:dyDescent="0.3">
      <c r="A104" t="s">
        <v>203</v>
      </c>
      <c r="B104">
        <v>1</v>
      </c>
      <c r="C104" s="4" t="s">
        <v>186</v>
      </c>
      <c r="D104" s="6">
        <v>1.5</v>
      </c>
      <c r="E104" s="4" t="s">
        <v>223</v>
      </c>
      <c r="F104"/>
      <c r="G104" s="4"/>
      <c r="H104"/>
      <c r="J104"/>
      <c r="K104"/>
      <c r="M104" s="70"/>
      <c r="N104" s="70"/>
      <c r="O104" s="70"/>
      <c r="P104" s="70"/>
      <c r="Q104" s="19"/>
      <c r="R104" s="19"/>
      <c r="S104" s="71"/>
      <c r="T104" s="71"/>
      <c r="U104" s="71"/>
      <c r="V104" s="19"/>
      <c r="W104" s="3"/>
      <c r="X104" s="3"/>
      <c r="Y104" s="3"/>
      <c r="Z104" s="3"/>
      <c r="AK104"/>
    </row>
    <row r="105" spans="1:37" x14ac:dyDescent="0.3">
      <c r="A105" s="106" t="s">
        <v>204</v>
      </c>
      <c r="B105">
        <v>1</v>
      </c>
      <c r="C105" s="4" t="s">
        <v>205</v>
      </c>
      <c r="D105" s="6">
        <v>18.559999999999999</v>
      </c>
      <c r="E105" s="4" t="s">
        <v>197</v>
      </c>
      <c r="F105"/>
      <c r="G105" s="4"/>
      <c r="H105"/>
      <c r="J105"/>
      <c r="K105"/>
      <c r="M105" s="70"/>
      <c r="N105" s="70"/>
      <c r="O105" s="70"/>
      <c r="P105" s="70"/>
      <c r="Q105" s="19"/>
      <c r="R105" s="19"/>
      <c r="S105" s="71"/>
      <c r="T105" s="71"/>
      <c r="U105" s="71"/>
      <c r="V105" s="19"/>
      <c r="W105" s="3"/>
      <c r="X105" s="3"/>
      <c r="Y105" s="3"/>
      <c r="Z105" s="3"/>
      <c r="AK105"/>
    </row>
    <row r="106" spans="1:37" x14ac:dyDescent="0.3">
      <c r="A106" s="106"/>
      <c r="B106">
        <v>1</v>
      </c>
      <c r="C106" s="4" t="s">
        <v>228</v>
      </c>
      <c r="D106" s="6">
        <v>164</v>
      </c>
      <c r="E106" s="4" t="s">
        <v>18</v>
      </c>
      <c r="F106" s="6">
        <f>D106/D68</f>
        <v>1.4642857142857142</v>
      </c>
      <c r="G106" s="4" t="s">
        <v>223</v>
      </c>
      <c r="H106"/>
      <c r="J106"/>
      <c r="K106"/>
      <c r="M106" s="70"/>
      <c r="N106" s="70"/>
      <c r="O106" s="70"/>
      <c r="P106" s="70"/>
      <c r="Q106" s="19"/>
      <c r="R106" s="19"/>
      <c r="S106" s="71"/>
      <c r="T106" s="71"/>
      <c r="U106" s="71"/>
      <c r="V106" s="19"/>
      <c r="W106" s="3"/>
      <c r="X106" s="3"/>
      <c r="Y106" s="3"/>
      <c r="Z106" s="3"/>
      <c r="AK106"/>
    </row>
    <row r="107" spans="1:37" x14ac:dyDescent="0.3">
      <c r="A107" s="106" t="s">
        <v>206</v>
      </c>
      <c r="B107">
        <v>1</v>
      </c>
      <c r="C107" s="4" t="s">
        <v>207</v>
      </c>
      <c r="D107" s="6">
        <v>336</v>
      </c>
      <c r="E107" s="4" t="s">
        <v>18</v>
      </c>
      <c r="F107" s="6">
        <v>3</v>
      </c>
      <c r="G107" s="4" t="s">
        <v>223</v>
      </c>
      <c r="H107"/>
      <c r="J107"/>
      <c r="K107"/>
      <c r="M107" s="70"/>
      <c r="N107" s="70"/>
      <c r="O107" s="70"/>
      <c r="P107" s="70"/>
      <c r="Q107" s="19"/>
      <c r="R107" s="19"/>
      <c r="S107" s="71"/>
      <c r="T107" s="71"/>
      <c r="U107" s="71"/>
      <c r="V107" s="19"/>
      <c r="W107" s="3"/>
      <c r="X107" s="3"/>
      <c r="Y107" s="3"/>
      <c r="Z107" s="3"/>
      <c r="AK107"/>
    </row>
    <row r="108" spans="1:37" x14ac:dyDescent="0.3">
      <c r="A108" s="106"/>
      <c r="B108">
        <v>1</v>
      </c>
      <c r="C108" s="4" t="s">
        <v>208</v>
      </c>
      <c r="D108" s="6">
        <v>240</v>
      </c>
      <c r="E108" s="4" t="s">
        <v>18</v>
      </c>
      <c r="F108" s="6">
        <f>D108/D79</f>
        <v>2.1428571428571428</v>
      </c>
      <c r="G108" s="4" t="s">
        <v>223</v>
      </c>
      <c r="H108"/>
      <c r="J108"/>
      <c r="K108"/>
      <c r="M108" s="70"/>
      <c r="N108" s="70"/>
      <c r="O108" s="70"/>
      <c r="P108" s="70"/>
      <c r="Q108" s="19"/>
      <c r="R108" s="19"/>
      <c r="S108" s="71"/>
      <c r="T108" s="71"/>
      <c r="U108" s="71"/>
      <c r="V108" s="19"/>
      <c r="W108" s="3"/>
      <c r="X108" s="3"/>
      <c r="Y108" s="3"/>
      <c r="Z108" s="3"/>
      <c r="AK108"/>
    </row>
    <row r="109" spans="1:37" x14ac:dyDescent="0.3">
      <c r="A109" s="105" t="s">
        <v>49</v>
      </c>
      <c r="B109">
        <v>1</v>
      </c>
      <c r="C109" s="4" t="s">
        <v>209</v>
      </c>
      <c r="D109" s="6">
        <v>3.40835</v>
      </c>
      <c r="E109" s="4" t="s">
        <v>186</v>
      </c>
      <c r="F109" s="6">
        <f>D109*D110/D79</f>
        <v>5.9646125000000003</v>
      </c>
      <c r="G109" s="4" t="s">
        <v>223</v>
      </c>
      <c r="H109"/>
      <c r="J109"/>
      <c r="K109"/>
      <c r="M109" s="70"/>
      <c r="N109" s="70"/>
      <c r="O109" s="70"/>
      <c r="P109" s="70"/>
      <c r="Q109" s="19"/>
      <c r="R109" s="19"/>
      <c r="S109" s="71"/>
      <c r="T109" s="71"/>
      <c r="U109" s="71"/>
      <c r="V109" s="19"/>
      <c r="W109" s="3"/>
      <c r="X109" s="3"/>
      <c r="Y109" s="3"/>
      <c r="Z109" s="3"/>
      <c r="AK109"/>
    </row>
    <row r="110" spans="1:37" x14ac:dyDescent="0.3">
      <c r="A110" s="105"/>
      <c r="B110">
        <v>1</v>
      </c>
      <c r="C110" s="4" t="s">
        <v>186</v>
      </c>
      <c r="D110" s="72">
        <v>196</v>
      </c>
      <c r="E110" s="4" t="s">
        <v>18</v>
      </c>
      <c r="F110" s="6"/>
      <c r="G110" s="3"/>
      <c r="H110"/>
      <c r="J110"/>
      <c r="K110"/>
      <c r="M110" s="70"/>
      <c r="N110" s="70"/>
      <c r="O110" s="70"/>
      <c r="P110" s="70"/>
      <c r="Q110" s="19"/>
      <c r="R110" s="19"/>
      <c r="S110" s="71"/>
      <c r="T110" s="71"/>
      <c r="U110" s="71"/>
      <c r="V110" s="19"/>
      <c r="W110" s="3"/>
      <c r="X110" s="3"/>
      <c r="Y110" s="3"/>
      <c r="Z110" s="3"/>
      <c r="AK110"/>
    </row>
    <row r="111" spans="1:37" x14ac:dyDescent="0.3">
      <c r="A111" s="105" t="s">
        <v>211</v>
      </c>
      <c r="B111">
        <v>1</v>
      </c>
      <c r="C111" s="4" t="s">
        <v>212</v>
      </c>
      <c r="D111" s="72">
        <v>1</v>
      </c>
      <c r="E111" s="4" t="s">
        <v>192</v>
      </c>
      <c r="F111" s="6">
        <f>F112</f>
        <v>3.0446428571428572</v>
      </c>
      <c r="G111" s="4" t="s">
        <v>223</v>
      </c>
      <c r="H111"/>
      <c r="J111"/>
      <c r="K111"/>
      <c r="M111" s="70"/>
      <c r="N111" s="70"/>
      <c r="O111" s="70"/>
      <c r="P111" s="70"/>
      <c r="Q111" s="19"/>
      <c r="R111" s="19"/>
      <c r="S111" s="71"/>
      <c r="T111" s="71"/>
      <c r="U111" s="71"/>
      <c r="V111" s="19"/>
      <c r="W111" s="3"/>
      <c r="X111" s="3"/>
      <c r="Y111" s="3"/>
      <c r="Z111" s="3"/>
      <c r="AK111"/>
    </row>
    <row r="112" spans="1:37" x14ac:dyDescent="0.3">
      <c r="A112" s="105"/>
      <c r="B112">
        <v>1</v>
      </c>
      <c r="C112" s="4" t="s">
        <v>192</v>
      </c>
      <c r="D112" s="72">
        <f>(355+327)/2</f>
        <v>341</v>
      </c>
      <c r="E112" s="4" t="s">
        <v>18</v>
      </c>
      <c r="F112" s="6">
        <f>D112/D79</f>
        <v>3.0446428571428572</v>
      </c>
      <c r="G112" s="4" t="s">
        <v>223</v>
      </c>
      <c r="H112"/>
      <c r="J112"/>
      <c r="K112"/>
      <c r="M112" s="70"/>
      <c r="N112" s="70"/>
      <c r="O112" s="70"/>
      <c r="P112" s="70"/>
      <c r="Q112" s="19"/>
      <c r="R112" s="19"/>
      <c r="S112" s="71"/>
      <c r="T112" s="71"/>
      <c r="U112" s="71"/>
      <c r="V112" s="19"/>
      <c r="W112" s="3"/>
      <c r="X112" s="3"/>
      <c r="Y112" s="3"/>
      <c r="Z112" s="3"/>
      <c r="AK112"/>
    </row>
    <row r="113" spans="1:37" x14ac:dyDescent="0.3">
      <c r="A113" s="105" t="s">
        <v>188</v>
      </c>
      <c r="B113">
        <v>1</v>
      </c>
      <c r="C113" s="31" t="s">
        <v>184</v>
      </c>
      <c r="D113" s="72">
        <v>140.63</v>
      </c>
      <c r="E113" s="4" t="s">
        <v>18</v>
      </c>
      <c r="F113" s="6">
        <f>D113/D79</f>
        <v>1.255625</v>
      </c>
      <c r="G113" s="4" t="s">
        <v>223</v>
      </c>
      <c r="H113"/>
      <c r="J113"/>
      <c r="K113"/>
      <c r="M113" s="70"/>
      <c r="N113" s="70"/>
      <c r="O113" s="70"/>
      <c r="P113" s="70"/>
      <c r="Q113" s="19"/>
      <c r="R113" s="19"/>
      <c r="S113" s="71"/>
      <c r="T113" s="71"/>
      <c r="U113" s="71"/>
      <c r="V113" s="19"/>
      <c r="W113" s="3"/>
      <c r="X113" s="3"/>
      <c r="Y113" s="3"/>
      <c r="Z113" s="3"/>
      <c r="AK113"/>
    </row>
    <row r="114" spans="1:37" x14ac:dyDescent="0.3">
      <c r="A114" s="105"/>
      <c r="B114">
        <v>1</v>
      </c>
      <c r="C114" s="31" t="s">
        <v>214</v>
      </c>
      <c r="D114" s="72">
        <v>0.91576999999999997</v>
      </c>
      <c r="E114" s="4" t="s">
        <v>184</v>
      </c>
      <c r="F114" s="6">
        <f>F113*D114</f>
        <v>1.1498637062499999</v>
      </c>
      <c r="G114" s="4" t="s">
        <v>223</v>
      </c>
      <c r="H114"/>
      <c r="J114"/>
      <c r="K114"/>
      <c r="M114" s="70"/>
      <c r="N114" s="70"/>
      <c r="O114" s="70"/>
      <c r="P114" s="70"/>
      <c r="Q114" s="19"/>
      <c r="R114" s="19"/>
      <c r="S114" s="71"/>
      <c r="T114" s="71"/>
      <c r="U114" s="71"/>
      <c r="V114" s="19"/>
      <c r="W114" s="3"/>
      <c r="X114" s="3"/>
      <c r="Y114" s="3"/>
      <c r="Z114" s="3"/>
      <c r="AK114"/>
    </row>
    <row r="115" spans="1:37" x14ac:dyDescent="0.3">
      <c r="A115" s="105" t="s">
        <v>215</v>
      </c>
      <c r="B115" s="3">
        <v>1</v>
      </c>
      <c r="C115" s="31" t="s">
        <v>192</v>
      </c>
      <c r="D115" s="72">
        <v>2.37609</v>
      </c>
      <c r="E115" s="31" t="s">
        <v>186</v>
      </c>
      <c r="F115" s="6">
        <f>D115*D116</f>
        <v>4.1366063637000003</v>
      </c>
      <c r="G115" s="4" t="s">
        <v>223</v>
      </c>
      <c r="H115"/>
      <c r="J115"/>
      <c r="K115"/>
      <c r="M115" s="70"/>
      <c r="N115" s="70"/>
      <c r="O115" s="70"/>
      <c r="P115" s="70"/>
      <c r="Q115" s="19"/>
      <c r="R115" s="19"/>
      <c r="S115" s="71"/>
      <c r="T115" s="71"/>
      <c r="U115" s="71"/>
      <c r="V115" s="19"/>
      <c r="W115" s="3"/>
      <c r="X115" s="3"/>
      <c r="Y115" s="3"/>
      <c r="Z115" s="3"/>
      <c r="AK115"/>
    </row>
    <row r="116" spans="1:37" x14ac:dyDescent="0.3">
      <c r="A116" s="105"/>
      <c r="B116">
        <v>1</v>
      </c>
      <c r="C116" s="31" t="s">
        <v>186</v>
      </c>
      <c r="D116" s="72">
        <v>1.7409300000000001</v>
      </c>
      <c r="E116" s="4" t="s">
        <v>223</v>
      </c>
      <c r="F116" s="6"/>
      <c r="G116" s="4"/>
      <c r="H116"/>
      <c r="J116"/>
      <c r="K116"/>
      <c r="M116" s="70"/>
      <c r="N116" s="70"/>
      <c r="O116" s="70"/>
      <c r="P116" s="70"/>
      <c r="Q116" s="19"/>
      <c r="R116" s="19"/>
      <c r="S116" s="71"/>
      <c r="T116" s="71"/>
      <c r="U116" s="71"/>
      <c r="V116" s="19"/>
      <c r="W116" s="3"/>
      <c r="X116" s="3"/>
      <c r="Y116" s="3"/>
      <c r="Z116" s="3"/>
      <c r="AK116"/>
    </row>
    <row r="117" spans="1:37" x14ac:dyDescent="0.3">
      <c r="A117" s="3" t="s">
        <v>216</v>
      </c>
      <c r="B117">
        <v>1</v>
      </c>
      <c r="C117" s="31" t="s">
        <v>192</v>
      </c>
      <c r="D117" s="72">
        <v>242</v>
      </c>
      <c r="E117" s="4" t="s">
        <v>18</v>
      </c>
      <c r="F117" s="6">
        <f>D117/D79</f>
        <v>2.1607142857142856</v>
      </c>
      <c r="G117" s="4" t="s">
        <v>223</v>
      </c>
      <c r="H117"/>
      <c r="J117"/>
      <c r="K117"/>
      <c r="M117" s="70"/>
      <c r="N117" s="70"/>
      <c r="O117" s="70"/>
      <c r="P117" s="70"/>
      <c r="Q117" s="19"/>
      <c r="R117" s="19"/>
      <c r="S117" s="71"/>
      <c r="T117" s="71"/>
      <c r="U117" s="71"/>
      <c r="V117" s="19"/>
      <c r="W117" s="3"/>
      <c r="X117" s="3"/>
      <c r="Y117" s="3"/>
      <c r="Z117" s="3"/>
      <c r="AK117"/>
    </row>
    <row r="118" spans="1:37" x14ac:dyDescent="0.3">
      <c r="A118" s="3" t="s">
        <v>217</v>
      </c>
      <c r="B118">
        <v>1</v>
      </c>
      <c r="C118" s="31" t="s">
        <v>218</v>
      </c>
      <c r="D118" s="72">
        <v>294</v>
      </c>
      <c r="E118" s="4" t="s">
        <v>18</v>
      </c>
      <c r="F118" s="6">
        <f>D118/D79</f>
        <v>2.625</v>
      </c>
      <c r="G118" s="4" t="s">
        <v>223</v>
      </c>
      <c r="H118"/>
      <c r="J118"/>
      <c r="K118"/>
      <c r="M118" s="70"/>
      <c r="N118" s="70"/>
      <c r="O118" s="70"/>
      <c r="P118" s="70"/>
      <c r="Q118" s="19"/>
      <c r="R118" s="19"/>
      <c r="S118" s="71"/>
      <c r="T118" s="71"/>
      <c r="U118" s="71"/>
      <c r="V118" s="19"/>
      <c r="W118" s="3"/>
      <c r="X118" s="3"/>
      <c r="Y118" s="3"/>
      <c r="Z118" s="3"/>
      <c r="AK118"/>
    </row>
    <row r="119" spans="1:37" x14ac:dyDescent="0.3">
      <c r="A119" s="3" t="s">
        <v>46</v>
      </c>
      <c r="B119">
        <v>1</v>
      </c>
      <c r="C119" s="31" t="s">
        <v>184</v>
      </c>
      <c r="D119" s="6">
        <v>0.88400000000000001</v>
      </c>
      <c r="E119" s="4" t="s">
        <v>223</v>
      </c>
      <c r="F119"/>
      <c r="G119"/>
      <c r="H119"/>
      <c r="J119"/>
      <c r="K119"/>
      <c r="M119" s="70"/>
      <c r="N119" s="70"/>
      <c r="O119" s="70"/>
      <c r="P119" s="70"/>
      <c r="Q119" s="19"/>
      <c r="R119" s="19"/>
      <c r="S119" s="71"/>
      <c r="T119" s="71"/>
      <c r="U119" s="71"/>
      <c r="V119" s="19"/>
      <c r="W119" s="3"/>
      <c r="X119" s="3"/>
      <c r="Y119" s="3"/>
      <c r="Z119" s="3"/>
      <c r="AK119"/>
    </row>
    <row r="120" spans="1:37" x14ac:dyDescent="0.3">
      <c r="A120" s="3" t="s">
        <v>87</v>
      </c>
      <c r="B120">
        <v>1</v>
      </c>
      <c r="C120" s="31" t="s">
        <v>186</v>
      </c>
      <c r="D120" s="72">
        <v>149</v>
      </c>
      <c r="E120" s="4" t="s">
        <v>18</v>
      </c>
      <c r="F120" s="6">
        <f>D120/D79</f>
        <v>1.3303571428571428</v>
      </c>
      <c r="G120" s="4" t="s">
        <v>223</v>
      </c>
      <c r="H120"/>
      <c r="J120"/>
      <c r="K120"/>
      <c r="M120" s="70"/>
      <c r="N120" s="70"/>
      <c r="O120" s="70"/>
      <c r="P120" s="70"/>
      <c r="Q120" s="19"/>
      <c r="R120" s="19"/>
      <c r="S120" s="71"/>
      <c r="T120" s="71"/>
      <c r="U120" s="71"/>
      <c r="V120" s="19"/>
      <c r="W120" s="3"/>
      <c r="X120" s="3"/>
      <c r="Y120" s="3"/>
      <c r="Z120" s="3"/>
      <c r="AK120"/>
    </row>
    <row r="121" spans="1:37" x14ac:dyDescent="0.3">
      <c r="A121" s="3" t="s">
        <v>204</v>
      </c>
      <c r="B121">
        <v>1</v>
      </c>
      <c r="C121" s="31" t="s">
        <v>184</v>
      </c>
      <c r="D121" s="72">
        <v>164</v>
      </c>
      <c r="E121" s="4" t="s">
        <v>18</v>
      </c>
      <c r="F121" s="6">
        <f>D121/D79</f>
        <v>1.4642857142857142</v>
      </c>
      <c r="G121" s="4" t="s">
        <v>223</v>
      </c>
      <c r="H121"/>
      <c r="J121"/>
      <c r="K121"/>
      <c r="M121" s="70"/>
      <c r="N121" s="70"/>
      <c r="O121" s="70"/>
      <c r="P121" s="70"/>
      <c r="Q121" s="19"/>
      <c r="R121" s="19"/>
      <c r="S121" s="71"/>
      <c r="T121" s="71"/>
      <c r="U121" s="71"/>
      <c r="V121" s="19"/>
      <c r="W121" s="3"/>
      <c r="X121" s="3"/>
      <c r="Y121" s="3"/>
      <c r="Z121" s="3"/>
      <c r="AK121"/>
    </row>
    <row r="122" spans="1:37" x14ac:dyDescent="0.3">
      <c r="A122" s="105" t="s">
        <v>219</v>
      </c>
      <c r="B122">
        <v>1</v>
      </c>
      <c r="C122" s="31" t="s">
        <v>218</v>
      </c>
      <c r="D122" s="72">
        <v>2.0271699999999999</v>
      </c>
      <c r="E122" s="4" t="s">
        <v>192</v>
      </c>
      <c r="F122" s="6">
        <f>D123*D122/D79</f>
        <v>6.0815099999999997</v>
      </c>
      <c r="G122" s="4" t="s">
        <v>223</v>
      </c>
      <c r="H122"/>
      <c r="J122"/>
      <c r="K122"/>
      <c r="M122" s="70"/>
      <c r="N122" s="70"/>
      <c r="O122" s="70"/>
      <c r="P122" s="70"/>
      <c r="Q122" s="19"/>
      <c r="R122" s="19"/>
      <c r="S122" s="71"/>
      <c r="T122" s="71"/>
      <c r="U122" s="71"/>
      <c r="V122" s="19"/>
      <c r="W122" s="3"/>
      <c r="X122" s="3"/>
      <c r="Y122" s="3"/>
      <c r="Z122" s="3"/>
      <c r="AK122"/>
    </row>
    <row r="123" spans="1:37" x14ac:dyDescent="0.3">
      <c r="A123" s="105"/>
      <c r="B123">
        <v>1</v>
      </c>
      <c r="C123" s="31" t="s">
        <v>192</v>
      </c>
      <c r="D123" s="72">
        <v>336</v>
      </c>
      <c r="E123" s="4" t="s">
        <v>18</v>
      </c>
      <c r="F123" s="6">
        <f>D123/D79</f>
        <v>3</v>
      </c>
      <c r="G123" s="4" t="s">
        <v>223</v>
      </c>
      <c r="H123"/>
      <c r="J123"/>
      <c r="K123"/>
      <c r="M123" s="70"/>
      <c r="N123" s="70"/>
      <c r="O123" s="70"/>
      <c r="P123" s="70"/>
      <c r="Q123" s="19"/>
      <c r="R123" s="19"/>
      <c r="S123" s="71"/>
      <c r="T123" s="71"/>
      <c r="U123" s="71"/>
      <c r="V123" s="19"/>
      <c r="W123" s="3"/>
      <c r="X123" s="3"/>
      <c r="Y123" s="3"/>
      <c r="Z123" s="3"/>
      <c r="AK123"/>
    </row>
    <row r="124" spans="1:37" x14ac:dyDescent="0.3">
      <c r="A124" s="73" t="s">
        <v>220</v>
      </c>
      <c r="B124">
        <v>1</v>
      </c>
      <c r="C124" s="31" t="s">
        <v>192</v>
      </c>
      <c r="D124" s="72">
        <v>336</v>
      </c>
      <c r="E124" s="4" t="s">
        <v>18</v>
      </c>
      <c r="F124" s="6">
        <f>D124/D79</f>
        <v>3</v>
      </c>
      <c r="G124" s="4" t="s">
        <v>223</v>
      </c>
      <c r="H124"/>
      <c r="J124"/>
      <c r="K124"/>
      <c r="M124" s="70"/>
      <c r="N124" s="70"/>
      <c r="O124" s="70"/>
      <c r="P124" s="70"/>
      <c r="Q124" s="19"/>
      <c r="R124" s="19"/>
      <c r="S124" s="71"/>
      <c r="T124" s="71"/>
      <c r="U124" s="71"/>
      <c r="V124" s="19"/>
      <c r="W124" s="3"/>
      <c r="X124" s="3"/>
      <c r="Y124" s="3"/>
      <c r="Z124" s="3"/>
      <c r="AK124"/>
    </row>
    <row r="125" spans="1:37" x14ac:dyDescent="0.3">
      <c r="A125" s="73" t="s">
        <v>221</v>
      </c>
      <c r="B125">
        <v>1</v>
      </c>
      <c r="C125" s="31" t="s">
        <v>184</v>
      </c>
      <c r="D125" s="72">
        <v>746.66700000000003</v>
      </c>
      <c r="E125" s="4" t="s">
        <v>18</v>
      </c>
      <c r="F125" s="6">
        <f>D125/D79</f>
        <v>6.6666696428571433</v>
      </c>
      <c r="G125" s="4" t="s">
        <v>223</v>
      </c>
      <c r="H125"/>
      <c r="J125"/>
      <c r="K125"/>
      <c r="M125" s="70"/>
      <c r="N125" s="70"/>
      <c r="O125" s="70"/>
      <c r="P125" s="70"/>
      <c r="Q125" s="19"/>
      <c r="R125" s="19"/>
      <c r="S125" s="71"/>
      <c r="T125" s="71"/>
      <c r="U125" s="71"/>
      <c r="V125" s="19"/>
      <c r="W125" s="3"/>
      <c r="X125" s="3"/>
      <c r="Y125" s="3"/>
      <c r="Z125" s="3"/>
      <c r="AK125"/>
    </row>
    <row r="126" spans="1:37" x14ac:dyDescent="0.3">
      <c r="A126" s="5" t="s">
        <v>65</v>
      </c>
      <c r="B126">
        <v>1</v>
      </c>
      <c r="C126" s="31" t="s">
        <v>214</v>
      </c>
      <c r="D126" s="72">
        <v>260</v>
      </c>
      <c r="E126" s="4" t="s">
        <v>18</v>
      </c>
      <c r="F126" s="6">
        <f>D126/D79</f>
        <v>2.3214285714285716</v>
      </c>
      <c r="G126" s="4" t="s">
        <v>223</v>
      </c>
      <c r="H126"/>
      <c r="J126"/>
      <c r="K126"/>
      <c r="Q126" s="19"/>
      <c r="R126" s="19"/>
      <c r="S126" s="3"/>
      <c r="U126" s="3"/>
      <c r="V126" s="19"/>
      <c r="W126" s="3"/>
      <c r="X126" s="3"/>
      <c r="Y126" s="3"/>
      <c r="Z126" s="3"/>
      <c r="AK126"/>
    </row>
    <row r="128" spans="1:37" s="3" customFormat="1" x14ac:dyDescent="0.3">
      <c r="A128" s="108" t="s">
        <v>222</v>
      </c>
      <c r="B128">
        <v>1</v>
      </c>
      <c r="C128" s="4" t="s">
        <v>192</v>
      </c>
      <c r="D128" s="2">
        <v>80</v>
      </c>
      <c r="E128" s="4" t="s">
        <v>18</v>
      </c>
      <c r="F128" s="74">
        <f>D128/D129</f>
        <v>0.7142857142857143</v>
      </c>
      <c r="G128" s="4" t="s">
        <v>223</v>
      </c>
      <c r="H128" s="2"/>
      <c r="I128" s="2"/>
      <c r="J128" s="2"/>
      <c r="K128" s="2"/>
      <c r="L128" s="2"/>
      <c r="M128" s="2"/>
    </row>
    <row r="129" spans="1:13" s="3" customFormat="1" x14ac:dyDescent="0.3">
      <c r="A129" s="108"/>
      <c r="B129">
        <v>1</v>
      </c>
      <c r="C129" s="4" t="s">
        <v>223</v>
      </c>
      <c r="D129" s="2">
        <v>112</v>
      </c>
      <c r="E129" s="4" t="s">
        <v>18</v>
      </c>
      <c r="F129" s="2"/>
      <c r="G129" s="2"/>
      <c r="H129" s="2"/>
      <c r="I129" s="2"/>
      <c r="J129" s="2"/>
      <c r="K129" s="2"/>
      <c r="L129" s="2"/>
      <c r="M129" s="2"/>
    </row>
    <row r="130" spans="1:13" s="3" customFormat="1" x14ac:dyDescent="0.3">
      <c r="A130" s="73" t="s">
        <v>220</v>
      </c>
      <c r="B130">
        <v>1</v>
      </c>
      <c r="C130" s="31" t="s">
        <v>192</v>
      </c>
      <c r="D130" s="72">
        <v>336</v>
      </c>
      <c r="E130" s="4" t="s">
        <v>18</v>
      </c>
      <c r="F130" s="6">
        <f>D130/D129</f>
        <v>3</v>
      </c>
      <c r="G130" s="4" t="s">
        <v>223</v>
      </c>
      <c r="H130" s="2"/>
      <c r="I130" s="2"/>
      <c r="J130" s="2"/>
      <c r="K130" s="2"/>
      <c r="L130" s="2"/>
      <c r="M130" s="2"/>
    </row>
    <row r="131" spans="1:13" s="3" customFormat="1" x14ac:dyDescent="0.3">
      <c r="A131" s="5" t="s">
        <v>224</v>
      </c>
      <c r="B131">
        <v>1</v>
      </c>
      <c r="C131" s="31" t="s">
        <v>225</v>
      </c>
      <c r="D131" s="72">
        <v>9</v>
      </c>
      <c r="E131" s="4" t="s">
        <v>197</v>
      </c>
      <c r="F131" s="2"/>
      <c r="G131" s="2"/>
      <c r="H131" s="2"/>
      <c r="I131" s="2"/>
      <c r="J131" s="2"/>
      <c r="K131" s="2"/>
      <c r="L131" s="2"/>
      <c r="M131" s="2"/>
    </row>
    <row r="132" spans="1:13" s="3" customFormat="1" x14ac:dyDescent="0.3">
      <c r="A132" s="15" t="s">
        <v>43</v>
      </c>
      <c r="B132">
        <v>1</v>
      </c>
      <c r="C132" s="31" t="s">
        <v>184</v>
      </c>
      <c r="D132" s="72">
        <f>756/3720</f>
        <v>0.20322580645161289</v>
      </c>
      <c r="E132" s="4" t="s">
        <v>223</v>
      </c>
      <c r="F132" s="2"/>
      <c r="G132" s="2"/>
      <c r="H132" s="2"/>
      <c r="I132" s="2"/>
      <c r="J132" s="2"/>
      <c r="K132" s="2"/>
      <c r="L132" s="2"/>
      <c r="M132" s="2"/>
    </row>
    <row r="133" spans="1:13" s="3" customFormat="1" x14ac:dyDescent="0.3">
      <c r="A133" s="15" t="s">
        <v>226</v>
      </c>
      <c r="B133">
        <v>1</v>
      </c>
      <c r="C133" s="31" t="s">
        <v>186</v>
      </c>
      <c r="D133" s="72">
        <f>600/400</f>
        <v>1.5</v>
      </c>
      <c r="E133" s="4" t="s">
        <v>223</v>
      </c>
      <c r="F133" s="2"/>
      <c r="G133" s="2"/>
      <c r="H133" s="2"/>
      <c r="I133" s="2"/>
      <c r="J133" s="2"/>
      <c r="K133" s="2"/>
      <c r="L133" s="2"/>
      <c r="M133" s="2"/>
    </row>
    <row r="134" spans="1:13" s="3" customFormat="1" x14ac:dyDescent="0.3">
      <c r="A134" s="15" t="s">
        <v>227</v>
      </c>
      <c r="B134">
        <v>1</v>
      </c>
      <c r="C134" s="31" t="s">
        <v>192</v>
      </c>
      <c r="D134" s="72">
        <f>600/400</f>
        <v>1.5</v>
      </c>
      <c r="E134" s="4" t="s">
        <v>223</v>
      </c>
      <c r="F134" s="2"/>
      <c r="G134" s="2"/>
      <c r="H134" s="2"/>
      <c r="I134" s="2"/>
      <c r="J134" s="2"/>
      <c r="K134" s="2"/>
      <c r="L134" s="2"/>
      <c r="M134" s="2"/>
    </row>
    <row r="135" spans="1:13" s="3" customFormat="1" x14ac:dyDescent="0.3">
      <c r="A135" s="15" t="s">
        <v>11</v>
      </c>
      <c r="B135">
        <v>1</v>
      </c>
      <c r="C135" s="31" t="s">
        <v>184</v>
      </c>
      <c r="D135" s="72">
        <f>3600/2400</f>
        <v>1.5</v>
      </c>
      <c r="E135" s="4" t="s">
        <v>223</v>
      </c>
      <c r="F135" s="2"/>
      <c r="G135" s="2"/>
      <c r="H135" s="2"/>
      <c r="I135" s="2"/>
      <c r="J135" s="2"/>
      <c r="K135" s="2"/>
      <c r="L135" s="2"/>
      <c r="M135" s="2"/>
    </row>
    <row r="136" spans="1:13" x14ac:dyDescent="0.3">
      <c r="A136" s="15" t="s">
        <v>269</v>
      </c>
      <c r="B136">
        <v>1</v>
      </c>
      <c r="C136" s="31" t="s">
        <v>184</v>
      </c>
      <c r="D136">
        <v>153.125</v>
      </c>
      <c r="E136" s="4" t="s">
        <v>18</v>
      </c>
      <c r="F136" s="6">
        <f>D136/D79</f>
        <v>1.3671875</v>
      </c>
      <c r="G136" s="4" t="s">
        <v>223</v>
      </c>
    </row>
    <row r="137" spans="1:13" s="3" customFormat="1" ht="15" customHeight="1" x14ac:dyDescent="0.3">
      <c r="A137" s="15"/>
      <c r="B137" s="15">
        <v>1</v>
      </c>
      <c r="C137" s="4" t="s">
        <v>35</v>
      </c>
      <c r="D137" s="6">
        <v>108</v>
      </c>
      <c r="E137" s="4" t="s">
        <v>18</v>
      </c>
    </row>
    <row r="138" spans="1:13" s="3" customFormat="1" x14ac:dyDescent="0.3">
      <c r="A138" s="15"/>
      <c r="B138" s="15">
        <v>1</v>
      </c>
      <c r="C138" s="4" t="s">
        <v>37</v>
      </c>
      <c r="D138" s="6">
        <v>32.5</v>
      </c>
      <c r="E138" s="4" t="s">
        <v>18</v>
      </c>
    </row>
    <row r="139" spans="1:13" s="3" customFormat="1" x14ac:dyDescent="0.3">
      <c r="A139" s="5"/>
      <c r="B139" s="15">
        <v>1</v>
      </c>
      <c r="C139" s="4" t="s">
        <v>104</v>
      </c>
      <c r="D139" s="6">
        <v>112</v>
      </c>
      <c r="E139" s="4" t="s">
        <v>106</v>
      </c>
    </row>
    <row r="140" spans="1:13" s="3" customFormat="1" x14ac:dyDescent="0.3">
      <c r="A140" s="15"/>
      <c r="B140" s="109">
        <v>1</v>
      </c>
      <c r="C140" s="110" t="s">
        <v>153</v>
      </c>
      <c r="D140" s="111">
        <v>130</v>
      </c>
      <c r="E140" s="112" t="s">
        <v>18</v>
      </c>
    </row>
    <row r="141" spans="1:13" s="3" customFormat="1" x14ac:dyDescent="0.3">
      <c r="A141" s="15"/>
      <c r="B141" s="109"/>
      <c r="C141" s="110"/>
      <c r="D141" s="111"/>
      <c r="E141" s="112"/>
    </row>
    <row r="142" spans="1:13" s="3" customFormat="1" x14ac:dyDescent="0.3">
      <c r="A142" s="15"/>
      <c r="B142" s="16">
        <v>1</v>
      </c>
      <c r="C142" s="4" t="s">
        <v>154</v>
      </c>
      <c r="D142" s="6">
        <v>260</v>
      </c>
      <c r="E142" s="4" t="s">
        <v>18</v>
      </c>
    </row>
    <row r="143" spans="1:13" s="3" customFormat="1" x14ac:dyDescent="0.3">
      <c r="A143" s="15"/>
      <c r="B143" s="16">
        <v>1</v>
      </c>
      <c r="C143" s="4" t="s">
        <v>279</v>
      </c>
      <c r="D143" s="6">
        <f>D140/D139</f>
        <v>1.1607142857142858</v>
      </c>
      <c r="E143" s="4" t="s">
        <v>223</v>
      </c>
    </row>
    <row r="144" spans="1:13" s="3" customFormat="1" x14ac:dyDescent="0.3">
      <c r="A144" s="15"/>
      <c r="B144" s="16">
        <v>1</v>
      </c>
      <c r="C144" s="4" t="s">
        <v>154</v>
      </c>
      <c r="D144" s="6">
        <f>D142/D139</f>
        <v>2.3214285714285716</v>
      </c>
      <c r="E144" s="4" t="s">
        <v>223</v>
      </c>
    </row>
    <row r="145" spans="1:7" s="3" customFormat="1" x14ac:dyDescent="0.3">
      <c r="A145" s="15"/>
      <c r="B145" s="20"/>
    </row>
    <row r="146" spans="1:7" s="3" customFormat="1" x14ac:dyDescent="0.3">
      <c r="A146" s="15"/>
      <c r="B146" s="20"/>
    </row>
    <row r="147" spans="1:7" s="3" customFormat="1" x14ac:dyDescent="0.3">
      <c r="A147" s="105" t="s">
        <v>211</v>
      </c>
      <c r="B147">
        <v>1</v>
      </c>
      <c r="C147" s="4" t="s">
        <v>212</v>
      </c>
      <c r="D147" s="72">
        <v>1</v>
      </c>
      <c r="E147" s="4" t="s">
        <v>192</v>
      </c>
      <c r="F147" s="6">
        <f>F148</f>
        <v>3.0446428571428572</v>
      </c>
      <c r="G147" s="4" t="s">
        <v>210</v>
      </c>
    </row>
    <row r="148" spans="1:7" s="3" customFormat="1" x14ac:dyDescent="0.3">
      <c r="A148" s="105"/>
      <c r="B148">
        <v>1</v>
      </c>
      <c r="C148" s="4" t="s">
        <v>192</v>
      </c>
      <c r="D148" s="72">
        <f>(355+327)/2</f>
        <v>341</v>
      </c>
      <c r="E148" s="4" t="s">
        <v>18</v>
      </c>
      <c r="F148" s="6">
        <f>D148/D139</f>
        <v>3.0446428571428572</v>
      </c>
      <c r="G148" s="4" t="s">
        <v>210</v>
      </c>
    </row>
    <row r="149" spans="1:7" s="3" customFormat="1" x14ac:dyDescent="0.3">
      <c r="A149" s="105"/>
      <c r="B149">
        <v>1</v>
      </c>
      <c r="C149" s="31" t="s">
        <v>213</v>
      </c>
      <c r="D149" s="72">
        <f>(2.2+2.5)/2</f>
        <v>2.35</v>
      </c>
      <c r="E149" s="4" t="s">
        <v>18</v>
      </c>
      <c r="F149" s="6">
        <f>D149/D139</f>
        <v>2.0982142857142859E-2</v>
      </c>
      <c r="G149" s="4" t="s">
        <v>210</v>
      </c>
    </row>
  </sheetData>
  <sortState ref="A4:T43">
    <sortCondition ref="A4:A43"/>
  </sortState>
  <mergeCells count="35">
    <mergeCell ref="AQ2:AS2"/>
    <mergeCell ref="AT2:AV2"/>
    <mergeCell ref="AW2:AY2"/>
    <mergeCell ref="AB2:AD2"/>
    <mergeCell ref="AE2:AG2"/>
    <mergeCell ref="AH2:AJ2"/>
    <mergeCell ref="AK2:AM2"/>
    <mergeCell ref="AN2:AP2"/>
    <mergeCell ref="C2:E2"/>
    <mergeCell ref="G2:I2"/>
    <mergeCell ref="L2:N2"/>
    <mergeCell ref="T2:V2"/>
    <mergeCell ref="Y2:AA2"/>
    <mergeCell ref="E80:E81"/>
    <mergeCell ref="A107:A108"/>
    <mergeCell ref="B70:B71"/>
    <mergeCell ref="C70:C71"/>
    <mergeCell ref="D70:D71"/>
    <mergeCell ref="E70:E71"/>
    <mergeCell ref="A147:A149"/>
    <mergeCell ref="A105:A106"/>
    <mergeCell ref="P2:R2"/>
    <mergeCell ref="A128:A129"/>
    <mergeCell ref="B140:B141"/>
    <mergeCell ref="C140:C141"/>
    <mergeCell ref="D140:D141"/>
    <mergeCell ref="E140:E141"/>
    <mergeCell ref="A109:A110"/>
    <mergeCell ref="A111:A112"/>
    <mergeCell ref="A113:A114"/>
    <mergeCell ref="A115:A116"/>
    <mergeCell ref="A122:A123"/>
    <mergeCell ref="B80:B81"/>
    <mergeCell ref="C80:C81"/>
    <mergeCell ref="D80:D81"/>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270"/>
  <sheetViews>
    <sheetView zoomScale="60" zoomScaleNormal="60" workbookViewId="0">
      <pane xSplit="1" ySplit="3" topLeftCell="B94" activePane="bottomRight" state="frozen"/>
      <selection pane="topRight" activeCell="B1" sqref="B1"/>
      <selection pane="bottomLeft" activeCell="A4" sqref="A4"/>
      <selection pane="bottomRight" activeCell="G94" sqref="G94"/>
    </sheetView>
  </sheetViews>
  <sheetFormatPr defaultColWidth="18.21875" defaultRowHeight="14.4" x14ac:dyDescent="0.3"/>
  <cols>
    <col min="1" max="1" width="27.109375" style="5" customWidth="1"/>
    <col min="2" max="5" width="18.21875" style="19"/>
    <col min="6" max="7" width="10.6640625" style="19" customWidth="1"/>
    <col min="8" max="8" width="18.21875" style="19"/>
    <col min="10" max="10" width="18.21875" style="19"/>
    <col min="13" max="13" width="18.21875" style="19"/>
    <col min="16" max="16" width="18.21875" style="19"/>
    <col min="19" max="19" width="18.21875" style="19"/>
    <col min="22" max="22" width="18.21875" style="19"/>
    <col min="25" max="25" width="18.21875" style="19"/>
    <col min="28" max="28" width="18.21875" style="19"/>
    <col min="31" max="31" width="18.21875" style="19"/>
    <col min="34" max="34" width="18.21875" style="19"/>
    <col min="35" max="35" width="15.44140625" customWidth="1"/>
    <col min="36" max="36" width="15.6640625" customWidth="1"/>
    <col min="37" max="37" width="19.109375" style="19" customWidth="1"/>
    <col min="39" max="39" width="13" customWidth="1"/>
    <col min="40" max="40" width="15.109375" style="19" customWidth="1"/>
    <col min="41" max="41" width="11.88671875" customWidth="1"/>
    <col min="42" max="42" width="15.6640625" customWidth="1"/>
    <col min="43" max="43" width="18.21875" style="19"/>
    <col min="44" max="44" width="12.44140625" customWidth="1"/>
    <col min="45" max="45" width="13.33203125" customWidth="1"/>
    <col min="46" max="46" width="14.88671875" style="19" customWidth="1"/>
  </cols>
  <sheetData>
    <row r="1" spans="1:46" x14ac:dyDescent="0.3">
      <c r="H1"/>
    </row>
    <row r="2" spans="1:46" s="7" customFormat="1" ht="15.6" customHeight="1" x14ac:dyDescent="0.3">
      <c r="A2" s="16"/>
      <c r="B2" s="114" t="s">
        <v>1</v>
      </c>
      <c r="C2" s="107" t="s">
        <v>151</v>
      </c>
      <c r="D2" s="107"/>
      <c r="E2" s="107"/>
      <c r="F2" s="114" t="s">
        <v>1</v>
      </c>
      <c r="G2" s="114" t="s">
        <v>177</v>
      </c>
      <c r="H2" s="107" t="s">
        <v>180</v>
      </c>
      <c r="I2" s="107"/>
      <c r="J2" s="107"/>
      <c r="K2" s="107" t="s">
        <v>147</v>
      </c>
      <c r="L2" s="107"/>
      <c r="M2" s="107"/>
      <c r="N2" s="107" t="s">
        <v>145</v>
      </c>
      <c r="O2" s="107"/>
      <c r="P2" s="107"/>
      <c r="Q2" s="107" t="s">
        <v>143</v>
      </c>
      <c r="R2" s="107"/>
      <c r="S2" s="107"/>
      <c r="T2" s="107" t="s">
        <v>114</v>
      </c>
      <c r="U2" s="107"/>
      <c r="V2" s="107"/>
      <c r="W2" s="107" t="s">
        <v>110</v>
      </c>
      <c r="X2" s="107"/>
      <c r="Y2" s="107"/>
      <c r="Z2" s="107" t="s">
        <v>103</v>
      </c>
      <c r="AA2" s="107"/>
      <c r="AB2" s="107"/>
      <c r="AC2" s="107" t="s">
        <v>100</v>
      </c>
      <c r="AD2" s="107"/>
      <c r="AE2" s="107"/>
      <c r="AF2" s="107" t="s">
        <v>101</v>
      </c>
      <c r="AG2" s="107"/>
      <c r="AH2" s="107"/>
      <c r="AI2" s="107" t="s">
        <v>90</v>
      </c>
      <c r="AJ2" s="107"/>
      <c r="AK2" s="107"/>
      <c r="AL2" s="107" t="s">
        <v>68</v>
      </c>
      <c r="AM2" s="107"/>
      <c r="AN2" s="107"/>
      <c r="AO2" s="107" t="s">
        <v>69</v>
      </c>
      <c r="AP2" s="107"/>
      <c r="AQ2" s="107"/>
      <c r="AR2" s="107" t="s">
        <v>70</v>
      </c>
      <c r="AS2" s="107"/>
      <c r="AT2" s="107"/>
    </row>
    <row r="3" spans="1:46" s="7" customFormat="1" ht="15.6" x14ac:dyDescent="0.3">
      <c r="A3" s="17" t="s">
        <v>0</v>
      </c>
      <c r="B3" s="114"/>
      <c r="C3" s="8" t="s">
        <v>2</v>
      </c>
      <c r="D3" s="9" t="s">
        <v>8</v>
      </c>
      <c r="E3" s="9" t="s">
        <v>9</v>
      </c>
      <c r="F3" s="114"/>
      <c r="G3" s="114"/>
      <c r="H3" s="8" t="s">
        <v>2</v>
      </c>
      <c r="I3" s="9" t="s">
        <v>8</v>
      </c>
      <c r="J3" s="9" t="s">
        <v>9</v>
      </c>
      <c r="K3" s="8" t="s">
        <v>2</v>
      </c>
      <c r="L3" s="9" t="s">
        <v>8</v>
      </c>
      <c r="M3" s="9" t="s">
        <v>9</v>
      </c>
      <c r="N3" s="8" t="s">
        <v>2</v>
      </c>
      <c r="O3" s="9" t="s">
        <v>8</v>
      </c>
      <c r="P3" s="9" t="s">
        <v>9</v>
      </c>
      <c r="Q3" s="8" t="s">
        <v>2</v>
      </c>
      <c r="R3" s="9" t="s">
        <v>8</v>
      </c>
      <c r="S3" s="9" t="s">
        <v>9</v>
      </c>
      <c r="T3" s="8" t="s">
        <v>2</v>
      </c>
      <c r="U3" s="9" t="s">
        <v>8</v>
      </c>
      <c r="V3" s="9" t="s">
        <v>9</v>
      </c>
      <c r="W3" s="8" t="s">
        <v>2</v>
      </c>
      <c r="X3" s="9" t="s">
        <v>8</v>
      </c>
      <c r="Y3" s="9" t="s">
        <v>9</v>
      </c>
      <c r="Z3" s="85" t="s">
        <v>2</v>
      </c>
      <c r="AA3" s="9" t="s">
        <v>8</v>
      </c>
      <c r="AB3" s="9" t="s">
        <v>9</v>
      </c>
      <c r="AC3" s="8" t="s">
        <v>2</v>
      </c>
      <c r="AD3" s="9" t="s">
        <v>8</v>
      </c>
      <c r="AE3" s="9" t="s">
        <v>9</v>
      </c>
      <c r="AF3" s="8" t="s">
        <v>2</v>
      </c>
      <c r="AG3" s="9" t="s">
        <v>8</v>
      </c>
      <c r="AH3" s="9" t="s">
        <v>9</v>
      </c>
      <c r="AI3" s="8" t="s">
        <v>2</v>
      </c>
      <c r="AJ3" s="9" t="s">
        <v>8</v>
      </c>
      <c r="AK3" s="9" t="s">
        <v>9</v>
      </c>
      <c r="AL3" s="8" t="s">
        <v>2</v>
      </c>
      <c r="AM3" s="9" t="s">
        <v>8</v>
      </c>
      <c r="AN3" s="9" t="s">
        <v>9</v>
      </c>
      <c r="AO3" s="8" t="s">
        <v>2</v>
      </c>
      <c r="AP3" s="9" t="s">
        <v>8</v>
      </c>
      <c r="AQ3" s="9" t="s">
        <v>9</v>
      </c>
      <c r="AR3" s="8" t="s">
        <v>2</v>
      </c>
      <c r="AS3" s="9" t="s">
        <v>8</v>
      </c>
      <c r="AT3" s="9" t="s">
        <v>9</v>
      </c>
    </row>
    <row r="4" spans="1:46" s="3" customFormat="1" ht="15" x14ac:dyDescent="0.3">
      <c r="A4" s="15" t="s">
        <v>71</v>
      </c>
      <c r="B4" s="15" t="s">
        <v>3</v>
      </c>
      <c r="C4" s="15"/>
      <c r="D4" s="15"/>
      <c r="E4" s="15" t="str">
        <f>IFERROR(D4/C4,"")</f>
        <v/>
      </c>
      <c r="F4" s="15" t="s">
        <v>3</v>
      </c>
      <c r="G4" s="15" t="s">
        <v>141</v>
      </c>
      <c r="H4" s="34">
        <f>20+3</f>
        <v>23</v>
      </c>
      <c r="I4" s="34">
        <f>(2000+400)/$D$49</f>
        <v>48</v>
      </c>
      <c r="J4" s="94">
        <f>IFERROR(I4/H4,"")</f>
        <v>2.0869565217391304</v>
      </c>
      <c r="K4" s="34"/>
      <c r="L4" s="34"/>
      <c r="M4" s="94" t="str">
        <f>IFERROR(L4/K4,"")</f>
        <v/>
      </c>
      <c r="N4" s="15"/>
      <c r="O4" s="15"/>
      <c r="P4" s="94" t="str">
        <f>IFERROR(O4/N4,"")</f>
        <v/>
      </c>
      <c r="Q4" s="15">
        <f>24+4+67+2+216+76+2</f>
        <v>391</v>
      </c>
      <c r="R4" s="34">
        <f>(9650+600+37700+23390+100+37490+1170)/$D$46</f>
        <v>1966.0714285714287</v>
      </c>
      <c r="S4" s="94">
        <f>IFERROR(R4/Q4,"")</f>
        <v>5.0283156740957251</v>
      </c>
      <c r="T4" s="34">
        <f>120+6+25+3+24+13+251</f>
        <v>442</v>
      </c>
      <c r="U4" s="34">
        <f>(73510+3070+250+260+15450+5500+1310)/$D$45</f>
        <v>1639.4389438943895</v>
      </c>
      <c r="V4" s="94">
        <f>IFERROR(U4/T4,"")</f>
        <v>3.7091378821140033</v>
      </c>
      <c r="W4" s="34"/>
      <c r="X4" s="34">
        <f>489+233+295</f>
        <v>1017</v>
      </c>
      <c r="Y4" s="94" t="str">
        <f>IFERROR(X4/W4,"")</f>
        <v/>
      </c>
      <c r="Z4" s="34">
        <f>44+54+3</f>
        <v>101</v>
      </c>
      <c r="AA4" s="34">
        <f>409+445+5</f>
        <v>859</v>
      </c>
      <c r="AB4" s="94">
        <f>IFERROR(AA4/Z4,"")</f>
        <v>8.5049504950495045</v>
      </c>
      <c r="AC4" s="34">
        <v>540</v>
      </c>
      <c r="AD4" s="34">
        <v>3397</v>
      </c>
      <c r="AE4" s="94">
        <f>IFERROR(AD4/AC4,"")</f>
        <v>6.2907407407407403</v>
      </c>
      <c r="AF4" s="34">
        <v>2023</v>
      </c>
      <c r="AG4" s="34">
        <v>6864</v>
      </c>
      <c r="AH4" s="94">
        <f>IFERROR(AG4/AF4,"")</f>
        <v>3.3929807217004448</v>
      </c>
      <c r="AI4" s="34">
        <v>108</v>
      </c>
      <c r="AJ4" s="34">
        <v>160</v>
      </c>
      <c r="AK4" s="94">
        <f>IFERROR(AJ4/AI4,"")</f>
        <v>1.4814814814814814</v>
      </c>
      <c r="AL4" s="34">
        <v>261</v>
      </c>
      <c r="AM4" s="34">
        <v>507</v>
      </c>
      <c r="AN4" s="94">
        <f>IFERROR(AM4/AL4,"")</f>
        <v>1.9425287356321839</v>
      </c>
      <c r="AO4" s="34">
        <v>157</v>
      </c>
      <c r="AP4" s="34">
        <v>403</v>
      </c>
      <c r="AQ4" s="94">
        <f>IFERROR(AP4/AO4,"")</f>
        <v>2.5668789808917198</v>
      </c>
      <c r="AR4" s="34">
        <v>20</v>
      </c>
      <c r="AS4" s="34">
        <v>65</v>
      </c>
      <c r="AT4" s="94">
        <f>IFERROR(AS4/AR4,"")</f>
        <v>3.25</v>
      </c>
    </row>
    <row r="5" spans="1:46" s="3" customFormat="1" ht="18.600000000000001" customHeight="1" x14ac:dyDescent="0.3">
      <c r="A5" s="15" t="s">
        <v>72</v>
      </c>
      <c r="B5" s="15"/>
      <c r="C5" s="15"/>
      <c r="D5" s="15"/>
      <c r="E5" s="15"/>
      <c r="F5" s="15"/>
      <c r="G5" s="15"/>
      <c r="H5" s="34"/>
      <c r="I5" s="34"/>
      <c r="J5" s="94"/>
      <c r="K5" s="34"/>
      <c r="L5" s="34"/>
      <c r="M5" s="94"/>
      <c r="N5" s="15"/>
      <c r="O5" s="15"/>
      <c r="P5" s="94"/>
      <c r="Q5" s="34">
        <f>(2108+1655)/$D$54</f>
        <v>218.38839285714286</v>
      </c>
      <c r="R5" s="34">
        <f>(6091+3360)/$D$46</f>
        <v>168.76785714285714</v>
      </c>
      <c r="S5" s="94">
        <f t="shared" ref="S5" si="0">IFERROR(R5/Q5,"")</f>
        <v>0.7727876694127026</v>
      </c>
      <c r="T5" s="34">
        <f>(500+200)/$D$54</f>
        <v>40.625</v>
      </c>
      <c r="U5" s="34">
        <f>(430+2594)/$D$45</f>
        <v>49.900990099009903</v>
      </c>
      <c r="V5" s="94">
        <f t="shared" ref="V5" si="1">IFERROR(U5/T5,"")</f>
        <v>1.2283320639756283</v>
      </c>
      <c r="W5" s="86">
        <f>(1963)/$D$52</f>
        <v>17.526785714285715</v>
      </c>
      <c r="X5" s="34">
        <f>1</f>
        <v>1</v>
      </c>
      <c r="Y5" s="94">
        <f t="shared" ref="Y5:Y37" si="2">IFERROR(X5/W5,"")</f>
        <v>5.7055527254202751E-2</v>
      </c>
      <c r="Z5" s="86">
        <f>(10710)/$D$52</f>
        <v>95.625</v>
      </c>
      <c r="AA5" s="34">
        <f>98</f>
        <v>98</v>
      </c>
      <c r="AB5" s="94">
        <f t="shared" ref="AB5" si="3">IFERROR(AA5/Z5,"")</f>
        <v>1.0248366013071895</v>
      </c>
      <c r="AC5" s="34"/>
      <c r="AD5" s="34"/>
      <c r="AE5" s="94"/>
      <c r="AF5" s="34"/>
      <c r="AG5" s="34"/>
      <c r="AH5" s="94"/>
      <c r="AI5" s="34"/>
      <c r="AJ5" s="34"/>
      <c r="AK5" s="94"/>
      <c r="AL5" s="34"/>
      <c r="AM5" s="34"/>
      <c r="AN5" s="94"/>
      <c r="AO5" s="34"/>
      <c r="AP5" s="34"/>
      <c r="AQ5" s="94"/>
      <c r="AR5" s="34"/>
      <c r="AS5" s="34"/>
      <c r="AT5" s="94"/>
    </row>
    <row r="6" spans="1:46" s="3" customFormat="1" x14ac:dyDescent="0.3">
      <c r="A6" s="15" t="s">
        <v>255</v>
      </c>
      <c r="B6" s="15" t="s">
        <v>42</v>
      </c>
      <c r="C6" s="15"/>
      <c r="D6" s="15"/>
      <c r="E6" s="15" t="str">
        <f t="shared" ref="E6:E37" si="4">IFERROR(D6/C6,"")</f>
        <v/>
      </c>
      <c r="F6" s="15" t="s">
        <v>42</v>
      </c>
      <c r="G6" s="15" t="s">
        <v>178</v>
      </c>
      <c r="H6" s="34">
        <f>(5187)/$D$54</f>
        <v>301.03125</v>
      </c>
      <c r="I6" s="34">
        <f>(19785)/$D$49</f>
        <v>395.7</v>
      </c>
      <c r="J6" s="94">
        <f t="shared" ref="J6:J37" si="5">IFERROR(I6/H6,"")</f>
        <v>1.3144814699470571</v>
      </c>
      <c r="K6" s="34">
        <f>5163/$D$54</f>
        <v>299.63839285714289</v>
      </c>
      <c r="L6" s="34">
        <f>26793/$D$48</f>
        <v>496.16666666666669</v>
      </c>
      <c r="M6" s="94">
        <f t="shared" ref="M6:M37" si="6">IFERROR(L6/K6,"")</f>
        <v>1.6558848214862159</v>
      </c>
      <c r="N6" s="34">
        <f>(181)/$D$54</f>
        <v>10.504464285714286</v>
      </c>
      <c r="O6" s="34">
        <f>(882)/$D$47</f>
        <v>15.473684210526315</v>
      </c>
      <c r="P6" s="94">
        <f t="shared" ref="P6:P37" si="7">IFERROR(O6/N6,"")</f>
        <v>1.4730579103943453</v>
      </c>
      <c r="Q6" s="34">
        <f>(70+110+2941)/$D$54</f>
        <v>181.12946428571431</v>
      </c>
      <c r="R6" s="34">
        <f>(60+620+18315)/$D$46</f>
        <v>339.19642857142856</v>
      </c>
      <c r="S6" s="94">
        <f t="shared" ref="S6:S37" si="8">IFERROR(R6/Q6,"")</f>
        <v>1.8726739457274539</v>
      </c>
      <c r="T6" s="34">
        <f>(1383+225)/$D$54</f>
        <v>93.321428571428569</v>
      </c>
      <c r="U6" s="34">
        <f>(3056+1750)/$D$45</f>
        <v>79.306930693069305</v>
      </c>
      <c r="V6" s="94">
        <f t="shared" ref="V6:V37" si="9">IFERROR(U6/T6,"")</f>
        <v>0.84982551067965584</v>
      </c>
      <c r="W6" s="86">
        <f>(76986)/$D$52</f>
        <v>687.375</v>
      </c>
      <c r="X6" s="34">
        <f>107</f>
        <v>107</v>
      </c>
      <c r="Y6" s="94">
        <f t="shared" si="2"/>
        <v>0.15566466630296419</v>
      </c>
      <c r="Z6" s="86">
        <f>(11965)/$D$52</f>
        <v>106.83035714285714</v>
      </c>
      <c r="AA6" s="34">
        <f>218</f>
        <v>218</v>
      </c>
      <c r="AB6" s="94">
        <f t="shared" ref="AB6:AB37" si="10">IFERROR(AA6/Z6,"")</f>
        <v>2.0406184705390724</v>
      </c>
      <c r="AC6" s="34">
        <v>1970</v>
      </c>
      <c r="AD6" s="34">
        <v>233</v>
      </c>
      <c r="AE6" s="94">
        <f t="shared" ref="AE6:AE37" si="11">IFERROR(AD6/AC6,"")</f>
        <v>0.1182741116751269</v>
      </c>
      <c r="AF6" s="34">
        <v>999</v>
      </c>
      <c r="AG6" s="34">
        <v>296</v>
      </c>
      <c r="AH6" s="94">
        <f t="shared" ref="AH6:AH37" si="12">IFERROR(AG6/AF6,"")</f>
        <v>0.29629629629629628</v>
      </c>
      <c r="AI6" s="34">
        <v>867</v>
      </c>
      <c r="AJ6" s="34">
        <v>158</v>
      </c>
      <c r="AK6" s="94">
        <f t="shared" ref="AK6:AK37" si="13">IFERROR(AJ6/AI6,"")</f>
        <v>0.18223760092272204</v>
      </c>
      <c r="AL6" s="34">
        <v>635</v>
      </c>
      <c r="AM6" s="34">
        <v>160</v>
      </c>
      <c r="AN6" s="94">
        <f t="shared" ref="AN6:AN37" si="14">IFERROR(AM6/AL6,"")</f>
        <v>0.25196850393700787</v>
      </c>
      <c r="AO6" s="34">
        <v>172</v>
      </c>
      <c r="AP6" s="34">
        <v>319</v>
      </c>
      <c r="AQ6" s="94">
        <f t="shared" ref="AQ6:AQ37" si="15">IFERROR(AP6/AO6,"")</f>
        <v>1.8546511627906976</v>
      </c>
      <c r="AR6" s="34">
        <v>199</v>
      </c>
      <c r="AS6" s="34">
        <v>431</v>
      </c>
      <c r="AT6" s="94">
        <f t="shared" ref="AT6:AT37" si="16">IFERROR(AS6/AR6,"")</f>
        <v>2.1658291457286434</v>
      </c>
    </row>
    <row r="7" spans="1:46" s="3" customFormat="1" x14ac:dyDescent="0.3">
      <c r="A7" s="15" t="s">
        <v>102</v>
      </c>
      <c r="B7" s="15" t="s">
        <v>42</v>
      </c>
      <c r="C7" s="15"/>
      <c r="D7" s="15"/>
      <c r="E7" s="15" t="str">
        <f t="shared" si="4"/>
        <v/>
      </c>
      <c r="F7" s="15" t="s">
        <v>42</v>
      </c>
      <c r="G7" s="15" t="s">
        <v>178</v>
      </c>
      <c r="H7" s="34"/>
      <c r="I7" s="34"/>
      <c r="J7" s="94" t="str">
        <f t="shared" si="5"/>
        <v/>
      </c>
      <c r="K7" s="34"/>
      <c r="L7" s="34"/>
      <c r="M7" s="94" t="str">
        <f t="shared" si="6"/>
        <v/>
      </c>
      <c r="N7" s="34">
        <f>(250)/$D$54</f>
        <v>14.508928571428573</v>
      </c>
      <c r="O7" s="34">
        <f>(2250)/$D$47</f>
        <v>39.473684210526315</v>
      </c>
      <c r="P7" s="94">
        <f t="shared" si="7"/>
        <v>2.7206477732793517</v>
      </c>
      <c r="Q7" s="34">
        <f>(36+40)/$D$54</f>
        <v>4.4107142857142856</v>
      </c>
      <c r="R7" s="34">
        <f>(324+40)/$D$46</f>
        <v>6.5</v>
      </c>
      <c r="S7" s="94">
        <f t="shared" si="8"/>
        <v>1.4736842105263159</v>
      </c>
      <c r="T7" s="34">
        <f>1524.9/$D$54</f>
        <v>88.49866071428572</v>
      </c>
      <c r="U7" s="34">
        <f>11966/$D$45</f>
        <v>197.45874587458746</v>
      </c>
      <c r="V7" s="94">
        <f t="shared" si="9"/>
        <v>2.2312060349938503</v>
      </c>
      <c r="W7" s="34">
        <f>16250/$D$52</f>
        <v>145.08928571428572</v>
      </c>
      <c r="X7" s="34">
        <v>391</v>
      </c>
      <c r="Y7" s="94">
        <f t="shared" si="2"/>
        <v>2.6948923076923075</v>
      </c>
      <c r="Z7" s="34">
        <f>822/$D$52</f>
        <v>7.3392857142857144</v>
      </c>
      <c r="AA7" s="34">
        <v>148</v>
      </c>
      <c r="AB7" s="94">
        <f t="shared" si="10"/>
        <v>20.165450121654501</v>
      </c>
      <c r="AC7" s="34">
        <v>19</v>
      </c>
      <c r="AD7" s="34">
        <v>61</v>
      </c>
      <c r="AE7" s="94">
        <f t="shared" si="11"/>
        <v>3.2105263157894739</v>
      </c>
      <c r="AF7" s="34">
        <v>98</v>
      </c>
      <c r="AG7" s="34">
        <v>294</v>
      </c>
      <c r="AH7" s="94">
        <f t="shared" si="12"/>
        <v>3</v>
      </c>
      <c r="AI7" s="34">
        <v>95</v>
      </c>
      <c r="AJ7" s="34">
        <v>317</v>
      </c>
      <c r="AK7" s="94">
        <f t="shared" si="13"/>
        <v>3.3368421052631581</v>
      </c>
      <c r="AL7" s="34"/>
      <c r="AM7" s="34"/>
      <c r="AN7" s="94" t="str">
        <f t="shared" si="14"/>
        <v/>
      </c>
      <c r="AO7" s="34"/>
      <c r="AP7" s="34"/>
      <c r="AQ7" s="94" t="str">
        <f t="shared" si="15"/>
        <v/>
      </c>
      <c r="AR7" s="34"/>
      <c r="AS7" s="34"/>
      <c r="AT7" s="94" t="str">
        <f t="shared" si="16"/>
        <v/>
      </c>
    </row>
    <row r="8" spans="1:46" s="3" customFormat="1" x14ac:dyDescent="0.3">
      <c r="A8" s="15" t="s">
        <v>91</v>
      </c>
      <c r="B8" s="15" t="s">
        <v>42</v>
      </c>
      <c r="C8" s="15"/>
      <c r="D8" s="15"/>
      <c r="E8" s="15" t="str">
        <f t="shared" si="4"/>
        <v/>
      </c>
      <c r="F8" s="15" t="s">
        <v>42</v>
      </c>
      <c r="G8" s="15" t="s">
        <v>178</v>
      </c>
      <c r="H8" s="34"/>
      <c r="I8" s="34"/>
      <c r="J8" s="94" t="str">
        <f t="shared" si="5"/>
        <v/>
      </c>
      <c r="K8" s="34">
        <f>410180/$D$54</f>
        <v>23805.089285714286</v>
      </c>
      <c r="L8" s="34">
        <f>69932/$D$48</f>
        <v>1295.037037037037</v>
      </c>
      <c r="M8" s="94">
        <f t="shared" si="6"/>
        <v>5.4401687869921327E-2</v>
      </c>
      <c r="N8" s="34"/>
      <c r="O8" s="34"/>
      <c r="P8" s="94" t="str">
        <f t="shared" si="7"/>
        <v/>
      </c>
      <c r="Q8" s="34"/>
      <c r="R8" s="34"/>
      <c r="S8" s="94" t="str">
        <f t="shared" si="8"/>
        <v/>
      </c>
      <c r="T8" s="34"/>
      <c r="U8" s="34"/>
      <c r="V8" s="94"/>
      <c r="W8" s="86"/>
      <c r="X8" s="34"/>
      <c r="Y8" s="94"/>
      <c r="Z8" s="34"/>
      <c r="AA8" s="34"/>
      <c r="AB8" s="94" t="str">
        <f t="shared" si="10"/>
        <v/>
      </c>
      <c r="AC8" s="34"/>
      <c r="AD8" s="34"/>
      <c r="AE8" s="94" t="str">
        <f t="shared" si="11"/>
        <v/>
      </c>
      <c r="AF8" s="34">
        <v>4673</v>
      </c>
      <c r="AG8" s="34">
        <v>792</v>
      </c>
      <c r="AH8" s="94">
        <f t="shared" si="12"/>
        <v>0.16948427134603039</v>
      </c>
      <c r="AI8" s="34">
        <v>13960</v>
      </c>
      <c r="AJ8" s="34">
        <v>2466</v>
      </c>
      <c r="AK8" s="94">
        <f t="shared" si="13"/>
        <v>0.17664756446991403</v>
      </c>
      <c r="AL8" s="34">
        <v>5038</v>
      </c>
      <c r="AM8" s="34">
        <v>756</v>
      </c>
      <c r="AN8" s="94">
        <f t="shared" si="14"/>
        <v>0.15005954743946009</v>
      </c>
      <c r="AO8" s="34">
        <v>308</v>
      </c>
      <c r="AP8" s="34">
        <v>79</v>
      </c>
      <c r="AQ8" s="94">
        <f t="shared" si="15"/>
        <v>0.2564935064935065</v>
      </c>
      <c r="AR8" s="34">
        <v>202</v>
      </c>
      <c r="AS8" s="34">
        <v>221</v>
      </c>
      <c r="AT8" s="94">
        <f t="shared" si="16"/>
        <v>1.0940594059405941</v>
      </c>
    </row>
    <row r="9" spans="1:46" s="3" customFormat="1" x14ac:dyDescent="0.3">
      <c r="A9" s="15" t="s">
        <v>115</v>
      </c>
      <c r="B9" s="15" t="s">
        <v>42</v>
      </c>
      <c r="C9" s="15"/>
      <c r="D9" s="15"/>
      <c r="E9" s="15" t="str">
        <f t="shared" si="4"/>
        <v/>
      </c>
      <c r="F9" s="15" t="s">
        <v>42</v>
      </c>
      <c r="G9" s="15" t="s">
        <v>178</v>
      </c>
      <c r="H9" s="34"/>
      <c r="I9" s="34"/>
      <c r="J9" s="94" t="str">
        <f t="shared" si="5"/>
        <v/>
      </c>
      <c r="K9" s="34"/>
      <c r="L9" s="34"/>
      <c r="M9" s="94" t="str">
        <f t="shared" si="6"/>
        <v/>
      </c>
      <c r="N9" s="34"/>
      <c r="O9" s="34"/>
      <c r="P9" s="94" t="str">
        <f t="shared" si="7"/>
        <v/>
      </c>
      <c r="Q9" s="34">
        <f>(90+6401.79+37.15)/$D$54</f>
        <v>378.91169642857142</v>
      </c>
      <c r="R9" s="34">
        <f>(310+10601+174)/$D$46</f>
        <v>197.94642857142858</v>
      </c>
      <c r="S9" s="94">
        <f t="shared" si="8"/>
        <v>0.52240780751074922</v>
      </c>
      <c r="T9" s="34">
        <f>(5739.57+12+1100)/$D$54</f>
        <v>397.63575892857142</v>
      </c>
      <c r="U9" s="34">
        <f>(4362+240+600)/$D$45</f>
        <v>85.841584158415841</v>
      </c>
      <c r="V9" s="94">
        <f t="shared" si="9"/>
        <v>0.21587994095328794</v>
      </c>
      <c r="W9" s="86">
        <f>(364)/$D$52</f>
        <v>3.25</v>
      </c>
      <c r="X9" s="34">
        <f>2</f>
        <v>2</v>
      </c>
      <c r="Y9" s="94">
        <f t="shared" ref="Y9" si="17">IFERROR(X9/W9,"")</f>
        <v>0.61538461538461542</v>
      </c>
      <c r="Z9" s="34"/>
      <c r="AA9" s="34"/>
      <c r="AB9" s="94" t="str">
        <f t="shared" si="10"/>
        <v/>
      </c>
      <c r="AC9" s="34"/>
      <c r="AD9" s="34"/>
      <c r="AE9" s="94" t="str">
        <f t="shared" si="11"/>
        <v/>
      </c>
      <c r="AF9" s="34"/>
      <c r="AG9" s="34"/>
      <c r="AH9" s="94" t="str">
        <f t="shared" si="12"/>
        <v/>
      </c>
      <c r="AI9" s="34"/>
      <c r="AJ9" s="34"/>
      <c r="AK9" s="94" t="str">
        <f t="shared" si="13"/>
        <v/>
      </c>
      <c r="AL9" s="34"/>
      <c r="AM9" s="34"/>
      <c r="AN9" s="94" t="str">
        <f t="shared" si="14"/>
        <v/>
      </c>
      <c r="AO9" s="34"/>
      <c r="AP9" s="34"/>
      <c r="AQ9" s="94" t="str">
        <f t="shared" si="15"/>
        <v/>
      </c>
      <c r="AR9" s="34"/>
      <c r="AS9" s="34"/>
      <c r="AT9" s="94" t="str">
        <f t="shared" si="16"/>
        <v/>
      </c>
    </row>
    <row r="10" spans="1:46" s="3" customFormat="1" x14ac:dyDescent="0.3">
      <c r="A10" s="15" t="s">
        <v>116</v>
      </c>
      <c r="B10" s="15" t="s">
        <v>42</v>
      </c>
      <c r="C10" s="15"/>
      <c r="D10" s="15"/>
      <c r="E10" s="15" t="str">
        <f t="shared" si="4"/>
        <v/>
      </c>
      <c r="F10" s="15" t="s">
        <v>42</v>
      </c>
      <c r="G10" s="15" t="s">
        <v>178</v>
      </c>
      <c r="H10" s="34"/>
      <c r="I10" s="34"/>
      <c r="J10" s="94" t="str">
        <f t="shared" si="5"/>
        <v/>
      </c>
      <c r="K10" s="34"/>
      <c r="L10" s="34"/>
      <c r="M10" s="94" t="str">
        <f t="shared" si="6"/>
        <v/>
      </c>
      <c r="N10" s="34"/>
      <c r="O10" s="34"/>
      <c r="P10" s="94" t="str">
        <f t="shared" si="7"/>
        <v/>
      </c>
      <c r="Q10" s="34"/>
      <c r="R10" s="34"/>
      <c r="S10" s="94" t="str">
        <f t="shared" si="8"/>
        <v/>
      </c>
      <c r="T10" s="34">
        <f>577/$D$54</f>
        <v>33.486607142857146</v>
      </c>
      <c r="U10" s="34">
        <f>684/$D$45</f>
        <v>11.287128712871286</v>
      </c>
      <c r="V10" s="94">
        <f t="shared" si="9"/>
        <v>0.3370639690285519</v>
      </c>
      <c r="W10" s="34"/>
      <c r="X10" s="34"/>
      <c r="Y10" s="94" t="str">
        <f t="shared" si="2"/>
        <v/>
      </c>
      <c r="Z10" s="34"/>
      <c r="AA10" s="34"/>
      <c r="AB10" s="94" t="str">
        <f t="shared" si="10"/>
        <v/>
      </c>
      <c r="AC10" s="34"/>
      <c r="AD10" s="34"/>
      <c r="AE10" s="94" t="str">
        <f t="shared" si="11"/>
        <v/>
      </c>
      <c r="AF10" s="34"/>
      <c r="AG10" s="34"/>
      <c r="AH10" s="94" t="str">
        <f t="shared" si="12"/>
        <v/>
      </c>
      <c r="AI10" s="34"/>
      <c r="AJ10" s="34"/>
      <c r="AK10" s="94" t="str">
        <f t="shared" si="13"/>
        <v/>
      </c>
      <c r="AL10" s="34"/>
      <c r="AM10" s="34"/>
      <c r="AN10" s="94" t="str">
        <f t="shared" si="14"/>
        <v/>
      </c>
      <c r="AO10" s="34"/>
      <c r="AP10" s="34"/>
      <c r="AQ10" s="94" t="str">
        <f t="shared" si="15"/>
        <v/>
      </c>
      <c r="AR10" s="34"/>
      <c r="AS10" s="34"/>
      <c r="AT10" s="94" t="str">
        <f t="shared" si="16"/>
        <v/>
      </c>
    </row>
    <row r="11" spans="1:46" s="3" customFormat="1" x14ac:dyDescent="0.3">
      <c r="A11" s="15" t="s">
        <v>73</v>
      </c>
      <c r="B11" s="15" t="s">
        <v>42</v>
      </c>
      <c r="C11" s="15"/>
      <c r="D11" s="15"/>
      <c r="E11" s="15" t="str">
        <f t="shared" si="4"/>
        <v/>
      </c>
      <c r="F11" s="15" t="s">
        <v>42</v>
      </c>
      <c r="G11" s="15" t="s">
        <v>178</v>
      </c>
      <c r="H11" s="34"/>
      <c r="I11" s="34"/>
      <c r="J11" s="94" t="str">
        <f t="shared" si="5"/>
        <v/>
      </c>
      <c r="K11" s="34"/>
      <c r="L11" s="34"/>
      <c r="M11" s="94" t="str">
        <f t="shared" si="6"/>
        <v/>
      </c>
      <c r="N11" s="34"/>
      <c r="O11" s="34"/>
      <c r="P11" s="94" t="str">
        <f t="shared" si="7"/>
        <v/>
      </c>
      <c r="Q11" s="34"/>
      <c r="R11" s="34"/>
      <c r="S11" s="94" t="str">
        <f t="shared" si="8"/>
        <v/>
      </c>
      <c r="T11" s="34"/>
      <c r="U11" s="34"/>
      <c r="V11" s="94" t="str">
        <f t="shared" si="9"/>
        <v/>
      </c>
      <c r="W11" s="34"/>
      <c r="X11" s="34"/>
      <c r="Y11" s="94" t="str">
        <f t="shared" si="2"/>
        <v/>
      </c>
      <c r="Z11" s="34"/>
      <c r="AA11" s="34"/>
      <c r="AB11" s="94" t="str">
        <f t="shared" si="10"/>
        <v/>
      </c>
      <c r="AC11" s="34">
        <v>11368</v>
      </c>
      <c r="AD11" s="34">
        <v>11364</v>
      </c>
      <c r="AE11" s="94">
        <f t="shared" si="11"/>
        <v>0.99964813511611539</v>
      </c>
      <c r="AF11" s="34">
        <v>3548</v>
      </c>
      <c r="AG11" s="34">
        <v>1579</v>
      </c>
      <c r="AH11" s="94">
        <f t="shared" si="12"/>
        <v>0.44503945885005636</v>
      </c>
      <c r="AI11" s="34">
        <v>877</v>
      </c>
      <c r="AJ11" s="34">
        <v>706</v>
      </c>
      <c r="AK11" s="94">
        <f t="shared" si="13"/>
        <v>0.80501710376282787</v>
      </c>
      <c r="AL11" s="34">
        <v>1206</v>
      </c>
      <c r="AM11" s="34">
        <v>810</v>
      </c>
      <c r="AN11" s="94">
        <f t="shared" si="14"/>
        <v>0.67164179104477617</v>
      </c>
      <c r="AO11" s="34">
        <v>1827</v>
      </c>
      <c r="AP11" s="34">
        <v>846</v>
      </c>
      <c r="AQ11" s="94">
        <f t="shared" si="15"/>
        <v>0.46305418719211822</v>
      </c>
      <c r="AR11" s="34">
        <v>71</v>
      </c>
      <c r="AS11" s="34">
        <v>61</v>
      </c>
      <c r="AT11" s="94">
        <f t="shared" si="16"/>
        <v>0.85915492957746475</v>
      </c>
    </row>
    <row r="12" spans="1:46" s="3" customFormat="1" x14ac:dyDescent="0.3">
      <c r="A12" s="15" t="s">
        <v>74</v>
      </c>
      <c r="B12" s="15" t="s">
        <v>42</v>
      </c>
      <c r="C12" s="15"/>
      <c r="D12" s="15"/>
      <c r="E12" s="15" t="str">
        <f t="shared" si="4"/>
        <v/>
      </c>
      <c r="F12" s="15" t="s">
        <v>42</v>
      </c>
      <c r="G12" s="15" t="s">
        <v>178</v>
      </c>
      <c r="H12" s="34"/>
      <c r="I12" s="34"/>
      <c r="J12" s="94" t="str">
        <f t="shared" si="5"/>
        <v/>
      </c>
      <c r="K12" s="34"/>
      <c r="L12" s="34"/>
      <c r="M12" s="94" t="str">
        <f t="shared" si="6"/>
        <v/>
      </c>
      <c r="N12" s="34"/>
      <c r="O12" s="34"/>
      <c r="P12" s="94" t="str">
        <f t="shared" si="7"/>
        <v/>
      </c>
      <c r="Q12" s="34"/>
      <c r="R12" s="34"/>
      <c r="S12" s="94" t="str">
        <f t="shared" si="8"/>
        <v/>
      </c>
      <c r="T12" s="34"/>
      <c r="U12" s="34"/>
      <c r="V12" s="94" t="str">
        <f t="shared" si="9"/>
        <v/>
      </c>
      <c r="W12" s="34"/>
      <c r="X12" s="34"/>
      <c r="Y12" s="94" t="str">
        <f t="shared" si="2"/>
        <v/>
      </c>
      <c r="Z12" s="34"/>
      <c r="AA12" s="34"/>
      <c r="AB12" s="94" t="str">
        <f t="shared" si="10"/>
        <v/>
      </c>
      <c r="AC12" s="34"/>
      <c r="AD12" s="34"/>
      <c r="AE12" s="94" t="str">
        <f t="shared" si="11"/>
        <v/>
      </c>
      <c r="AF12" s="34">
        <v>1931</v>
      </c>
      <c r="AG12" s="34">
        <v>5519</v>
      </c>
      <c r="AH12" s="94">
        <f t="shared" si="12"/>
        <v>2.858104609010875</v>
      </c>
      <c r="AI12" s="34">
        <v>1867</v>
      </c>
      <c r="AJ12" s="34">
        <v>6350</v>
      </c>
      <c r="AK12" s="94">
        <f t="shared" si="13"/>
        <v>3.4011783610069632</v>
      </c>
      <c r="AL12" s="34">
        <v>3952</v>
      </c>
      <c r="AM12" s="34">
        <v>13472</v>
      </c>
      <c r="AN12" s="94">
        <f t="shared" si="14"/>
        <v>3.4089068825910931</v>
      </c>
      <c r="AO12" s="34">
        <v>745</v>
      </c>
      <c r="AP12" s="34">
        <v>2075</v>
      </c>
      <c r="AQ12" s="94">
        <f t="shared" si="15"/>
        <v>2.7852348993288589</v>
      </c>
      <c r="AR12" s="34">
        <v>467</v>
      </c>
      <c r="AS12" s="34">
        <v>1236</v>
      </c>
      <c r="AT12" s="94">
        <f t="shared" si="16"/>
        <v>2.6466809421841542</v>
      </c>
    </row>
    <row r="13" spans="1:46" s="3" customFormat="1" x14ac:dyDescent="0.3">
      <c r="A13" s="15" t="s">
        <v>75</v>
      </c>
      <c r="B13" s="15" t="s">
        <v>42</v>
      </c>
      <c r="C13" s="15"/>
      <c r="D13" s="15"/>
      <c r="E13" s="15" t="str">
        <f t="shared" si="4"/>
        <v/>
      </c>
      <c r="F13" s="15" t="s">
        <v>42</v>
      </c>
      <c r="G13" s="15" t="s">
        <v>178</v>
      </c>
      <c r="H13" s="34"/>
      <c r="I13" s="34"/>
      <c r="J13" s="94" t="str">
        <f t="shared" si="5"/>
        <v/>
      </c>
      <c r="K13" s="34"/>
      <c r="L13" s="34"/>
      <c r="M13" s="94" t="str">
        <f t="shared" si="6"/>
        <v/>
      </c>
      <c r="N13" s="34"/>
      <c r="O13" s="34"/>
      <c r="P13" s="94" t="str">
        <f t="shared" si="7"/>
        <v/>
      </c>
      <c r="Q13" s="34"/>
      <c r="R13" s="34"/>
      <c r="S13" s="94"/>
      <c r="T13" s="34"/>
      <c r="U13" s="34"/>
      <c r="V13" s="94" t="str">
        <f t="shared" si="9"/>
        <v/>
      </c>
      <c r="W13" s="34"/>
      <c r="X13" s="34"/>
      <c r="Y13" s="94" t="str">
        <f t="shared" si="2"/>
        <v/>
      </c>
      <c r="Z13" s="34"/>
      <c r="AA13" s="34"/>
      <c r="AB13" s="94" t="str">
        <f t="shared" si="10"/>
        <v/>
      </c>
      <c r="AC13" s="34"/>
      <c r="AD13" s="34"/>
      <c r="AE13" s="94" t="str">
        <f t="shared" si="11"/>
        <v/>
      </c>
      <c r="AF13" s="34">
        <v>2163</v>
      </c>
      <c r="AG13" s="34">
        <v>975</v>
      </c>
      <c r="AH13" s="94">
        <f t="shared" si="12"/>
        <v>0.45076282940360612</v>
      </c>
      <c r="AI13" s="34">
        <v>1712</v>
      </c>
      <c r="AJ13" s="34">
        <v>962</v>
      </c>
      <c r="AK13" s="94">
        <f t="shared" si="13"/>
        <v>0.56191588785046731</v>
      </c>
      <c r="AL13" s="34">
        <v>3588</v>
      </c>
      <c r="AM13" s="34">
        <v>1920</v>
      </c>
      <c r="AN13" s="94">
        <f t="shared" si="14"/>
        <v>0.53511705685618727</v>
      </c>
      <c r="AO13" s="34">
        <v>1820</v>
      </c>
      <c r="AP13" s="34">
        <v>998</v>
      </c>
      <c r="AQ13" s="94">
        <f t="shared" si="15"/>
        <v>0.5483516483516484</v>
      </c>
      <c r="AR13" s="34">
        <v>1004</v>
      </c>
      <c r="AS13" s="34">
        <v>853</v>
      </c>
      <c r="AT13" s="94">
        <f t="shared" si="16"/>
        <v>0.84960159362549803</v>
      </c>
    </row>
    <row r="14" spans="1:46" s="3" customFormat="1" x14ac:dyDescent="0.3">
      <c r="A14" s="15" t="s">
        <v>109</v>
      </c>
      <c r="B14" s="15" t="s">
        <v>42</v>
      </c>
      <c r="C14" s="34">
        <f>(2800)*$D$58</f>
        <v>6500.0000000000009</v>
      </c>
      <c r="D14" s="34">
        <f>(280000)/($D$50)</f>
        <v>5599.9785000729462</v>
      </c>
      <c r="E14" s="15">
        <f t="shared" si="4"/>
        <v>0.86153515385737622</v>
      </c>
      <c r="F14" s="15" t="s">
        <v>42</v>
      </c>
      <c r="G14" s="15" t="s">
        <v>178</v>
      </c>
      <c r="H14" s="34">
        <f>(17502+9421+86869)/$D$54</f>
        <v>6604</v>
      </c>
      <c r="I14" s="34">
        <f>(63723+9970+102110)/$D$49</f>
        <v>3516.06</v>
      </c>
      <c r="J14" s="94">
        <f t="shared" si="5"/>
        <v>0.53241368867353123</v>
      </c>
      <c r="K14" s="34">
        <f>(40606+20497+44775)/$D$54</f>
        <v>6144.7053571428578</v>
      </c>
      <c r="L14" s="34">
        <f>(157694+24680+65924)/$D$48</f>
        <v>4598.1111111111113</v>
      </c>
      <c r="M14" s="94">
        <f t="shared" si="6"/>
        <v>0.74830457179953769</v>
      </c>
      <c r="N14" s="34">
        <f>(12886+29103+12618)/$D$54</f>
        <v>3169.15625</v>
      </c>
      <c r="O14" s="34">
        <f>(35798+40021+23277)/$D$47</f>
        <v>1738.5263157894738</v>
      </c>
      <c r="P14" s="94">
        <f t="shared" si="7"/>
        <v>0.54857702765191008</v>
      </c>
      <c r="Q14" s="34">
        <f>(22832.5+24701.5+79795+11824+23526)/$D$54</f>
        <v>9441.1919642857156</v>
      </c>
      <c r="R14" s="34">
        <f>(78730+37707+166015+12608+37175)/$D$46</f>
        <v>5932.7678571428569</v>
      </c>
      <c r="S14" s="94">
        <f t="shared" si="8"/>
        <v>0.62839182590348985</v>
      </c>
      <c r="T14" s="34">
        <f>(161280.5+131.5+18168)/$D$54</f>
        <v>10422.053571428572</v>
      </c>
      <c r="U14" s="34">
        <f>(433276+940+29003)/$D$45</f>
        <v>7643.8778877887789</v>
      </c>
      <c r="V14" s="94">
        <f t="shared" si="9"/>
        <v>0.73343298759699393</v>
      </c>
      <c r="W14" s="34">
        <f>(698295+53807)/$D$52</f>
        <v>6715.1964285714284</v>
      </c>
      <c r="X14" s="34">
        <f>4966+358</f>
        <v>5324</v>
      </c>
      <c r="Y14" s="94">
        <f t="shared" si="2"/>
        <v>0.79282863228657818</v>
      </c>
      <c r="Z14" s="34">
        <f>185626/$D$52</f>
        <v>1657.375</v>
      </c>
      <c r="AA14" s="34">
        <v>9843</v>
      </c>
      <c r="AB14" s="94">
        <f t="shared" si="10"/>
        <v>5.9389094200165928</v>
      </c>
      <c r="AC14" s="34"/>
      <c r="AD14" s="34"/>
      <c r="AE14" s="94" t="str">
        <f t="shared" si="11"/>
        <v/>
      </c>
      <c r="AF14" s="34">
        <v>4318</v>
      </c>
      <c r="AG14" s="34">
        <v>2986</v>
      </c>
      <c r="AH14" s="94">
        <f t="shared" si="12"/>
        <v>0.6915238536359426</v>
      </c>
      <c r="AI14" s="34">
        <v>1637</v>
      </c>
      <c r="AJ14" s="34">
        <v>1272</v>
      </c>
      <c r="AK14" s="94">
        <f t="shared" si="13"/>
        <v>0.77703115455100791</v>
      </c>
      <c r="AL14" s="34">
        <v>4320</v>
      </c>
      <c r="AM14" s="34">
        <v>2600</v>
      </c>
      <c r="AN14" s="94">
        <f t="shared" si="14"/>
        <v>0.60185185185185186</v>
      </c>
      <c r="AO14" s="34">
        <v>1710</v>
      </c>
      <c r="AP14" s="34">
        <v>1198</v>
      </c>
      <c r="AQ14" s="94">
        <f t="shared" si="15"/>
        <v>0.70058479532163742</v>
      </c>
      <c r="AR14" s="34">
        <v>725</v>
      </c>
      <c r="AS14" s="34">
        <v>659</v>
      </c>
      <c r="AT14" s="94">
        <f t="shared" si="16"/>
        <v>0.90896551724137931</v>
      </c>
    </row>
    <row r="15" spans="1:46" s="3" customFormat="1" x14ac:dyDescent="0.3">
      <c r="A15" s="15" t="s">
        <v>97</v>
      </c>
      <c r="B15" s="15" t="s">
        <v>42</v>
      </c>
      <c r="C15" s="15"/>
      <c r="D15" s="15"/>
      <c r="E15" s="15" t="str">
        <f t="shared" si="4"/>
        <v/>
      </c>
      <c r="F15" s="15" t="s">
        <v>42</v>
      </c>
      <c r="G15" s="15" t="s">
        <v>178</v>
      </c>
      <c r="H15" s="34">
        <f>(15133)/$D$54</f>
        <v>878.25446428571433</v>
      </c>
      <c r="I15" s="34">
        <f>(9266)/$D$49</f>
        <v>185.32</v>
      </c>
      <c r="J15" s="94">
        <f t="shared" si="5"/>
        <v>0.21100945971361618</v>
      </c>
      <c r="K15" s="34">
        <f>(21698)/$D$54</f>
        <v>1259.2589285714287</v>
      </c>
      <c r="L15" s="34">
        <f>(17939)/$D$48</f>
        <v>332.2037037037037</v>
      </c>
      <c r="M15" s="94">
        <f t="shared" si="6"/>
        <v>0.26380889280695713</v>
      </c>
      <c r="N15" s="34">
        <f>(15150)/$D$54</f>
        <v>879.24107142857144</v>
      </c>
      <c r="O15" s="34">
        <f>(11275)/$D$47</f>
        <v>197.80701754385964</v>
      </c>
      <c r="P15" s="94">
        <f t="shared" si="7"/>
        <v>0.22497472419306708</v>
      </c>
      <c r="Q15" s="34">
        <f>(1070+10588+292)/$D$54</f>
        <v>693.52678571428578</v>
      </c>
      <c r="R15" s="34">
        <f>(2080+7475+432)/$D$46</f>
        <v>178.33928571428572</v>
      </c>
      <c r="S15" s="94">
        <f t="shared" si="8"/>
        <v>0.2571483746379144</v>
      </c>
      <c r="T15" s="34">
        <f>32595.5/$D$54</f>
        <v>1891.703125</v>
      </c>
      <c r="U15" s="34">
        <f>20778/$D$45</f>
        <v>342.87128712871288</v>
      </c>
      <c r="V15" s="94">
        <f t="shared" si="9"/>
        <v>0.18125005060120777</v>
      </c>
      <c r="W15" s="34">
        <f>58142/$D$52</f>
        <v>519.125</v>
      </c>
      <c r="X15" s="34">
        <v>151</v>
      </c>
      <c r="Y15" s="94">
        <f t="shared" si="2"/>
        <v>0.29087406693956175</v>
      </c>
      <c r="Z15" s="34">
        <f>25005/$D$52</f>
        <v>223.25892857142858</v>
      </c>
      <c r="AA15" s="34">
        <v>281</v>
      </c>
      <c r="AB15" s="94">
        <f t="shared" si="10"/>
        <v>1.2586282743451309</v>
      </c>
      <c r="AC15" s="34">
        <v>1576</v>
      </c>
      <c r="AD15" s="34">
        <v>331</v>
      </c>
      <c r="AE15" s="94">
        <f t="shared" si="11"/>
        <v>0.2100253807106599</v>
      </c>
      <c r="AF15" s="34">
        <v>2367</v>
      </c>
      <c r="AG15" s="34">
        <v>919</v>
      </c>
      <c r="AH15" s="94">
        <f t="shared" si="12"/>
        <v>0.38825517532741866</v>
      </c>
      <c r="AI15" s="34"/>
      <c r="AJ15" s="34"/>
      <c r="AK15" s="94" t="str">
        <f t="shared" si="13"/>
        <v/>
      </c>
      <c r="AL15" s="34"/>
      <c r="AM15" s="34"/>
      <c r="AN15" s="94" t="str">
        <f t="shared" si="14"/>
        <v/>
      </c>
      <c r="AO15" s="34"/>
      <c r="AP15" s="34"/>
      <c r="AQ15" s="94" t="str">
        <f t="shared" si="15"/>
        <v/>
      </c>
      <c r="AR15" s="34"/>
      <c r="AS15" s="34"/>
      <c r="AT15" s="94" t="str">
        <f t="shared" si="16"/>
        <v/>
      </c>
    </row>
    <row r="16" spans="1:46" s="3" customFormat="1" x14ac:dyDescent="0.3">
      <c r="A16" s="15" t="s">
        <v>76</v>
      </c>
      <c r="B16" s="15" t="s">
        <v>42</v>
      </c>
      <c r="C16" s="15"/>
      <c r="D16" s="15"/>
      <c r="E16" s="15" t="str">
        <f t="shared" si="4"/>
        <v/>
      </c>
      <c r="F16" s="15" t="s">
        <v>42</v>
      </c>
      <c r="G16" s="15" t="s">
        <v>178</v>
      </c>
      <c r="H16" s="34"/>
      <c r="I16" s="34"/>
      <c r="J16" s="94" t="str">
        <f t="shared" si="5"/>
        <v/>
      </c>
      <c r="K16" s="34"/>
      <c r="L16" s="34"/>
      <c r="M16" s="94" t="str">
        <f t="shared" si="6"/>
        <v/>
      </c>
      <c r="N16" s="34"/>
      <c r="O16" s="34"/>
      <c r="P16" s="94" t="str">
        <f t="shared" si="7"/>
        <v/>
      </c>
      <c r="Q16" s="34"/>
      <c r="R16" s="34"/>
      <c r="S16" s="94" t="str">
        <f t="shared" si="8"/>
        <v/>
      </c>
      <c r="T16" s="34"/>
      <c r="U16" s="34"/>
      <c r="V16" s="94" t="str">
        <f t="shared" si="9"/>
        <v/>
      </c>
      <c r="W16" s="34"/>
      <c r="X16" s="34"/>
      <c r="Y16" s="94" t="str">
        <f t="shared" si="2"/>
        <v/>
      </c>
      <c r="Z16" s="34"/>
      <c r="AA16" s="34"/>
      <c r="AB16" s="94" t="str">
        <f t="shared" si="10"/>
        <v/>
      </c>
      <c r="AC16" s="34">
        <v>34</v>
      </c>
      <c r="AD16" s="34">
        <v>48</v>
      </c>
      <c r="AE16" s="94">
        <f t="shared" si="11"/>
        <v>1.411764705882353</v>
      </c>
      <c r="AF16" s="34">
        <v>189</v>
      </c>
      <c r="AG16" s="34">
        <v>151</v>
      </c>
      <c r="AH16" s="94">
        <f t="shared" si="12"/>
        <v>0.79894179894179895</v>
      </c>
      <c r="AI16" s="34">
        <v>1488</v>
      </c>
      <c r="AJ16" s="34">
        <v>733</v>
      </c>
      <c r="AK16" s="94">
        <f t="shared" si="13"/>
        <v>0.49260752688172044</v>
      </c>
      <c r="AL16" s="34">
        <v>3731</v>
      </c>
      <c r="AM16" s="34">
        <v>1839</v>
      </c>
      <c r="AN16" s="94">
        <f t="shared" si="14"/>
        <v>0.49289734655588313</v>
      </c>
      <c r="AO16" s="34">
        <v>2539</v>
      </c>
      <c r="AP16" s="34">
        <v>2255</v>
      </c>
      <c r="AQ16" s="94">
        <f t="shared" si="15"/>
        <v>0.88814493895234348</v>
      </c>
      <c r="AR16" s="34">
        <v>228</v>
      </c>
      <c r="AS16" s="34">
        <v>229</v>
      </c>
      <c r="AT16" s="94">
        <f t="shared" si="16"/>
        <v>1.0043859649122806</v>
      </c>
    </row>
    <row r="17" spans="1:46" s="3" customFormat="1" x14ac:dyDescent="0.3">
      <c r="A17" s="15" t="s">
        <v>47</v>
      </c>
      <c r="B17" s="15" t="s">
        <v>42</v>
      </c>
      <c r="C17" s="15"/>
      <c r="D17" s="15"/>
      <c r="E17" s="15" t="str">
        <f t="shared" si="4"/>
        <v/>
      </c>
      <c r="F17" s="15" t="s">
        <v>42</v>
      </c>
      <c r="G17" s="15" t="s">
        <v>178</v>
      </c>
      <c r="H17" s="34">
        <f>(22519)/$D$54</f>
        <v>1306.90625</v>
      </c>
      <c r="I17" s="34">
        <f>(88129)/$D$49</f>
        <v>1762.58</v>
      </c>
      <c r="J17" s="94">
        <f t="shared" si="5"/>
        <v>1.3486659812056143</v>
      </c>
      <c r="K17" s="34">
        <f>(26597)/$D$54</f>
        <v>1543.5758928571429</v>
      </c>
      <c r="L17" s="34">
        <f>(104442)/$D$48</f>
        <v>1934.1111111111111</v>
      </c>
      <c r="M17" s="94">
        <f t="shared" si="6"/>
        <v>1.2530068136339521</v>
      </c>
      <c r="N17" s="34">
        <f>(2749)/$D$54</f>
        <v>159.54017857142858</v>
      </c>
      <c r="O17" s="34">
        <f>(9570)/$D$47</f>
        <v>167.89473684210526</v>
      </c>
      <c r="P17" s="94">
        <f t="shared" si="7"/>
        <v>1.0523664843896123</v>
      </c>
      <c r="Q17" s="34">
        <f>(53507+799)/$D$54</f>
        <v>3151.6875</v>
      </c>
      <c r="R17" s="34">
        <f>(262745+13820)/$D$46</f>
        <v>4938.6607142857147</v>
      </c>
      <c r="S17" s="94">
        <f t="shared" si="8"/>
        <v>1.5669893396111494</v>
      </c>
      <c r="T17" s="34">
        <f>(30328+150)/$D$54</f>
        <v>1768.8125</v>
      </c>
      <c r="U17" s="34">
        <f>(127208+735)/$D$45</f>
        <v>2111.2706270627064</v>
      </c>
      <c r="V17" s="94">
        <f t="shared" si="9"/>
        <v>1.1936090609166921</v>
      </c>
      <c r="W17" s="34">
        <f>262639/$D$52</f>
        <v>2344.9910714285716</v>
      </c>
      <c r="X17" s="34">
        <v>1781</v>
      </c>
      <c r="Y17" s="94">
        <f t="shared" si="2"/>
        <v>0.75949116467851308</v>
      </c>
      <c r="Z17" s="34">
        <f>48158/$D$52</f>
        <v>429.98214285714283</v>
      </c>
      <c r="AA17" s="34">
        <v>3167</v>
      </c>
      <c r="AB17" s="94">
        <f t="shared" si="10"/>
        <v>7.3654221520827283</v>
      </c>
      <c r="AC17" s="34">
        <v>2912</v>
      </c>
      <c r="AD17" s="34">
        <v>4902</v>
      </c>
      <c r="AE17" s="94">
        <f t="shared" si="11"/>
        <v>1.6833791208791209</v>
      </c>
      <c r="AF17" s="34">
        <v>2390</v>
      </c>
      <c r="AG17" s="34">
        <v>4583</v>
      </c>
      <c r="AH17" s="94">
        <f t="shared" si="12"/>
        <v>1.9175732217573223</v>
      </c>
      <c r="AI17" s="34">
        <v>2568</v>
      </c>
      <c r="AJ17" s="34">
        <v>5494</v>
      </c>
      <c r="AK17" s="94">
        <f t="shared" si="13"/>
        <v>2.1394080996884735</v>
      </c>
      <c r="AL17" s="34">
        <v>2889</v>
      </c>
      <c r="AM17" s="34">
        <v>8156</v>
      </c>
      <c r="AN17" s="94">
        <f t="shared" si="14"/>
        <v>2.8231221876081691</v>
      </c>
      <c r="AO17" s="34">
        <v>2366</v>
      </c>
      <c r="AP17" s="34">
        <v>5230</v>
      </c>
      <c r="AQ17" s="94">
        <f t="shared" si="15"/>
        <v>2.2104818258664412</v>
      </c>
      <c r="AR17" s="34">
        <v>1698</v>
      </c>
      <c r="AS17" s="34">
        <v>7908</v>
      </c>
      <c r="AT17" s="94">
        <f t="shared" si="16"/>
        <v>4.6572438162544172</v>
      </c>
    </row>
    <row r="18" spans="1:46" s="3" customFormat="1" ht="15" x14ac:dyDescent="0.3">
      <c r="A18" s="15" t="s">
        <v>77</v>
      </c>
      <c r="B18" s="15" t="s">
        <v>42</v>
      </c>
      <c r="C18" s="15"/>
      <c r="D18" s="15"/>
      <c r="E18" s="15" t="str">
        <f t="shared" si="4"/>
        <v/>
      </c>
      <c r="F18" s="15" t="s">
        <v>42</v>
      </c>
      <c r="G18" s="15" t="s">
        <v>178</v>
      </c>
      <c r="H18" s="34">
        <f>(561)/$D$54</f>
        <v>32.558035714285715</v>
      </c>
      <c r="I18" s="34">
        <f>(1165)/$D$49</f>
        <v>23.3</v>
      </c>
      <c r="J18" s="94">
        <f t="shared" si="5"/>
        <v>0.71564513917455097</v>
      </c>
      <c r="K18" s="34">
        <f>(4386)/$D$54</f>
        <v>254.54464285714286</v>
      </c>
      <c r="L18" s="34">
        <f>(5300)/$D$48</f>
        <v>98.148148148148152</v>
      </c>
      <c r="M18" s="94">
        <f t="shared" si="6"/>
        <v>0.38558324012040385</v>
      </c>
      <c r="N18" s="34">
        <f>(23472)/$D$54</f>
        <v>1362.2142857142858</v>
      </c>
      <c r="O18" s="34">
        <f>(92427)/$D$47</f>
        <v>1621.5263157894738</v>
      </c>
      <c r="P18" s="94">
        <f t="shared" si="7"/>
        <v>1.1903606743774648</v>
      </c>
      <c r="Q18" s="34">
        <f>(2247+296)/$D$54</f>
        <v>147.58482142857144</v>
      </c>
      <c r="R18" s="34">
        <f>(13011+5454)/$D$46</f>
        <v>329.73214285714283</v>
      </c>
      <c r="S18" s="94">
        <f t="shared" si="8"/>
        <v>2.2341873619891706</v>
      </c>
      <c r="T18" s="34">
        <f>671/$D$54</f>
        <v>38.941964285714285</v>
      </c>
      <c r="U18" s="34">
        <f>3094/$D$45</f>
        <v>51.056105610561055</v>
      </c>
      <c r="V18" s="94">
        <f t="shared" si="9"/>
        <v>1.3110819278649177</v>
      </c>
      <c r="W18" s="34">
        <f>25064/$D$52</f>
        <v>223.78571428571428</v>
      </c>
      <c r="X18" s="34">
        <v>253</v>
      </c>
      <c r="Y18" s="94">
        <f t="shared" si="2"/>
        <v>1.1305458027449728</v>
      </c>
      <c r="Z18" s="34"/>
      <c r="AA18" s="34"/>
      <c r="AB18" s="94" t="str">
        <f t="shared" si="10"/>
        <v/>
      </c>
      <c r="AC18" s="34">
        <v>288</v>
      </c>
      <c r="AD18" s="34">
        <v>250</v>
      </c>
      <c r="AE18" s="94">
        <f t="shared" si="11"/>
        <v>0.86805555555555558</v>
      </c>
      <c r="AF18" s="34">
        <v>891</v>
      </c>
      <c r="AG18" s="34">
        <v>881</v>
      </c>
      <c r="AH18" s="94">
        <f t="shared" si="12"/>
        <v>0.98877665544332216</v>
      </c>
      <c r="AI18" s="34">
        <v>455</v>
      </c>
      <c r="AJ18" s="34">
        <v>552</v>
      </c>
      <c r="AK18" s="94">
        <f t="shared" si="13"/>
        <v>1.2131868131868131</v>
      </c>
      <c r="AL18" s="34">
        <v>618</v>
      </c>
      <c r="AM18" s="34">
        <v>1590</v>
      </c>
      <c r="AN18" s="94">
        <f t="shared" si="14"/>
        <v>2.5728155339805827</v>
      </c>
      <c r="AO18" s="34">
        <v>36</v>
      </c>
      <c r="AP18" s="34">
        <v>57</v>
      </c>
      <c r="AQ18" s="94">
        <f t="shared" si="15"/>
        <v>1.5833333333333333</v>
      </c>
      <c r="AR18" s="34">
        <v>285</v>
      </c>
      <c r="AS18" s="34">
        <v>870</v>
      </c>
      <c r="AT18" s="94">
        <f t="shared" si="16"/>
        <v>3.0526315789473686</v>
      </c>
    </row>
    <row r="19" spans="1:46" s="3" customFormat="1" x14ac:dyDescent="0.3">
      <c r="A19" s="15" t="s">
        <v>108</v>
      </c>
      <c r="B19" s="15" t="s">
        <v>42</v>
      </c>
      <c r="C19" s="15"/>
      <c r="D19" s="15"/>
      <c r="E19" s="15" t="str">
        <f t="shared" si="4"/>
        <v/>
      </c>
      <c r="F19" s="15" t="s">
        <v>42</v>
      </c>
      <c r="G19" s="15" t="s">
        <v>178</v>
      </c>
      <c r="H19" s="34">
        <f>(154921.5)/$D$54</f>
        <v>8990.9799107142862</v>
      </c>
      <c r="I19" s="34">
        <f>(1714848)/$D$49</f>
        <v>34296.959999999999</v>
      </c>
      <c r="J19" s="94">
        <f t="shared" si="5"/>
        <v>3.8145964445020417</v>
      </c>
      <c r="K19" s="34">
        <f>(136972)/$D$54</f>
        <v>7949.2678571428578</v>
      </c>
      <c r="L19" s="34">
        <f>(2121948)/$D$48</f>
        <v>39295.333333333336</v>
      </c>
      <c r="M19" s="94">
        <f t="shared" si="6"/>
        <v>4.9432644665538978</v>
      </c>
      <c r="N19" s="34">
        <f>(141066)/$D$54</f>
        <v>8186.8660714285716</v>
      </c>
      <c r="O19" s="34">
        <f>(2169989+210000)/$D$47</f>
        <v>41754.192982456138</v>
      </c>
      <c r="P19" s="94">
        <f t="shared" si="7"/>
        <v>5.1001436469291379</v>
      </c>
      <c r="Q19" s="34">
        <f>(145978.5+3717+9450)/$D$54</f>
        <v>9236.1227678571431</v>
      </c>
      <c r="R19" s="34">
        <f>(1565377+25669+137027)/$D$46</f>
        <v>30858.446428571428</v>
      </c>
      <c r="S19" s="94">
        <f t="shared" si="8"/>
        <v>3.3410606597784369</v>
      </c>
      <c r="T19" s="34">
        <f>(406589.5+8328)/$D$54</f>
        <v>24080.033482142859</v>
      </c>
      <c r="U19" s="34">
        <f>(4859441+258020)/$D$45</f>
        <v>84446.551155115507</v>
      </c>
      <c r="V19" s="94">
        <f t="shared" si="9"/>
        <v>3.50691170000818</v>
      </c>
      <c r="W19" s="34">
        <f>752622/$D$52</f>
        <v>6719.8392857142853</v>
      </c>
      <c r="X19" s="34">
        <v>33789</v>
      </c>
      <c r="Y19" s="94">
        <f t="shared" si="2"/>
        <v>5.0282452545899536</v>
      </c>
      <c r="Z19" s="34">
        <f>135700/$D$52</f>
        <v>1211.6071428571429</v>
      </c>
      <c r="AA19" s="34">
        <v>42314</v>
      </c>
      <c r="AB19" s="94">
        <f t="shared" si="10"/>
        <v>34.923861459100955</v>
      </c>
      <c r="AC19" s="34">
        <v>5464</v>
      </c>
      <c r="AD19" s="34">
        <v>34676</v>
      </c>
      <c r="AE19" s="94">
        <f t="shared" si="11"/>
        <v>6.3462664714494874</v>
      </c>
      <c r="AF19" s="34">
        <v>8634</v>
      </c>
      <c r="AG19" s="34">
        <v>67781</v>
      </c>
      <c r="AH19" s="94">
        <f t="shared" si="12"/>
        <v>7.8504748668056523</v>
      </c>
      <c r="AI19" s="34">
        <v>7466</v>
      </c>
      <c r="AJ19" s="34">
        <v>60784</v>
      </c>
      <c r="AK19" s="94">
        <f t="shared" si="13"/>
        <v>8.1414412001071526</v>
      </c>
      <c r="AL19" s="34">
        <v>7251</v>
      </c>
      <c r="AM19" s="34">
        <v>56059</v>
      </c>
      <c r="AN19" s="94">
        <f t="shared" si="14"/>
        <v>7.7312094883464351</v>
      </c>
      <c r="AO19" s="34">
        <v>8417</v>
      </c>
      <c r="AP19" s="34">
        <v>88800</v>
      </c>
      <c r="AQ19" s="94">
        <f t="shared" si="15"/>
        <v>10.550077224664371</v>
      </c>
      <c r="AR19" s="34">
        <v>4369</v>
      </c>
      <c r="AS19" s="34">
        <v>36725</v>
      </c>
      <c r="AT19" s="94">
        <f t="shared" si="16"/>
        <v>8.4058136873426417</v>
      </c>
    </row>
    <row r="20" spans="1:46" s="3" customFormat="1" x14ac:dyDescent="0.3">
      <c r="A20" s="15" t="s">
        <v>50</v>
      </c>
      <c r="B20" s="15" t="s">
        <v>42</v>
      </c>
      <c r="C20" s="15"/>
      <c r="D20" s="15"/>
      <c r="E20" s="15" t="str">
        <f t="shared" si="4"/>
        <v/>
      </c>
      <c r="F20" s="15" t="s">
        <v>42</v>
      </c>
      <c r="G20" s="15" t="s">
        <v>178</v>
      </c>
      <c r="H20" s="34"/>
      <c r="I20" s="34">
        <f>(47795)/$D$49</f>
        <v>955.9</v>
      </c>
      <c r="J20" s="94" t="str">
        <f t="shared" si="5"/>
        <v/>
      </c>
      <c r="K20" s="34"/>
      <c r="L20" s="34">
        <f>(17520)/$D$48</f>
        <v>324.44444444444446</v>
      </c>
      <c r="M20" s="94" t="str">
        <f t="shared" si="6"/>
        <v/>
      </c>
      <c r="N20" s="34"/>
      <c r="O20" s="34">
        <f>(39517)/$D$47</f>
        <v>693.28070175438597</v>
      </c>
      <c r="P20" s="94" t="str">
        <f t="shared" si="7"/>
        <v/>
      </c>
      <c r="Q20" s="34">
        <f>(2170.5)/$D$54</f>
        <v>125.96651785714286</v>
      </c>
      <c r="R20" s="34">
        <f>(48530)/$D$46</f>
        <v>866.60714285714289</v>
      </c>
      <c r="S20" s="94">
        <f t="shared" si="8"/>
        <v>6.8796626087572879</v>
      </c>
      <c r="T20" s="34">
        <f>(5837+360)/$D$54</f>
        <v>359.64732142857144</v>
      </c>
      <c r="U20" s="34">
        <f>(71258+4165)/$D$45</f>
        <v>1244.6039603960396</v>
      </c>
      <c r="V20" s="94">
        <f t="shared" si="9"/>
        <v>3.4606234670462488</v>
      </c>
      <c r="W20" s="34">
        <f>27105/$D$52</f>
        <v>242.00892857142858</v>
      </c>
      <c r="X20" s="34">
        <v>1809</v>
      </c>
      <c r="Y20" s="94">
        <f t="shared" si="2"/>
        <v>7.4749308245711124</v>
      </c>
      <c r="Z20" s="34">
        <f>4786/$D$52</f>
        <v>42.732142857142854</v>
      </c>
      <c r="AA20" s="34">
        <v>2431</v>
      </c>
      <c r="AB20" s="94">
        <f t="shared" si="10"/>
        <v>56.889260342666113</v>
      </c>
      <c r="AC20" s="34">
        <v>154</v>
      </c>
      <c r="AD20" s="34">
        <v>1104</v>
      </c>
      <c r="AE20" s="94">
        <f t="shared" si="11"/>
        <v>7.1688311688311686</v>
      </c>
      <c r="AF20" s="34">
        <v>205</v>
      </c>
      <c r="AG20" s="34">
        <v>1574</v>
      </c>
      <c r="AH20" s="94">
        <f t="shared" si="12"/>
        <v>7.6780487804878046</v>
      </c>
      <c r="AI20" s="34">
        <v>333</v>
      </c>
      <c r="AJ20" s="34">
        <v>2511</v>
      </c>
      <c r="AK20" s="94">
        <f t="shared" si="13"/>
        <v>7.5405405405405403</v>
      </c>
      <c r="AL20" s="34">
        <v>265</v>
      </c>
      <c r="AM20" s="34">
        <v>2333</v>
      </c>
      <c r="AN20" s="94">
        <f t="shared" si="14"/>
        <v>8.8037735849056595</v>
      </c>
      <c r="AO20" s="34">
        <v>185</v>
      </c>
      <c r="AP20" s="34">
        <v>1575</v>
      </c>
      <c r="AQ20" s="94">
        <f t="shared" si="15"/>
        <v>8.513513513513514</v>
      </c>
      <c r="AR20" s="34">
        <v>71</v>
      </c>
      <c r="AS20" s="34">
        <v>734</v>
      </c>
      <c r="AT20" s="94">
        <f t="shared" si="16"/>
        <v>10.338028169014084</v>
      </c>
    </row>
    <row r="21" spans="1:46" s="3" customFormat="1" x14ac:dyDescent="0.3">
      <c r="A21" s="15" t="s">
        <v>92</v>
      </c>
      <c r="B21" s="15" t="s">
        <v>42</v>
      </c>
      <c r="C21" s="15"/>
      <c r="D21" s="15"/>
      <c r="E21" s="15" t="str">
        <f t="shared" si="4"/>
        <v/>
      </c>
      <c r="F21" s="15" t="s">
        <v>42</v>
      </c>
      <c r="G21" s="15" t="s">
        <v>178</v>
      </c>
      <c r="H21" s="34">
        <f>(10525)/$D$54</f>
        <v>610.82589285714289</v>
      </c>
      <c r="I21" s="34">
        <f>(4850)/$D$49</f>
        <v>97</v>
      </c>
      <c r="J21" s="94">
        <f t="shared" si="5"/>
        <v>0.15880138863511783</v>
      </c>
      <c r="K21" s="34">
        <f>(10815)/$D$54</f>
        <v>627.65625</v>
      </c>
      <c r="L21" s="34">
        <f>(19550)/$D$48</f>
        <v>362.03703703703701</v>
      </c>
      <c r="M21" s="94">
        <f t="shared" si="6"/>
        <v>0.57680782599876446</v>
      </c>
      <c r="N21" s="34">
        <f>(100)/$D$54</f>
        <v>5.8035714285714288</v>
      </c>
      <c r="O21" s="34">
        <f>(100)/$D$47</f>
        <v>1.7543859649122806</v>
      </c>
      <c r="P21" s="94">
        <f t="shared" si="7"/>
        <v>0.3022941970310391</v>
      </c>
      <c r="Q21" s="34">
        <f>(191+712+110+15+953)/$D$54</f>
        <v>114.96875</v>
      </c>
      <c r="R21" s="34">
        <f>(18950+15741+460+1400+17870)/$D$46</f>
        <v>971.80357142857144</v>
      </c>
      <c r="S21" s="94">
        <f t="shared" si="8"/>
        <v>8.4527627849182618</v>
      </c>
      <c r="T21" s="34">
        <f>(120+16.4+3581+80+80+767)/$D$54</f>
        <v>269.5410714285714</v>
      </c>
      <c r="U21" s="34">
        <f>(120+840+39757+40+200+15220)/$D$45</f>
        <v>927.013201320132</v>
      </c>
      <c r="V21" s="94">
        <f t="shared" si="9"/>
        <v>3.4392280048712029</v>
      </c>
      <c r="W21" s="34">
        <f>7481/$D$52</f>
        <v>66.794642857142861</v>
      </c>
      <c r="X21" s="34">
        <v>38</v>
      </c>
      <c r="Y21" s="94">
        <f t="shared" si="2"/>
        <v>0.56890790001336711</v>
      </c>
      <c r="Z21" s="34">
        <f>(318+262)/$D$52</f>
        <v>5.1785714285714288</v>
      </c>
      <c r="AA21" s="34">
        <f>50+85</f>
        <v>135</v>
      </c>
      <c r="AB21" s="94">
        <f t="shared" si="10"/>
        <v>26.068965517241377</v>
      </c>
      <c r="AC21" s="34">
        <v>52</v>
      </c>
      <c r="AD21" s="34">
        <v>180</v>
      </c>
      <c r="AE21" s="94">
        <f t="shared" si="11"/>
        <v>3.4615384615384617</v>
      </c>
      <c r="AF21" s="34">
        <v>370</v>
      </c>
      <c r="AG21" s="34">
        <v>418</v>
      </c>
      <c r="AH21" s="94">
        <f t="shared" si="12"/>
        <v>1.1297297297297297</v>
      </c>
      <c r="AI21" s="34">
        <v>265</v>
      </c>
      <c r="AJ21" s="34">
        <v>503</v>
      </c>
      <c r="AK21" s="94">
        <f t="shared" si="13"/>
        <v>1.8981132075471698</v>
      </c>
      <c r="AL21" s="34">
        <v>30</v>
      </c>
      <c r="AM21" s="34">
        <v>236</v>
      </c>
      <c r="AN21" s="94">
        <f t="shared" si="14"/>
        <v>7.8666666666666663</v>
      </c>
      <c r="AO21" s="34">
        <v>25</v>
      </c>
      <c r="AP21" s="34">
        <v>94</v>
      </c>
      <c r="AQ21" s="94">
        <f t="shared" si="15"/>
        <v>3.76</v>
      </c>
      <c r="AR21" s="34"/>
      <c r="AS21" s="34"/>
      <c r="AT21" s="94" t="str">
        <f t="shared" si="16"/>
        <v/>
      </c>
    </row>
    <row r="22" spans="1:46" s="3" customFormat="1" x14ac:dyDescent="0.3">
      <c r="A22" s="15" t="s">
        <v>78</v>
      </c>
      <c r="B22" s="15" t="s">
        <v>42</v>
      </c>
      <c r="C22" s="15"/>
      <c r="D22" s="15"/>
      <c r="E22" s="15" t="str">
        <f t="shared" si="4"/>
        <v/>
      </c>
      <c r="F22" s="15" t="s">
        <v>42</v>
      </c>
      <c r="G22" s="15" t="s">
        <v>178</v>
      </c>
      <c r="H22" s="34">
        <f>(2686)/$D$54</f>
        <v>155.88392857142858</v>
      </c>
      <c r="I22" s="34">
        <f>(4982.5)/$D$49</f>
        <v>99.65</v>
      </c>
      <c r="J22" s="94">
        <f t="shared" si="5"/>
        <v>0.63925768944383987</v>
      </c>
      <c r="K22" s="34">
        <f>(35407)/$D$54</f>
        <v>2054.8705357142858</v>
      </c>
      <c r="L22" s="34">
        <f>(9852)/$D$48</f>
        <v>182.44444444444446</v>
      </c>
      <c r="M22" s="94">
        <f t="shared" si="6"/>
        <v>8.8786345063352437E-2</v>
      </c>
      <c r="N22" s="34">
        <f>(13704)/$D$54</f>
        <v>795.32142857142856</v>
      </c>
      <c r="O22" s="34">
        <f>(4724)/$D$47</f>
        <v>82.877192982456137</v>
      </c>
      <c r="P22" s="94">
        <f t="shared" si="7"/>
        <v>0.10420590971793847</v>
      </c>
      <c r="Q22" s="34">
        <f>260.3/$D$54</f>
        <v>15.10669642857143</v>
      </c>
      <c r="R22" s="34">
        <f>11098/$D$46</f>
        <v>198.17857142857142</v>
      </c>
      <c r="S22" s="94">
        <f t="shared" si="8"/>
        <v>13.118590974910603</v>
      </c>
      <c r="T22" s="34">
        <f>24446/$D$54</f>
        <v>1418.7410714285716</v>
      </c>
      <c r="U22" s="34">
        <f>5746/$D$45</f>
        <v>94.818481848184817</v>
      </c>
      <c r="V22" s="94">
        <f t="shared" si="9"/>
        <v>6.6832830710052915E-2</v>
      </c>
      <c r="W22" s="34">
        <f>(52968+39)/$D$52</f>
        <v>473.27678571428572</v>
      </c>
      <c r="X22" s="34">
        <f>79+30</f>
        <v>109</v>
      </c>
      <c r="Y22" s="94">
        <f t="shared" si="2"/>
        <v>0.23030920444469599</v>
      </c>
      <c r="Z22" s="34">
        <f>(9984+79.5)/$D$52</f>
        <v>89.852678571428569</v>
      </c>
      <c r="AA22" s="34">
        <f>75+47</f>
        <v>122</v>
      </c>
      <c r="AB22" s="94">
        <f t="shared" si="10"/>
        <v>1.3577781090078005</v>
      </c>
      <c r="AC22" s="34">
        <v>1553</v>
      </c>
      <c r="AD22" s="34">
        <v>277</v>
      </c>
      <c r="AE22" s="94">
        <f t="shared" si="11"/>
        <v>0.17836445589182229</v>
      </c>
      <c r="AF22" s="34">
        <v>2542</v>
      </c>
      <c r="AG22" s="34">
        <v>419</v>
      </c>
      <c r="AH22" s="94">
        <f t="shared" si="12"/>
        <v>0.16483084185680566</v>
      </c>
      <c r="AI22" s="34">
        <v>1023</v>
      </c>
      <c r="AJ22" s="34">
        <v>165</v>
      </c>
      <c r="AK22" s="94">
        <f t="shared" si="13"/>
        <v>0.16129032258064516</v>
      </c>
      <c r="AL22" s="34">
        <v>594</v>
      </c>
      <c r="AM22" s="34">
        <v>92</v>
      </c>
      <c r="AN22" s="94">
        <f t="shared" si="14"/>
        <v>0.15488215488215487</v>
      </c>
      <c r="AO22" s="34">
        <v>1787</v>
      </c>
      <c r="AP22" s="34">
        <v>355</v>
      </c>
      <c r="AQ22" s="94">
        <f t="shared" si="15"/>
        <v>0.19865696698377169</v>
      </c>
      <c r="AR22" s="34">
        <v>360</v>
      </c>
      <c r="AS22" s="34">
        <v>120</v>
      </c>
      <c r="AT22" s="94">
        <f t="shared" si="16"/>
        <v>0.33333333333333331</v>
      </c>
    </row>
    <row r="23" spans="1:46" s="3" customFormat="1" x14ac:dyDescent="0.3">
      <c r="A23" s="15" t="s">
        <v>56</v>
      </c>
      <c r="B23" s="15" t="s">
        <v>42</v>
      </c>
      <c r="C23" s="15"/>
      <c r="D23" s="15"/>
      <c r="E23" s="15" t="str">
        <f t="shared" si="4"/>
        <v/>
      </c>
      <c r="F23" s="15" t="s">
        <v>42</v>
      </c>
      <c r="G23" s="15" t="s">
        <v>178</v>
      </c>
      <c r="H23" s="34">
        <f>(1164)/$D$54</f>
        <v>67.553571428571431</v>
      </c>
      <c r="I23" s="34">
        <f>(14991)/$D$49</f>
        <v>299.82</v>
      </c>
      <c r="J23" s="94">
        <f t="shared" si="5"/>
        <v>4.4382553528945277</v>
      </c>
      <c r="K23" s="34">
        <f>(506)/$D$54</f>
        <v>29.366071428571431</v>
      </c>
      <c r="L23" s="34">
        <f>(13144)/$D$48</f>
        <v>243.40740740740742</v>
      </c>
      <c r="M23" s="94">
        <f t="shared" si="6"/>
        <v>8.2887289843811587</v>
      </c>
      <c r="N23" s="34">
        <f>(1453)/$D$54</f>
        <v>84.325892857142861</v>
      </c>
      <c r="O23" s="34">
        <f>(35254)/$D$47</f>
        <v>618.49122807017545</v>
      </c>
      <c r="P23" s="94">
        <f t="shared" si="7"/>
        <v>7.3345351838487636</v>
      </c>
      <c r="Q23" s="34">
        <f>(5425.5)/$D$54</f>
        <v>314.87276785714289</v>
      </c>
      <c r="R23" s="34">
        <f>(137528)/$D$46</f>
        <v>2455.8571428571427</v>
      </c>
      <c r="S23" s="94">
        <f t="shared" si="8"/>
        <v>7.7995221993010198</v>
      </c>
      <c r="T23" s="34">
        <f>(1057.5+9261)/$D$54</f>
        <v>598.84151785714289</v>
      </c>
      <c r="U23" s="34">
        <f>(34318+225126)/$D$45</f>
        <v>4281.2541254125408</v>
      </c>
      <c r="V23" s="94">
        <f t="shared" si="9"/>
        <v>7.1492272959502099</v>
      </c>
      <c r="W23" s="34">
        <f>28905/$D$52</f>
        <v>258.08035714285717</v>
      </c>
      <c r="X23" s="34">
        <v>1340</v>
      </c>
      <c r="Y23" s="94">
        <f t="shared" si="2"/>
        <v>5.1921812835149623</v>
      </c>
      <c r="Z23" s="34">
        <f>1606/$D$52</f>
        <v>14.339285714285714</v>
      </c>
      <c r="AA23" s="34">
        <v>851</v>
      </c>
      <c r="AB23" s="94">
        <f t="shared" si="10"/>
        <v>59.347447073474477</v>
      </c>
      <c r="AC23" s="34">
        <v>123</v>
      </c>
      <c r="AD23" s="34">
        <v>1100</v>
      </c>
      <c r="AE23" s="94">
        <f t="shared" si="11"/>
        <v>8.9430894308943092</v>
      </c>
      <c r="AF23" s="34">
        <v>158</v>
      </c>
      <c r="AG23" s="34">
        <v>2346</v>
      </c>
      <c r="AH23" s="94">
        <f t="shared" si="12"/>
        <v>14.848101265822784</v>
      </c>
      <c r="AI23" s="34">
        <v>93</v>
      </c>
      <c r="AJ23" s="34">
        <v>605</v>
      </c>
      <c r="AK23" s="94">
        <f t="shared" si="13"/>
        <v>6.5053763440860219</v>
      </c>
      <c r="AL23" s="34">
        <v>129</v>
      </c>
      <c r="AM23" s="34">
        <v>1024</v>
      </c>
      <c r="AN23" s="94">
        <f t="shared" si="14"/>
        <v>7.9379844961240309</v>
      </c>
      <c r="AO23" s="34">
        <v>47</v>
      </c>
      <c r="AP23" s="34">
        <v>435</v>
      </c>
      <c r="AQ23" s="94">
        <f t="shared" si="15"/>
        <v>9.2553191489361701</v>
      </c>
      <c r="AR23" s="34"/>
      <c r="AS23" s="34"/>
      <c r="AT23" s="94" t="str">
        <f t="shared" si="16"/>
        <v/>
      </c>
    </row>
    <row r="24" spans="1:46" s="3" customFormat="1" x14ac:dyDescent="0.3">
      <c r="A24" s="15" t="s">
        <v>99</v>
      </c>
      <c r="B24" s="15" t="s">
        <v>42</v>
      </c>
      <c r="C24" s="34">
        <f>(2000)*$D$58</f>
        <v>4642.8571428571431</v>
      </c>
      <c r="D24" s="34">
        <f>(800000)/($D$50)</f>
        <v>15999.938571636991</v>
      </c>
      <c r="E24" s="15">
        <f t="shared" si="4"/>
        <v>3.4461406154295053</v>
      </c>
      <c r="F24" s="15" t="s">
        <v>42</v>
      </c>
      <c r="G24" s="15" t="s">
        <v>178</v>
      </c>
      <c r="H24" s="34">
        <f>(97980)/$D$54</f>
        <v>5686.3392857142862</v>
      </c>
      <c r="I24" s="34">
        <f>(383335)/$D$49</f>
        <v>7666.7</v>
      </c>
      <c r="J24" s="94">
        <f t="shared" si="5"/>
        <v>1.3482663651922684</v>
      </c>
      <c r="K24" s="34">
        <f>(70628)/$D$54</f>
        <v>4098.9464285714284</v>
      </c>
      <c r="L24" s="34">
        <f>(265170)/$D$48</f>
        <v>4910.5555555555557</v>
      </c>
      <c r="M24" s="94">
        <f t="shared" si="6"/>
        <v>1.1980043265086024</v>
      </c>
      <c r="N24" s="34">
        <f>(11533)/$D$54</f>
        <v>669.32589285714289</v>
      </c>
      <c r="O24" s="34">
        <f>(40755)/$D$47</f>
        <v>715</v>
      </c>
      <c r="P24" s="94">
        <f t="shared" si="7"/>
        <v>1.0682389664441168</v>
      </c>
      <c r="Q24" s="34">
        <f>(45470+593)/$D$54</f>
        <v>2673.2991071428573</v>
      </c>
      <c r="R24" s="34">
        <f>(227650+1960)/$D$46</f>
        <v>4100.1785714285716</v>
      </c>
      <c r="S24" s="94">
        <f t="shared" si="8"/>
        <v>1.5337522690495793</v>
      </c>
      <c r="T24" s="34">
        <f>(58681+1000)/$D$54</f>
        <v>3463.6294642857147</v>
      </c>
      <c r="U24" s="34">
        <f>(412360+3670)/$D$45</f>
        <v>6865.181518151815</v>
      </c>
      <c r="V24" s="94">
        <f t="shared" si="9"/>
        <v>1.9820773523670159</v>
      </c>
      <c r="W24" s="34">
        <f>916766/$D$52</f>
        <v>8185.4107142857147</v>
      </c>
      <c r="X24" s="34">
        <v>15310</v>
      </c>
      <c r="Y24" s="94">
        <f t="shared" si="2"/>
        <v>1.8704009529149204</v>
      </c>
      <c r="Z24" s="34">
        <f>158602/$D$52</f>
        <v>1416.0892857142858</v>
      </c>
      <c r="AA24" s="34">
        <v>19179</v>
      </c>
      <c r="AB24" s="94">
        <f t="shared" si="10"/>
        <v>13.543637532944098</v>
      </c>
      <c r="AC24" s="34">
        <v>6107</v>
      </c>
      <c r="AD24" s="34">
        <v>14581</v>
      </c>
      <c r="AE24" s="94">
        <f t="shared" si="11"/>
        <v>2.3875880137547076</v>
      </c>
      <c r="AF24" s="34">
        <v>2606</v>
      </c>
      <c r="AG24" s="34">
        <v>5249</v>
      </c>
      <c r="AH24" s="94">
        <f t="shared" si="12"/>
        <v>2.0141980046047583</v>
      </c>
      <c r="AI24" s="34">
        <v>8856</v>
      </c>
      <c r="AJ24" s="34">
        <v>17684</v>
      </c>
      <c r="AK24" s="94">
        <f t="shared" si="13"/>
        <v>1.9968383017163505</v>
      </c>
      <c r="AL24" s="34">
        <v>7928</v>
      </c>
      <c r="AM24" s="34">
        <v>15045</v>
      </c>
      <c r="AN24" s="94">
        <f t="shared" si="14"/>
        <v>1.8977043390514632</v>
      </c>
      <c r="AO24" s="34">
        <v>4202</v>
      </c>
      <c r="AP24" s="34">
        <v>9667</v>
      </c>
      <c r="AQ24" s="94">
        <f t="shared" si="15"/>
        <v>2.300571156592099</v>
      </c>
      <c r="AR24" s="34">
        <v>1409</v>
      </c>
      <c r="AS24" s="34">
        <v>2763</v>
      </c>
      <c r="AT24" s="94">
        <f t="shared" si="16"/>
        <v>1.9609652235628106</v>
      </c>
    </row>
    <row r="25" spans="1:46" s="3" customFormat="1" x14ac:dyDescent="0.3">
      <c r="A25" s="15" t="s">
        <v>79</v>
      </c>
      <c r="B25" s="15" t="s">
        <v>42</v>
      </c>
      <c r="C25" s="34">
        <f>(780)*$D$58</f>
        <v>1810.7142857142858</v>
      </c>
      <c r="D25" s="34">
        <f>(780000)/($D$50)</f>
        <v>15599.940107346065</v>
      </c>
      <c r="E25" s="15">
        <f t="shared" si="4"/>
        <v>8.6153515385737638</v>
      </c>
      <c r="F25" s="15" t="s">
        <v>42</v>
      </c>
      <c r="G25" s="15" t="s">
        <v>178</v>
      </c>
      <c r="H25" s="34">
        <f>(119293.5)/$D$54</f>
        <v>6923.2834821428578</v>
      </c>
      <c r="I25" s="34">
        <f>(1687448)/$D$49</f>
        <v>33748.959999999999</v>
      </c>
      <c r="J25" s="94">
        <f t="shared" si="5"/>
        <v>4.8747043345904135</v>
      </c>
      <c r="K25" s="34">
        <f>(51335)/$D$54</f>
        <v>2979.2633928571431</v>
      </c>
      <c r="L25" s="34">
        <f>(846822)/$D$48</f>
        <v>15681.888888888889</v>
      </c>
      <c r="M25" s="94">
        <f t="shared" si="6"/>
        <v>5.2636799171522064</v>
      </c>
      <c r="N25" s="34">
        <f>(69066)/$D$54</f>
        <v>4008.2946428571431</v>
      </c>
      <c r="O25" s="34">
        <f>(1218125+120000)/$D$47</f>
        <v>23475.877192982458</v>
      </c>
      <c r="P25" s="94">
        <f t="shared" si="7"/>
        <v>5.856824231925394</v>
      </c>
      <c r="Q25" s="34">
        <f>(117158+409+10386)/$D$54</f>
        <v>7425.84375</v>
      </c>
      <c r="R25" s="34">
        <f>(1998431+13760+223965)/$D$46</f>
        <v>39931.357142857145</v>
      </c>
      <c r="S25" s="94">
        <f t="shared" si="8"/>
        <v>5.377349495517886</v>
      </c>
      <c r="T25" s="34">
        <f>(82883.5+6855)/$D$54</f>
        <v>5208.0379464285716</v>
      </c>
      <c r="U25" s="34">
        <f>(1242630+143706)/$D$45</f>
        <v>22876.831683168315</v>
      </c>
      <c r="V25" s="94">
        <f t="shared" si="9"/>
        <v>4.3926008063854782</v>
      </c>
      <c r="W25" s="34">
        <f>598963/$D$52</f>
        <v>5347.8839285714284</v>
      </c>
      <c r="X25" s="34">
        <v>30337</v>
      </c>
      <c r="Y25" s="94">
        <f t="shared" si="2"/>
        <v>5.6727110021821048</v>
      </c>
      <c r="Z25" s="34">
        <f>114857/$D$52</f>
        <v>1025.5089285714287</v>
      </c>
      <c r="AA25" s="34">
        <v>45175</v>
      </c>
      <c r="AB25" s="94">
        <f t="shared" si="10"/>
        <v>44.051298571266877</v>
      </c>
      <c r="AC25" s="34">
        <v>4314</v>
      </c>
      <c r="AD25" s="34">
        <v>29283</v>
      </c>
      <c r="AE25" s="94">
        <f t="shared" si="11"/>
        <v>6.7878998609179417</v>
      </c>
      <c r="AF25" s="34">
        <v>7741</v>
      </c>
      <c r="AG25" s="34">
        <v>58385</v>
      </c>
      <c r="AH25" s="94">
        <f t="shared" si="12"/>
        <v>7.5423071954527838</v>
      </c>
      <c r="AI25" s="34">
        <v>5911</v>
      </c>
      <c r="AJ25" s="34">
        <v>46201</v>
      </c>
      <c r="AK25" s="94">
        <f t="shared" si="13"/>
        <v>7.8161055658940954</v>
      </c>
      <c r="AL25" s="34">
        <v>470</v>
      </c>
      <c r="AM25" s="34">
        <v>8981</v>
      </c>
      <c r="AN25" s="94">
        <f t="shared" si="14"/>
        <v>19.108510638297872</v>
      </c>
      <c r="AO25" s="34">
        <v>235</v>
      </c>
      <c r="AP25" s="34">
        <v>2301</v>
      </c>
      <c r="AQ25" s="94">
        <f t="shared" si="15"/>
        <v>9.7914893617021281</v>
      </c>
      <c r="AR25" s="34">
        <v>160</v>
      </c>
      <c r="AS25" s="34">
        <v>1891</v>
      </c>
      <c r="AT25" s="94">
        <f t="shared" si="16"/>
        <v>11.81875</v>
      </c>
    </row>
    <row r="26" spans="1:46" s="3" customFormat="1" x14ac:dyDescent="0.3">
      <c r="A26" s="15" t="s">
        <v>80</v>
      </c>
      <c r="B26" s="15" t="s">
        <v>42</v>
      </c>
      <c r="C26" s="15"/>
      <c r="D26" s="15"/>
      <c r="E26" s="15" t="str">
        <f t="shared" si="4"/>
        <v/>
      </c>
      <c r="F26" s="15" t="s">
        <v>42</v>
      </c>
      <c r="G26" s="15" t="s">
        <v>178</v>
      </c>
      <c r="H26" s="34"/>
      <c r="I26" s="34"/>
      <c r="J26" s="94" t="str">
        <f t="shared" si="5"/>
        <v/>
      </c>
      <c r="K26" s="34"/>
      <c r="L26" s="34"/>
      <c r="M26" s="94" t="str">
        <f t="shared" si="6"/>
        <v/>
      </c>
      <c r="N26" s="34"/>
      <c r="O26" s="34"/>
      <c r="P26" s="94" t="str">
        <f t="shared" si="7"/>
        <v/>
      </c>
      <c r="Q26" s="34"/>
      <c r="R26" s="34"/>
      <c r="S26" s="94" t="str">
        <f t="shared" si="8"/>
        <v/>
      </c>
      <c r="T26" s="34"/>
      <c r="U26" s="34"/>
      <c r="V26" s="94" t="str">
        <f t="shared" si="9"/>
        <v/>
      </c>
      <c r="W26" s="34"/>
      <c r="X26" s="34"/>
      <c r="Y26" s="94" t="str">
        <f t="shared" si="2"/>
        <v/>
      </c>
      <c r="Z26" s="34"/>
      <c r="AA26" s="34"/>
      <c r="AB26" s="94" t="str">
        <f t="shared" si="10"/>
        <v/>
      </c>
      <c r="AC26" s="34"/>
      <c r="AD26" s="34"/>
      <c r="AE26" s="94" t="str">
        <f t="shared" si="11"/>
        <v/>
      </c>
      <c r="AF26" s="34"/>
      <c r="AG26" s="34"/>
      <c r="AH26" s="94" t="str">
        <f t="shared" si="12"/>
        <v/>
      </c>
      <c r="AI26" s="34">
        <v>541</v>
      </c>
      <c r="AJ26" s="34">
        <v>4585</v>
      </c>
      <c r="AK26" s="94">
        <f t="shared" si="13"/>
        <v>8.4750462107208868</v>
      </c>
      <c r="AL26" s="34">
        <v>3845</v>
      </c>
      <c r="AM26" s="34">
        <v>30942</v>
      </c>
      <c r="AN26" s="94">
        <f t="shared" si="14"/>
        <v>8.0473342002600781</v>
      </c>
      <c r="AO26" s="34">
        <v>2320</v>
      </c>
      <c r="AP26" s="34">
        <v>17184</v>
      </c>
      <c r="AQ26" s="94">
        <f t="shared" si="15"/>
        <v>7.4068965517241381</v>
      </c>
      <c r="AR26" s="34">
        <v>2016</v>
      </c>
      <c r="AS26" s="34">
        <v>14901</v>
      </c>
      <c r="AT26" s="94">
        <f t="shared" si="16"/>
        <v>7.3913690476190474</v>
      </c>
    </row>
    <row r="27" spans="1:46" s="3" customFormat="1" x14ac:dyDescent="0.3">
      <c r="A27" s="15" t="s">
        <v>81</v>
      </c>
      <c r="B27" s="15" t="s">
        <v>42</v>
      </c>
      <c r="C27" s="15"/>
      <c r="D27" s="15"/>
      <c r="E27" s="15" t="str">
        <f t="shared" si="4"/>
        <v/>
      </c>
      <c r="F27" s="15" t="s">
        <v>42</v>
      </c>
      <c r="G27" s="15" t="s">
        <v>178</v>
      </c>
      <c r="H27" s="34"/>
      <c r="I27" s="34"/>
      <c r="J27" s="94" t="str">
        <f t="shared" si="5"/>
        <v/>
      </c>
      <c r="K27" s="34"/>
      <c r="L27" s="34"/>
      <c r="M27" s="94" t="str">
        <f t="shared" si="6"/>
        <v/>
      </c>
      <c r="N27" s="34"/>
      <c r="O27" s="34"/>
      <c r="P27" s="94" t="str">
        <f t="shared" si="7"/>
        <v/>
      </c>
      <c r="Q27" s="34"/>
      <c r="R27" s="34"/>
      <c r="S27" s="94" t="str">
        <f t="shared" si="8"/>
        <v/>
      </c>
      <c r="T27" s="34"/>
      <c r="U27" s="34"/>
      <c r="V27" s="94" t="str">
        <f t="shared" si="9"/>
        <v/>
      </c>
      <c r="W27" s="34"/>
      <c r="X27" s="34"/>
      <c r="Y27" s="94" t="str">
        <f t="shared" si="2"/>
        <v/>
      </c>
      <c r="Z27" s="34"/>
      <c r="AA27" s="34"/>
      <c r="AB27" s="94" t="str">
        <f t="shared" si="10"/>
        <v/>
      </c>
      <c r="AC27" s="34"/>
      <c r="AD27" s="34"/>
      <c r="AE27" s="94" t="str">
        <f t="shared" si="11"/>
        <v/>
      </c>
      <c r="AF27" s="34"/>
      <c r="AG27" s="34"/>
      <c r="AH27" s="94" t="str">
        <f t="shared" si="12"/>
        <v/>
      </c>
      <c r="AI27" s="34"/>
      <c r="AJ27" s="34"/>
      <c r="AK27" s="94" t="str">
        <f t="shared" si="13"/>
        <v/>
      </c>
      <c r="AL27" s="34"/>
      <c r="AM27" s="34"/>
      <c r="AN27" s="94" t="str">
        <f t="shared" si="14"/>
        <v/>
      </c>
      <c r="AO27" s="34"/>
      <c r="AP27" s="34"/>
      <c r="AQ27" s="94" t="str">
        <f t="shared" si="15"/>
        <v/>
      </c>
      <c r="AR27" s="34">
        <v>1207</v>
      </c>
      <c r="AS27" s="34">
        <v>13106</v>
      </c>
      <c r="AT27" s="94">
        <f t="shared" si="16"/>
        <v>10.858326429163215</v>
      </c>
    </row>
    <row r="28" spans="1:46" s="3" customFormat="1" x14ac:dyDescent="0.3">
      <c r="A28" s="15" t="s">
        <v>57</v>
      </c>
      <c r="B28" s="15" t="s">
        <v>42</v>
      </c>
      <c r="C28" s="15"/>
      <c r="D28" s="15"/>
      <c r="E28" s="15" t="str">
        <f t="shared" si="4"/>
        <v/>
      </c>
      <c r="F28" s="15" t="s">
        <v>42</v>
      </c>
      <c r="G28" s="15" t="s">
        <v>178</v>
      </c>
      <c r="H28" s="34">
        <f>(5555)/$D$54</f>
        <v>322.38839285714289</v>
      </c>
      <c r="I28" s="34">
        <f>(47160)/$D$49</f>
        <v>943.2</v>
      </c>
      <c r="J28" s="94">
        <f t="shared" si="5"/>
        <v>2.9256636432874057</v>
      </c>
      <c r="K28" s="34">
        <f>(3354)/$D$54</f>
        <v>194.65178571428572</v>
      </c>
      <c r="L28" s="34">
        <f>(24593)/$D$48</f>
        <v>455.42592592592592</v>
      </c>
      <c r="M28" s="94">
        <f t="shared" ref="M28" si="18">IFERROR(L28/K28,"")</f>
        <v>2.339695596702156</v>
      </c>
      <c r="N28" s="34"/>
      <c r="O28" s="34"/>
      <c r="P28" s="94" t="str">
        <f t="shared" si="7"/>
        <v/>
      </c>
      <c r="Q28" s="34">
        <f>(365.5+450+1474)/$D$54</f>
        <v>132.87276785714286</v>
      </c>
      <c r="R28" s="34">
        <f>(12600+3750+33784)/$D$46</f>
        <v>895.25</v>
      </c>
      <c r="S28" s="94">
        <f t="shared" si="8"/>
        <v>6.7376484620424346</v>
      </c>
      <c r="T28" s="34">
        <f>(607+899)/$D$54</f>
        <v>87.401785714285722</v>
      </c>
      <c r="U28" s="34">
        <f>(14140+17869)/$D$45</f>
        <v>528.20132013201317</v>
      </c>
      <c r="V28" s="94">
        <f t="shared" si="9"/>
        <v>6.0433698901609425</v>
      </c>
      <c r="W28" s="34">
        <f>5870/$D$52</f>
        <v>52.410714285714285</v>
      </c>
      <c r="X28" s="34">
        <v>182</v>
      </c>
      <c r="Y28" s="94">
        <f t="shared" si="2"/>
        <v>3.472572402044293</v>
      </c>
      <c r="Z28" s="34">
        <f>3033/$D$52</f>
        <v>27.080357142857142</v>
      </c>
      <c r="AA28" s="34">
        <v>695</v>
      </c>
      <c r="AB28" s="94">
        <f t="shared" si="10"/>
        <v>25.664358720738544</v>
      </c>
      <c r="AC28" s="34">
        <v>926</v>
      </c>
      <c r="AD28" s="34">
        <v>3193</v>
      </c>
      <c r="AE28" s="94">
        <f t="shared" si="11"/>
        <v>3.4481641468682507</v>
      </c>
      <c r="AF28" s="34">
        <v>362</v>
      </c>
      <c r="AG28" s="34">
        <v>1726</v>
      </c>
      <c r="AH28" s="94">
        <f t="shared" si="12"/>
        <v>4.7679558011049723</v>
      </c>
      <c r="AI28" s="34">
        <v>59</v>
      </c>
      <c r="AJ28" s="34">
        <v>440</v>
      </c>
      <c r="AK28" s="94">
        <f t="shared" si="13"/>
        <v>7.4576271186440675</v>
      </c>
      <c r="AL28" s="34">
        <v>73</v>
      </c>
      <c r="AM28" s="34">
        <v>1107</v>
      </c>
      <c r="AN28" s="94">
        <f t="shared" si="14"/>
        <v>15.164383561643836</v>
      </c>
      <c r="AO28" s="34">
        <v>58</v>
      </c>
      <c r="AP28" s="34">
        <v>576</v>
      </c>
      <c r="AQ28" s="94">
        <f t="shared" si="15"/>
        <v>9.931034482758621</v>
      </c>
      <c r="AR28" s="34">
        <v>8</v>
      </c>
      <c r="AS28" s="34">
        <v>144</v>
      </c>
      <c r="AT28" s="94">
        <f t="shared" si="16"/>
        <v>18</v>
      </c>
    </row>
    <row r="29" spans="1:46" s="3" customFormat="1" x14ac:dyDescent="0.3">
      <c r="A29" s="15" t="s">
        <v>82</v>
      </c>
      <c r="B29" s="15" t="s">
        <v>42</v>
      </c>
      <c r="C29" s="15"/>
      <c r="D29" s="15"/>
      <c r="E29" s="15" t="str">
        <f t="shared" si="4"/>
        <v/>
      </c>
      <c r="F29" s="15" t="s">
        <v>42</v>
      </c>
      <c r="G29" s="15" t="s">
        <v>178</v>
      </c>
      <c r="H29" s="34">
        <f>(5927)/$D$54</f>
        <v>343.97767857142861</v>
      </c>
      <c r="I29" s="34">
        <f>(288339.5)/$D$49</f>
        <v>5766.79</v>
      </c>
      <c r="J29" s="94">
        <f t="shared" si="5"/>
        <v>16.765012264603961</v>
      </c>
      <c r="K29" s="34">
        <f>(1078)/$D$54</f>
        <v>62.5625</v>
      </c>
      <c r="L29" s="34">
        <f>(62867)/$D$48</f>
        <v>1164.2037037037037</v>
      </c>
      <c r="M29" s="94">
        <f t="shared" si="6"/>
        <v>18.60865060865061</v>
      </c>
      <c r="N29" s="34">
        <f>(521)/$D$54</f>
        <v>30.236607142857146</v>
      </c>
      <c r="O29" s="34">
        <f>(30925)/$D$47</f>
        <v>542.54385964912285</v>
      </c>
      <c r="P29" s="94">
        <f t="shared" si="7"/>
        <v>17.943278393828955</v>
      </c>
      <c r="Q29" s="34">
        <f>(1431.5+30)/$D$54</f>
        <v>84.819196428571431</v>
      </c>
      <c r="R29" s="34">
        <f>(86164+3538)/$D$46</f>
        <v>1601.8214285714287</v>
      </c>
      <c r="S29" s="94">
        <f t="shared" si="8"/>
        <v>18.885128556014632</v>
      </c>
      <c r="T29" s="34">
        <f>1508.5/$D$54</f>
        <v>87.546875</v>
      </c>
      <c r="U29" s="34">
        <f>107430/$D$45</f>
        <v>1772.7722772277227</v>
      </c>
      <c r="V29" s="94">
        <f t="shared" si="9"/>
        <v>20.249406700441593</v>
      </c>
      <c r="W29" s="34"/>
      <c r="X29" s="34"/>
      <c r="Y29" s="94" t="str">
        <f t="shared" si="2"/>
        <v/>
      </c>
      <c r="Z29" s="34">
        <f>1334/$D$52</f>
        <v>11.910714285714286</v>
      </c>
      <c r="AA29" s="34">
        <v>1474</v>
      </c>
      <c r="AB29" s="94">
        <f t="shared" si="10"/>
        <v>123.75412293853073</v>
      </c>
      <c r="AC29" s="34"/>
      <c r="AD29" s="34"/>
      <c r="AE29" s="94" t="str">
        <f t="shared" si="11"/>
        <v/>
      </c>
      <c r="AF29" s="34"/>
      <c r="AG29" s="34"/>
      <c r="AH29" s="94" t="str">
        <f t="shared" si="12"/>
        <v/>
      </c>
      <c r="AI29" s="34">
        <v>61</v>
      </c>
      <c r="AJ29" s="34">
        <v>1240</v>
      </c>
      <c r="AK29" s="94">
        <f t="shared" si="13"/>
        <v>20.327868852459016</v>
      </c>
      <c r="AL29" s="34">
        <v>104</v>
      </c>
      <c r="AM29" s="34">
        <v>2200</v>
      </c>
      <c r="AN29" s="94">
        <f t="shared" si="14"/>
        <v>21.153846153846153</v>
      </c>
      <c r="AO29" s="34">
        <v>101</v>
      </c>
      <c r="AP29" s="34">
        <v>2159</v>
      </c>
      <c r="AQ29" s="94">
        <f t="shared" si="15"/>
        <v>21.376237623762375</v>
      </c>
      <c r="AR29" s="34">
        <v>93</v>
      </c>
      <c r="AS29" s="34">
        <v>2317</v>
      </c>
      <c r="AT29" s="94">
        <f t="shared" si="16"/>
        <v>24.913978494623656</v>
      </c>
    </row>
    <row r="30" spans="1:46" s="3" customFormat="1" x14ac:dyDescent="0.3">
      <c r="A30" s="15" t="s">
        <v>83</v>
      </c>
      <c r="B30" s="15" t="s">
        <v>42</v>
      </c>
      <c r="C30" s="15"/>
      <c r="D30" s="15"/>
      <c r="E30" s="15" t="str">
        <f t="shared" si="4"/>
        <v/>
      </c>
      <c r="F30" s="15" t="s">
        <v>42</v>
      </c>
      <c r="G30" s="15" t="s">
        <v>178</v>
      </c>
      <c r="H30" s="34"/>
      <c r="I30" s="34"/>
      <c r="J30" s="94" t="str">
        <f t="shared" si="5"/>
        <v/>
      </c>
      <c r="K30" s="34"/>
      <c r="L30" s="34"/>
      <c r="M30" s="94" t="str">
        <f t="shared" si="6"/>
        <v/>
      </c>
      <c r="N30" s="34"/>
      <c r="O30" s="34"/>
      <c r="P30" s="94" t="str">
        <f t="shared" si="7"/>
        <v/>
      </c>
      <c r="Q30" s="34">
        <f>(11294.788+17.75)/$D$54</f>
        <v>656.53122321428577</v>
      </c>
      <c r="R30" s="34">
        <f>(1263795+2225)/$D$46</f>
        <v>22607.5</v>
      </c>
      <c r="S30" s="94">
        <f t="shared" si="8"/>
        <v>34.434767457542712</v>
      </c>
      <c r="T30" s="34">
        <f>(10127.17+3.75)/$D$54</f>
        <v>587.95517857142863</v>
      </c>
      <c r="U30" s="34">
        <f>(1283259+435)/$D$45</f>
        <v>21183.069306930691</v>
      </c>
      <c r="V30" s="94">
        <f t="shared" si="9"/>
        <v>36.028374405001067</v>
      </c>
      <c r="W30" s="34">
        <f>77259/$D$52</f>
        <v>689.8125</v>
      </c>
      <c r="X30" s="34">
        <v>26717</v>
      </c>
      <c r="Y30" s="94">
        <f t="shared" si="2"/>
        <v>38.730814532934673</v>
      </c>
      <c r="Z30" s="34">
        <f>17853.38/$D$52</f>
        <v>159.40517857142859</v>
      </c>
      <c r="AA30" s="34">
        <v>44407</v>
      </c>
      <c r="AB30" s="94">
        <f t="shared" si="10"/>
        <v>278.57940625248551</v>
      </c>
      <c r="AC30" s="34">
        <v>492</v>
      </c>
      <c r="AD30" s="34">
        <v>21249</v>
      </c>
      <c r="AE30" s="94">
        <f t="shared" si="11"/>
        <v>43.189024390243901</v>
      </c>
      <c r="AF30" s="34">
        <v>974</v>
      </c>
      <c r="AG30" s="34">
        <v>44601</v>
      </c>
      <c r="AH30" s="94">
        <f t="shared" si="12"/>
        <v>45.791581108829568</v>
      </c>
      <c r="AI30" s="34">
        <v>443</v>
      </c>
      <c r="AJ30" s="34">
        <v>19246</v>
      </c>
      <c r="AK30" s="94">
        <f t="shared" si="13"/>
        <v>43.444695259593679</v>
      </c>
      <c r="AL30" s="34">
        <v>440</v>
      </c>
      <c r="AM30" s="34">
        <v>20682</v>
      </c>
      <c r="AN30" s="94">
        <f t="shared" si="14"/>
        <v>47.004545454545458</v>
      </c>
      <c r="AO30" s="34">
        <v>396</v>
      </c>
      <c r="AP30" s="34">
        <v>20116</v>
      </c>
      <c r="AQ30" s="94">
        <f t="shared" si="15"/>
        <v>50.797979797979799</v>
      </c>
      <c r="AR30" s="34">
        <v>558</v>
      </c>
      <c r="AS30" s="34">
        <v>33432</v>
      </c>
      <c r="AT30" s="94">
        <f t="shared" si="16"/>
        <v>59.913978494623656</v>
      </c>
    </row>
    <row r="31" spans="1:46" s="3" customFormat="1" x14ac:dyDescent="0.3">
      <c r="A31" s="15" t="s">
        <v>58</v>
      </c>
      <c r="B31" s="15" t="s">
        <v>42</v>
      </c>
      <c r="C31" s="15"/>
      <c r="D31" s="15"/>
      <c r="E31" s="15" t="str">
        <f t="shared" si="4"/>
        <v/>
      </c>
      <c r="F31" s="15" t="s">
        <v>42</v>
      </c>
      <c r="G31" s="15" t="s">
        <v>178</v>
      </c>
      <c r="H31" s="34">
        <f>(629.5)/$D$54</f>
        <v>36.533482142857146</v>
      </c>
      <c r="I31" s="34">
        <f>(58782)/$D$49</f>
        <v>1175.6400000000001</v>
      </c>
      <c r="J31" s="94">
        <f t="shared" si="5"/>
        <v>32.179795930836441</v>
      </c>
      <c r="K31" s="34">
        <f>(451)/$D$54</f>
        <v>26.174107142857142</v>
      </c>
      <c r="L31" s="34">
        <f>(64837)/$D$48</f>
        <v>1200.6851851851852</v>
      </c>
      <c r="M31" s="94">
        <f t="shared" si="6"/>
        <v>45.873014068136023</v>
      </c>
      <c r="N31" s="34">
        <f>(1045)/$D$54</f>
        <v>60.647321428571431</v>
      </c>
      <c r="O31" s="34">
        <f>(137836)/$D$47</f>
        <v>2418.1754385964914</v>
      </c>
      <c r="P31" s="94">
        <f t="shared" si="7"/>
        <v>39.872749226765848</v>
      </c>
      <c r="Q31" s="34">
        <f>(1175+1396)/$D$54</f>
        <v>149.20982142857144</v>
      </c>
      <c r="R31" s="34">
        <f>(146937+199789)/$D$46</f>
        <v>6191.5357142857147</v>
      </c>
      <c r="S31" s="94">
        <f t="shared" si="8"/>
        <v>41.495497112766657</v>
      </c>
      <c r="T31" s="34">
        <f>(1126.5+731)/$D$54</f>
        <v>107.80133928571429</v>
      </c>
      <c r="U31" s="34">
        <f>(189399+52309)/$D$45</f>
        <v>3988.5808580858084</v>
      </c>
      <c r="V31" s="94">
        <f t="shared" si="9"/>
        <v>36.999362758514174</v>
      </c>
      <c r="W31" s="34">
        <f>10231/$D$52</f>
        <v>91.348214285714292</v>
      </c>
      <c r="X31" s="34">
        <v>4230</v>
      </c>
      <c r="Y31" s="94">
        <f t="shared" si="2"/>
        <v>46.306323917505615</v>
      </c>
      <c r="Z31" s="34">
        <f>2605.75/$D$52</f>
        <v>23.265625</v>
      </c>
      <c r="AA31" s="34">
        <v>6360</v>
      </c>
      <c r="AB31" s="94">
        <f t="shared" si="10"/>
        <v>273.36467427803893</v>
      </c>
      <c r="AC31" s="34">
        <v>209</v>
      </c>
      <c r="AD31" s="34">
        <v>6398</v>
      </c>
      <c r="AE31" s="94">
        <f t="shared" si="11"/>
        <v>30.612440191387559</v>
      </c>
      <c r="AF31" s="34">
        <v>195</v>
      </c>
      <c r="AG31" s="34">
        <v>8132</v>
      </c>
      <c r="AH31" s="94">
        <f t="shared" si="12"/>
        <v>41.702564102564104</v>
      </c>
      <c r="AI31" s="34">
        <v>70</v>
      </c>
      <c r="AJ31" s="34">
        <v>3885</v>
      </c>
      <c r="AK31" s="94">
        <f t="shared" si="13"/>
        <v>55.5</v>
      </c>
      <c r="AL31" s="34">
        <v>83</v>
      </c>
      <c r="AM31" s="34">
        <v>4689</v>
      </c>
      <c r="AN31" s="94">
        <f t="shared" si="14"/>
        <v>56.493975903614455</v>
      </c>
      <c r="AO31" s="34">
        <v>73</v>
      </c>
      <c r="AP31" s="34">
        <v>4112</v>
      </c>
      <c r="AQ31" s="94">
        <f t="shared" si="15"/>
        <v>56.328767123287669</v>
      </c>
      <c r="AR31" s="34">
        <v>141</v>
      </c>
      <c r="AS31" s="34">
        <v>9486</v>
      </c>
      <c r="AT31" s="94">
        <f t="shared" si="16"/>
        <v>67.276595744680847</v>
      </c>
    </row>
    <row r="32" spans="1:46" s="3" customFormat="1" x14ac:dyDescent="0.3">
      <c r="A32" s="15" t="s">
        <v>84</v>
      </c>
      <c r="B32" s="15" t="s">
        <v>42</v>
      </c>
      <c r="C32" s="15"/>
      <c r="D32" s="15"/>
      <c r="E32" s="15" t="str">
        <f t="shared" si="4"/>
        <v/>
      </c>
      <c r="F32" s="15" t="s">
        <v>42</v>
      </c>
      <c r="G32" s="15" t="s">
        <v>178</v>
      </c>
      <c r="H32" s="34"/>
      <c r="I32" s="34"/>
      <c r="J32" s="94" t="str">
        <f t="shared" si="5"/>
        <v/>
      </c>
      <c r="K32" s="34"/>
      <c r="L32" s="34"/>
      <c r="M32" s="94" t="str">
        <f t="shared" si="6"/>
        <v/>
      </c>
      <c r="N32" s="34"/>
      <c r="O32" s="34"/>
      <c r="P32" s="94" t="str">
        <f t="shared" si="7"/>
        <v/>
      </c>
      <c r="Q32" s="34"/>
      <c r="R32" s="34"/>
      <c r="S32" s="94" t="str">
        <f t="shared" si="8"/>
        <v/>
      </c>
      <c r="T32" s="34"/>
      <c r="U32" s="34"/>
      <c r="V32" s="94" t="str">
        <f t="shared" si="9"/>
        <v/>
      </c>
      <c r="W32" s="34"/>
      <c r="X32" s="34"/>
      <c r="Y32" s="94" t="str">
        <f t="shared" si="2"/>
        <v/>
      </c>
      <c r="Z32" s="34"/>
      <c r="AA32" s="34"/>
      <c r="AB32" s="94" t="str">
        <f t="shared" si="10"/>
        <v/>
      </c>
      <c r="AC32" s="34"/>
      <c r="AD32" s="34"/>
      <c r="AE32" s="94" t="str">
        <f t="shared" si="11"/>
        <v/>
      </c>
      <c r="AF32" s="34"/>
      <c r="AG32" s="34"/>
      <c r="AH32" s="94" t="str">
        <f t="shared" si="12"/>
        <v/>
      </c>
      <c r="AI32" s="34"/>
      <c r="AJ32" s="34"/>
      <c r="AK32" s="94" t="str">
        <f t="shared" si="13"/>
        <v/>
      </c>
      <c r="AL32" s="34">
        <v>129</v>
      </c>
      <c r="AM32" s="34">
        <v>1024</v>
      </c>
      <c r="AN32" s="94">
        <f t="shared" si="14"/>
        <v>7.9379844961240309</v>
      </c>
      <c r="AO32" s="34">
        <v>47</v>
      </c>
      <c r="AP32" s="34">
        <v>435</v>
      </c>
      <c r="AQ32" s="94">
        <f t="shared" si="15"/>
        <v>9.2553191489361701</v>
      </c>
      <c r="AR32" s="34">
        <v>16</v>
      </c>
      <c r="AS32" s="34">
        <v>162</v>
      </c>
      <c r="AT32" s="94">
        <f t="shared" si="16"/>
        <v>10.125</v>
      </c>
    </row>
    <row r="33" spans="1:46" s="3" customFormat="1" x14ac:dyDescent="0.3">
      <c r="A33" s="15" t="s">
        <v>59</v>
      </c>
      <c r="B33" s="15" t="s">
        <v>42</v>
      </c>
      <c r="C33" s="15"/>
      <c r="D33" s="15"/>
      <c r="E33" s="15" t="str">
        <f t="shared" si="4"/>
        <v/>
      </c>
      <c r="F33" s="15" t="s">
        <v>42</v>
      </c>
      <c r="G33" s="15" t="s">
        <v>178</v>
      </c>
      <c r="H33" s="34">
        <f>(1997)/$D$54</f>
        <v>115.89732142857143</v>
      </c>
      <c r="I33" s="34">
        <f>(19613)/$D$49</f>
        <v>392.26</v>
      </c>
      <c r="J33" s="94">
        <f t="shared" si="5"/>
        <v>3.3845475906166942</v>
      </c>
      <c r="K33" s="34">
        <f>(2099)/$D$54</f>
        <v>121.81696428571429</v>
      </c>
      <c r="L33" s="34">
        <f>(25444)/$D$48</f>
        <v>471.18518518518516</v>
      </c>
      <c r="M33" s="94">
        <f t="shared" ref="M33" si="19">IFERROR(L33/K33,"")</f>
        <v>3.8679767464903239</v>
      </c>
      <c r="N33" s="34">
        <f>(7081)/$D$54</f>
        <v>410.95089285714289</v>
      </c>
      <c r="O33" s="34">
        <f>(53023)/$D$47</f>
        <v>930.22807017543857</v>
      </c>
      <c r="P33" s="94">
        <f t="shared" si="7"/>
        <v>2.26359909746883</v>
      </c>
      <c r="Q33" s="34">
        <f>(4778+2774)/$D$54</f>
        <v>438.28571428571433</v>
      </c>
      <c r="R33" s="34">
        <f>(36790+51490)/$D$46</f>
        <v>1576.4285714285713</v>
      </c>
      <c r="S33" s="94">
        <f t="shared" si="8"/>
        <v>3.5968057366362447</v>
      </c>
      <c r="T33" s="34">
        <f>(4040.5+2175)/$D$54</f>
        <v>360.72098214285717</v>
      </c>
      <c r="U33" s="34">
        <f>(31779+50085)/$D$45</f>
        <v>1350.8910891089108</v>
      </c>
      <c r="V33" s="94">
        <f t="shared" si="9"/>
        <v>3.744975080418012</v>
      </c>
      <c r="W33" s="34">
        <f>42204/$D$52</f>
        <v>376.82142857142856</v>
      </c>
      <c r="X33" s="34">
        <v>732</v>
      </c>
      <c r="Y33" s="94">
        <f t="shared" si="2"/>
        <v>1.9425646858117716</v>
      </c>
      <c r="Z33" s="34">
        <f>6732/$D$52</f>
        <v>60.107142857142854</v>
      </c>
      <c r="AA33" s="34">
        <v>864</v>
      </c>
      <c r="AB33" s="94">
        <f t="shared" si="10"/>
        <v>14.37433155080214</v>
      </c>
      <c r="AC33" s="34">
        <v>445</v>
      </c>
      <c r="AD33" s="34">
        <v>918</v>
      </c>
      <c r="AE33" s="94">
        <f t="shared" si="11"/>
        <v>2.0629213483146067</v>
      </c>
      <c r="AF33" s="34">
        <v>415</v>
      </c>
      <c r="AG33" s="34">
        <v>1006</v>
      </c>
      <c r="AH33" s="94">
        <f t="shared" si="12"/>
        <v>2.4240963855421689</v>
      </c>
      <c r="AI33" s="34">
        <v>283</v>
      </c>
      <c r="AJ33" s="34">
        <v>1177</v>
      </c>
      <c r="AK33" s="94">
        <f t="shared" si="13"/>
        <v>4.159010600706714</v>
      </c>
      <c r="AL33" s="34">
        <v>291</v>
      </c>
      <c r="AM33" s="34">
        <v>937</v>
      </c>
      <c r="AN33" s="94">
        <f t="shared" si="14"/>
        <v>3.2199312714776633</v>
      </c>
      <c r="AO33" s="34">
        <v>293</v>
      </c>
      <c r="AP33" s="34">
        <v>1004</v>
      </c>
      <c r="AQ33" s="94">
        <f t="shared" si="15"/>
        <v>3.4266211604095562</v>
      </c>
      <c r="AR33" s="34">
        <v>313</v>
      </c>
      <c r="AS33" s="34">
        <v>1440</v>
      </c>
      <c r="AT33" s="94">
        <f t="shared" si="16"/>
        <v>4.600638977635783</v>
      </c>
    </row>
    <row r="34" spans="1:46" s="3" customFormat="1" ht="15" x14ac:dyDescent="0.3">
      <c r="A34" s="15" t="s">
        <v>85</v>
      </c>
      <c r="B34" s="15" t="s">
        <v>42</v>
      </c>
      <c r="C34" s="34">
        <f>(150)*$D$58</f>
        <v>348.21428571428572</v>
      </c>
      <c r="D34" s="34">
        <f>(450000)/($D$50)</f>
        <v>8999.9654465458061</v>
      </c>
      <c r="E34" s="15">
        <f t="shared" si="4"/>
        <v>25.84605461572129</v>
      </c>
      <c r="F34" s="15" t="s">
        <v>42</v>
      </c>
      <c r="G34" s="15" t="s">
        <v>178</v>
      </c>
      <c r="H34" s="34">
        <f>(9272)/$D$54</f>
        <v>538.10714285714289</v>
      </c>
      <c r="I34" s="34">
        <f>(1238755)/$D$49</f>
        <v>24775.1</v>
      </c>
      <c r="J34" s="94">
        <f t="shared" si="5"/>
        <v>46.041202628260429</v>
      </c>
      <c r="K34" s="34">
        <f>(20509/$D$54)</f>
        <v>1190.2544642857144</v>
      </c>
      <c r="L34" s="34">
        <f>(3511687)/$D$48</f>
        <v>65031.240740740737</v>
      </c>
      <c r="M34" s="94">
        <f t="shared" si="6"/>
        <v>54.63641825512223</v>
      </c>
      <c r="N34" s="34">
        <f>(21840)/$D$54</f>
        <v>1267.5</v>
      </c>
      <c r="O34" s="34">
        <f>(2427143)/$D$47</f>
        <v>42581.456140350878</v>
      </c>
      <c r="P34" s="94">
        <f t="shared" si="7"/>
        <v>33.594837191598323</v>
      </c>
      <c r="Q34" s="34">
        <f>(20422.4)/$D$54</f>
        <v>1185.2285714285715</v>
      </c>
      <c r="R34" s="34">
        <f>(2819590)/$D$46</f>
        <v>50349.821428571428</v>
      </c>
      <c r="S34" s="94">
        <f t="shared" si="8"/>
        <v>42.481106718414772</v>
      </c>
      <c r="T34" s="34">
        <f>16388.74/$D$54</f>
        <v>951.13223214285733</v>
      </c>
      <c r="U34" s="34">
        <f>2832148/$D$45</f>
        <v>46735.115511551157</v>
      </c>
      <c r="V34" s="94">
        <f t="shared" si="9"/>
        <v>49.136296649582661</v>
      </c>
      <c r="W34" s="34">
        <f>28925/$D$52</f>
        <v>258.25892857142856</v>
      </c>
      <c r="X34" s="34">
        <v>17427</v>
      </c>
      <c r="Y34" s="94">
        <f t="shared" si="2"/>
        <v>67.478789974070878</v>
      </c>
      <c r="Z34" s="34">
        <f>23722.75/$D$52</f>
        <v>211.81026785714286</v>
      </c>
      <c r="AA34" s="34">
        <v>68765</v>
      </c>
      <c r="AB34" s="94">
        <f t="shared" si="10"/>
        <v>324.65376063061831</v>
      </c>
      <c r="AC34" s="34">
        <v>1541</v>
      </c>
      <c r="AD34" s="34">
        <v>81002</v>
      </c>
      <c r="AE34" s="94">
        <f t="shared" si="11"/>
        <v>52.564568462037641</v>
      </c>
      <c r="AF34" s="34">
        <v>769</v>
      </c>
      <c r="AG34" s="34">
        <v>44620</v>
      </c>
      <c r="AH34" s="94">
        <f t="shared" si="12"/>
        <v>58.023407022106632</v>
      </c>
      <c r="AI34" s="34">
        <v>1720</v>
      </c>
      <c r="AJ34" s="34">
        <v>113275</v>
      </c>
      <c r="AK34" s="94">
        <f t="shared" si="13"/>
        <v>65.857558139534888</v>
      </c>
      <c r="AL34" s="34">
        <v>1158</v>
      </c>
      <c r="AM34" s="34">
        <v>75588</v>
      </c>
      <c r="AN34" s="94">
        <f t="shared" si="14"/>
        <v>65.274611398963728</v>
      </c>
      <c r="AO34" s="34">
        <v>391</v>
      </c>
      <c r="AP34" s="34">
        <v>28034</v>
      </c>
      <c r="AQ34" s="94">
        <f t="shared" si="15"/>
        <v>71.698209718670071</v>
      </c>
      <c r="AR34" s="34">
        <v>1383</v>
      </c>
      <c r="AS34" s="34">
        <v>139423</v>
      </c>
      <c r="AT34" s="94">
        <f t="shared" si="16"/>
        <v>100.81200289226319</v>
      </c>
    </row>
    <row r="35" spans="1:46" s="3" customFormat="1" ht="15" x14ac:dyDescent="0.3">
      <c r="A35" s="15" t="s">
        <v>86</v>
      </c>
      <c r="B35" s="15" t="s">
        <v>42</v>
      </c>
      <c r="C35" s="34">
        <f>(132)*$D$58</f>
        <v>306.42857142857144</v>
      </c>
      <c r="D35" s="34">
        <f>(21120)/($D$50)</f>
        <v>422.39837829121655</v>
      </c>
      <c r="E35" s="15">
        <f t="shared" si="4"/>
        <v>1.3784562461718022</v>
      </c>
      <c r="F35" s="15" t="s">
        <v>42</v>
      </c>
      <c r="G35" s="15" t="s">
        <v>178</v>
      </c>
      <c r="H35" s="34">
        <f>(83025)/$D$54</f>
        <v>4818.4151785714284</v>
      </c>
      <c r="I35" s="34">
        <f>(329413)/$D$49</f>
        <v>6588.26</v>
      </c>
      <c r="J35" s="94">
        <f t="shared" si="5"/>
        <v>1.3673084937345101</v>
      </c>
      <c r="K35" s="34">
        <f>(41550)/$D$54</f>
        <v>2411.3839285714289</v>
      </c>
      <c r="L35" s="34">
        <f>(261062)/$D$48</f>
        <v>4834.4814814814818</v>
      </c>
      <c r="M35" s="94">
        <f t="shared" si="6"/>
        <v>2.0048576355676233</v>
      </c>
      <c r="N35" s="34">
        <f>(90004)/$D$54</f>
        <v>5223.4464285714284</v>
      </c>
      <c r="O35" s="34">
        <f>(790805+80000)/$D$47</f>
        <v>15277.280701754386</v>
      </c>
      <c r="P35" s="94">
        <f t="shared" si="7"/>
        <v>2.924751102680037</v>
      </c>
      <c r="Q35" s="34">
        <f>(30397+205+250)/$D$54</f>
        <v>1790.5178571428573</v>
      </c>
      <c r="R35" s="34">
        <f>(235177+2411+2750)/$D$46</f>
        <v>4291.75</v>
      </c>
      <c r="S35" s="94">
        <f t="shared" si="8"/>
        <v>2.39693225224147</v>
      </c>
      <c r="T35" s="34">
        <f>(52294+4070)/$D$54</f>
        <v>3271.125</v>
      </c>
      <c r="U35" s="34">
        <f>(569873+158682)/$D$45</f>
        <v>12022.359735973598</v>
      </c>
      <c r="V35" s="94">
        <f t="shared" si="9"/>
        <v>3.6752981729446592</v>
      </c>
      <c r="W35" s="34">
        <f>715721/$D$52</f>
        <v>6390.3660714285716</v>
      </c>
      <c r="X35" s="34">
        <v>16036</v>
      </c>
      <c r="Y35" s="94">
        <f t="shared" si="2"/>
        <v>2.5094024068037686</v>
      </c>
      <c r="Z35" s="34">
        <f>209937/$D$52</f>
        <v>1874.4375</v>
      </c>
      <c r="AA35" s="34">
        <v>33494</v>
      </c>
      <c r="AB35" s="94">
        <f t="shared" si="10"/>
        <v>17.868827314861125</v>
      </c>
      <c r="AC35" s="34">
        <v>5504</v>
      </c>
      <c r="AD35" s="34">
        <v>7894</v>
      </c>
      <c r="AE35" s="94">
        <f t="shared" si="11"/>
        <v>1.4342296511627908</v>
      </c>
      <c r="AF35" s="34">
        <v>9334</v>
      </c>
      <c r="AG35" s="34">
        <v>33473</v>
      </c>
      <c r="AH35" s="94">
        <f t="shared" si="12"/>
        <v>3.5861367045211057</v>
      </c>
      <c r="AI35" s="34">
        <v>7400</v>
      </c>
      <c r="AJ35" s="34">
        <v>22785</v>
      </c>
      <c r="AK35" s="94">
        <f t="shared" si="13"/>
        <v>3.0790540540540539</v>
      </c>
      <c r="AL35" s="34">
        <v>6666</v>
      </c>
      <c r="AM35" s="34">
        <v>24719</v>
      </c>
      <c r="AN35" s="94">
        <f t="shared" si="14"/>
        <v>3.7082208220822084</v>
      </c>
      <c r="AO35" s="34">
        <v>2015</v>
      </c>
      <c r="AP35" s="34">
        <v>6407</v>
      </c>
      <c r="AQ35" s="94">
        <f t="shared" si="15"/>
        <v>3.179652605459057</v>
      </c>
      <c r="AR35" s="34">
        <v>8450</v>
      </c>
      <c r="AS35" s="34">
        <v>29989</v>
      </c>
      <c r="AT35" s="94">
        <f t="shared" si="16"/>
        <v>3.5489940828402369</v>
      </c>
    </row>
    <row r="36" spans="1:46" s="3" customFormat="1" x14ac:dyDescent="0.3">
      <c r="A36" s="15" t="s">
        <v>257</v>
      </c>
      <c r="B36" s="15" t="s">
        <v>42</v>
      </c>
      <c r="C36" s="15"/>
      <c r="D36" s="15"/>
      <c r="E36" s="15" t="str">
        <f t="shared" si="4"/>
        <v/>
      </c>
      <c r="F36" s="15" t="s">
        <v>42</v>
      </c>
      <c r="G36" s="15" t="s">
        <v>178</v>
      </c>
      <c r="H36" s="34">
        <f>(1610+4480)/$D$54</f>
        <v>353.4375</v>
      </c>
      <c r="I36" s="34">
        <f>(5800+29475)/$D$49</f>
        <v>705.5</v>
      </c>
      <c r="J36" s="94">
        <f t="shared" si="5"/>
        <v>1.9961096374889478</v>
      </c>
      <c r="K36" s="34">
        <f>(7333)/$D$54</f>
        <v>425.57589285714289</v>
      </c>
      <c r="L36" s="34">
        <f>(63209)/$D$48</f>
        <v>1170.537037037037</v>
      </c>
      <c r="M36" s="94">
        <f t="shared" si="6"/>
        <v>2.750477780070034</v>
      </c>
      <c r="N36" s="34">
        <f>(14780)/$D$54</f>
        <v>857.76785714285722</v>
      </c>
      <c r="O36" s="34">
        <f>(119664)/$D$47</f>
        <v>2099.3684210526317</v>
      </c>
      <c r="P36" s="94">
        <f t="shared" si="7"/>
        <v>2.4474785381273523</v>
      </c>
      <c r="Q36" s="34">
        <f>(26833+80)/$D$54</f>
        <v>1561.9151785714287</v>
      </c>
      <c r="R36" s="34">
        <f>(186640+620)/$D$46</f>
        <v>3343.9285714285716</v>
      </c>
      <c r="S36" s="94">
        <f t="shared" si="8"/>
        <v>2.1409155998387965</v>
      </c>
      <c r="T36" s="34">
        <f>2308.5/$D$54</f>
        <v>133.97544642857144</v>
      </c>
      <c r="U36" s="34">
        <f>27835/$D$45</f>
        <v>459.32343234323429</v>
      </c>
      <c r="V36" s="94">
        <f t="shared" si="9"/>
        <v>3.4284150162404647</v>
      </c>
      <c r="W36" s="34">
        <f>30576/$D$52</f>
        <v>273</v>
      </c>
      <c r="X36" s="34">
        <v>870</v>
      </c>
      <c r="Y36" s="94">
        <f t="shared" si="2"/>
        <v>3.1868131868131866</v>
      </c>
      <c r="Z36" s="34">
        <f>63552/$D$52</f>
        <v>567.42857142857144</v>
      </c>
      <c r="AA36" s="34">
        <v>8997</v>
      </c>
      <c r="AB36" s="94">
        <f t="shared" si="10"/>
        <v>15.855740181268882</v>
      </c>
      <c r="AC36" s="34">
        <v>284</v>
      </c>
      <c r="AD36" s="34">
        <v>1244</v>
      </c>
      <c r="AE36" s="94">
        <f t="shared" si="11"/>
        <v>4.380281690140845</v>
      </c>
      <c r="AF36" s="34">
        <v>290</v>
      </c>
      <c r="AG36" s="34">
        <v>1032</v>
      </c>
      <c r="AH36" s="94">
        <f t="shared" si="12"/>
        <v>3.5586206896551724</v>
      </c>
      <c r="AI36" s="34">
        <v>66</v>
      </c>
      <c r="AJ36" s="34">
        <v>216</v>
      </c>
      <c r="AK36" s="94">
        <f t="shared" si="13"/>
        <v>3.2727272727272729</v>
      </c>
      <c r="AL36" s="34">
        <v>10</v>
      </c>
      <c r="AM36" s="34">
        <v>45</v>
      </c>
      <c r="AN36" s="94">
        <f t="shared" si="14"/>
        <v>4.5</v>
      </c>
      <c r="AO36" s="34">
        <v>568</v>
      </c>
      <c r="AP36" s="34">
        <v>70</v>
      </c>
      <c r="AQ36" s="94">
        <f t="shared" si="15"/>
        <v>0.12323943661971831</v>
      </c>
      <c r="AR36" s="34">
        <v>23</v>
      </c>
      <c r="AS36" s="34">
        <v>113</v>
      </c>
      <c r="AT36" s="94">
        <f t="shared" si="16"/>
        <v>4.9130434782608692</v>
      </c>
    </row>
    <row r="37" spans="1:46" s="3" customFormat="1" x14ac:dyDescent="0.3">
      <c r="A37" s="15" t="s">
        <v>87</v>
      </c>
      <c r="B37" s="15" t="s">
        <v>42</v>
      </c>
      <c r="C37" s="15"/>
      <c r="D37" s="15"/>
      <c r="E37" s="15" t="str">
        <f t="shared" si="4"/>
        <v/>
      </c>
      <c r="F37" s="15" t="s">
        <v>42</v>
      </c>
      <c r="G37" s="15" t="s">
        <v>178</v>
      </c>
      <c r="H37" s="34"/>
      <c r="I37" s="34"/>
      <c r="J37" s="94" t="str">
        <f t="shared" si="5"/>
        <v/>
      </c>
      <c r="K37" s="34"/>
      <c r="L37" s="34"/>
      <c r="M37" s="94" t="str">
        <f t="shared" si="6"/>
        <v/>
      </c>
      <c r="N37" s="34"/>
      <c r="O37" s="34"/>
      <c r="P37" s="94" t="str">
        <f t="shared" si="7"/>
        <v/>
      </c>
      <c r="Q37" s="34">
        <f>(6052.25+3166.7+3394.5)/$D$54</f>
        <v>732.03058035714298</v>
      </c>
      <c r="R37" s="34">
        <f>(11798+5348+9627)/$D$46</f>
        <v>478.08928571428572</v>
      </c>
      <c r="S37" s="94">
        <f t="shared" si="8"/>
        <v>0.65310015529820564</v>
      </c>
      <c r="T37" s="34">
        <f>(21468.25+5800.5)/$D$54</f>
        <v>1582.5613839285716</v>
      </c>
      <c r="U37" s="34">
        <f>(52094+15503)/$D$45</f>
        <v>1115.4620462046205</v>
      </c>
      <c r="V37" s="94">
        <f t="shared" si="9"/>
        <v>0.70484599051417685</v>
      </c>
      <c r="W37" s="34">
        <f>162565/$D$52</f>
        <v>1451.4732142857142</v>
      </c>
      <c r="X37" s="34">
        <v>1347</v>
      </c>
      <c r="Y37" s="94">
        <f t="shared" si="2"/>
        <v>0.92802263709900656</v>
      </c>
      <c r="Z37" s="34">
        <f>29627.5/$D$52</f>
        <v>264.53125</v>
      </c>
      <c r="AA37" s="34">
        <v>2977</v>
      </c>
      <c r="AB37" s="94">
        <f t="shared" si="10"/>
        <v>11.253868871825162</v>
      </c>
      <c r="AC37" s="34">
        <v>1408</v>
      </c>
      <c r="AD37" s="34">
        <v>2188</v>
      </c>
      <c r="AE37" s="94">
        <f t="shared" si="11"/>
        <v>1.5539772727272727</v>
      </c>
      <c r="AF37" s="34">
        <v>1150</v>
      </c>
      <c r="AG37" s="34">
        <v>2577</v>
      </c>
      <c r="AH37" s="94">
        <f t="shared" si="12"/>
        <v>2.2408695652173911</v>
      </c>
      <c r="AI37" s="34">
        <v>1411</v>
      </c>
      <c r="AJ37" s="34">
        <v>1614</v>
      </c>
      <c r="AK37" s="94">
        <f t="shared" si="13"/>
        <v>1.1438695960311835</v>
      </c>
      <c r="AL37" s="34">
        <v>2020</v>
      </c>
      <c r="AM37" s="34">
        <v>1406</v>
      </c>
      <c r="AN37" s="94">
        <f t="shared" si="14"/>
        <v>0.69603960396039599</v>
      </c>
      <c r="AO37" s="34">
        <v>1565</v>
      </c>
      <c r="AP37" s="34">
        <v>1697</v>
      </c>
      <c r="AQ37" s="94">
        <f t="shared" si="15"/>
        <v>1.0843450479233228</v>
      </c>
      <c r="AR37" s="34">
        <v>413</v>
      </c>
      <c r="AS37" s="34">
        <v>806</v>
      </c>
      <c r="AT37" s="94">
        <f t="shared" si="16"/>
        <v>1.9515738498789346</v>
      </c>
    </row>
    <row r="38" spans="1:46" s="3" customFormat="1" x14ac:dyDescent="0.3">
      <c r="A38" s="14" t="s">
        <v>4</v>
      </c>
      <c r="B38" s="15"/>
      <c r="C38" s="15"/>
      <c r="D38" s="34">
        <v>104186</v>
      </c>
      <c r="E38" s="34"/>
      <c r="F38" s="34"/>
      <c r="G38" s="34"/>
      <c r="I38" s="34">
        <v>134195</v>
      </c>
      <c r="J38" s="34"/>
      <c r="K38" s="34"/>
      <c r="L38" s="34">
        <v>182546</v>
      </c>
      <c r="M38" s="34"/>
      <c r="N38" s="15"/>
      <c r="O38" s="34">
        <f>8533551/$D$47</f>
        <v>149711.42105263157</v>
      </c>
      <c r="P38" s="34"/>
      <c r="Q38" s="15"/>
      <c r="R38" s="34">
        <v>193996</v>
      </c>
      <c r="S38" s="34"/>
      <c r="T38" s="34"/>
      <c r="U38" s="34">
        <f>11991294/$D$45</f>
        <v>197876.13861386137</v>
      </c>
      <c r="V38" s="34"/>
      <c r="W38" s="34"/>
      <c r="X38" s="34">
        <v>165032</v>
      </c>
      <c r="Y38" s="34"/>
      <c r="Z38" s="34"/>
      <c r="AA38" s="34">
        <v>294857</v>
      </c>
      <c r="AB38" s="34"/>
      <c r="AC38" s="34"/>
      <c r="AD38" s="34">
        <v>230679</v>
      </c>
      <c r="AE38" s="34"/>
      <c r="AF38" s="34"/>
      <c r="AG38" s="34">
        <v>304045</v>
      </c>
      <c r="AH38" s="34"/>
      <c r="AI38" s="34"/>
      <c r="AJ38" s="34">
        <v>321662</v>
      </c>
      <c r="AK38" s="34"/>
      <c r="AL38" s="34"/>
      <c r="AM38" s="34">
        <v>280188</v>
      </c>
      <c r="AN38" s="34"/>
      <c r="AO38" s="34"/>
      <c r="AP38" s="34">
        <v>206699</v>
      </c>
      <c r="AQ38" s="34"/>
      <c r="AR38" s="34"/>
      <c r="AS38" s="34">
        <v>302087</v>
      </c>
      <c r="AT38" s="34"/>
    </row>
    <row r="39" spans="1:46" s="3" customFormat="1" x14ac:dyDescent="0.3">
      <c r="A39" s="15"/>
      <c r="B39" s="15"/>
      <c r="C39" s="20"/>
      <c r="F39" s="20"/>
      <c r="G39" s="20"/>
      <c r="I39" s="20"/>
      <c r="K39" s="20"/>
      <c r="L39" s="18"/>
      <c r="N39" s="18"/>
    </row>
    <row r="40" spans="1:46" s="3" customFormat="1" x14ac:dyDescent="0.3">
      <c r="A40" s="15"/>
      <c r="B40" s="15"/>
      <c r="C40" s="20"/>
      <c r="F40" s="20"/>
      <c r="G40" s="20"/>
      <c r="I40" s="20"/>
      <c r="K40" s="20"/>
      <c r="L40" s="18"/>
      <c r="N40" s="18"/>
    </row>
    <row r="41" spans="1:46" s="3" customFormat="1" x14ac:dyDescent="0.3">
      <c r="A41" s="15"/>
      <c r="B41" s="15"/>
      <c r="C41" s="20"/>
      <c r="D41" s="20"/>
      <c r="E41" s="20"/>
      <c r="F41" s="20"/>
      <c r="G41" s="20"/>
      <c r="H41" s="20"/>
      <c r="I41" s="20"/>
      <c r="J41" s="20"/>
      <c r="K41" s="20"/>
      <c r="L41" s="18"/>
      <c r="M41" s="20"/>
      <c r="N41" s="18"/>
      <c r="P41" s="20"/>
      <c r="S41" s="20"/>
      <c r="V41" s="20"/>
      <c r="Y41" s="20"/>
      <c r="AB41" s="20"/>
      <c r="AE41" s="20"/>
      <c r="AH41" s="20"/>
      <c r="AK41" s="20"/>
      <c r="AN41" s="20"/>
      <c r="AQ41" s="20"/>
      <c r="AT41" s="20"/>
    </row>
    <row r="42" spans="1:46" s="3" customFormat="1" x14ac:dyDescent="0.3">
      <c r="B42" s="20"/>
      <c r="C42" s="18"/>
      <c r="D42" s="18"/>
      <c r="E42" s="18"/>
      <c r="F42" s="18"/>
      <c r="G42" s="18"/>
      <c r="H42" s="18"/>
      <c r="J42" s="18"/>
      <c r="M42" s="18"/>
      <c r="P42" s="18"/>
      <c r="S42" s="18"/>
      <c r="V42" s="18"/>
      <c r="Y42" s="18"/>
      <c r="AB42" s="18"/>
      <c r="AE42" s="18"/>
      <c r="AH42" s="18"/>
      <c r="AK42" s="18"/>
      <c r="AN42" s="18"/>
      <c r="AQ42" s="18"/>
      <c r="AT42" s="18"/>
    </row>
    <row r="43" spans="1:46" s="3" customFormat="1" x14ac:dyDescent="0.3">
      <c r="A43" s="15"/>
      <c r="B43" s="20"/>
      <c r="C43" s="20"/>
      <c r="D43" s="20"/>
      <c r="E43" s="20"/>
      <c r="F43" s="20"/>
      <c r="G43" s="20"/>
      <c r="H43" s="20"/>
      <c r="J43" s="20"/>
      <c r="M43" s="20"/>
      <c r="P43" s="20"/>
      <c r="S43" s="20"/>
      <c r="V43" s="20"/>
      <c r="Y43" s="20"/>
      <c r="AB43" s="20"/>
      <c r="AE43" s="20"/>
      <c r="AH43" s="20"/>
      <c r="AK43" s="20"/>
      <c r="AN43" s="20"/>
      <c r="AQ43" s="20"/>
      <c r="AT43" s="20"/>
    </row>
    <row r="44" spans="1:46" s="3" customFormat="1" x14ac:dyDescent="0.3">
      <c r="A44" s="25" t="s">
        <v>14</v>
      </c>
      <c r="B44" s="20"/>
      <c r="C44" s="20"/>
      <c r="D44" s="20"/>
      <c r="E44" s="20"/>
      <c r="F44" s="20"/>
      <c r="G44" s="20"/>
      <c r="H44" s="20"/>
      <c r="J44" s="20"/>
      <c r="M44" s="20"/>
      <c r="P44" s="20"/>
      <c r="S44" s="20"/>
      <c r="V44" s="20"/>
      <c r="Y44" s="20"/>
      <c r="AB44" s="20"/>
      <c r="AE44" s="20"/>
      <c r="AH44" s="20"/>
      <c r="AK44" s="20"/>
      <c r="AN44" s="20"/>
      <c r="AQ44" s="20"/>
      <c r="AT44" s="20"/>
    </row>
    <row r="45" spans="1:46" ht="15" x14ac:dyDescent="0.3">
      <c r="A45" s="3" t="s">
        <v>34</v>
      </c>
      <c r="B45" s="3">
        <v>1</v>
      </c>
      <c r="C45" s="4" t="s">
        <v>15</v>
      </c>
      <c r="D45" s="6">
        <v>60.6</v>
      </c>
      <c r="E45" s="4" t="s">
        <v>16</v>
      </c>
      <c r="F45" s="4"/>
      <c r="G45"/>
      <c r="H45" s="21"/>
      <c r="I45" s="6"/>
      <c r="J45"/>
      <c r="K45" s="3"/>
      <c r="L45" s="6"/>
      <c r="M45"/>
      <c r="N45" s="3"/>
      <c r="O45" s="6"/>
      <c r="P45"/>
      <c r="R45" s="6"/>
      <c r="S45"/>
      <c r="U45" s="6"/>
      <c r="V45"/>
      <c r="X45" s="6"/>
      <c r="Y45"/>
      <c r="AA45" s="6"/>
      <c r="AB45"/>
      <c r="AD45" s="6"/>
      <c r="AE45"/>
      <c r="AG45" s="6"/>
      <c r="AH45"/>
      <c r="AJ45" s="6"/>
      <c r="AK45"/>
      <c r="AM45" s="6"/>
      <c r="AN45"/>
      <c r="AP45" s="6"/>
      <c r="AQ45"/>
      <c r="AS45" s="6"/>
      <c r="AT45"/>
    </row>
    <row r="46" spans="1:46" ht="15" x14ac:dyDescent="0.3">
      <c r="A46" s="15" t="s">
        <v>38</v>
      </c>
      <c r="B46" s="15">
        <v>1</v>
      </c>
      <c r="C46" s="4" t="s">
        <v>15</v>
      </c>
      <c r="D46" s="41">
        <v>56</v>
      </c>
      <c r="E46" s="4" t="s">
        <v>16</v>
      </c>
      <c r="F46" s="4"/>
      <c r="G46"/>
      <c r="H46" s="21"/>
      <c r="I46" s="41"/>
      <c r="J46"/>
      <c r="K46" s="3"/>
      <c r="L46" s="41"/>
      <c r="M46"/>
      <c r="N46" s="3"/>
      <c r="O46" s="41"/>
      <c r="P46"/>
      <c r="R46" s="41"/>
      <c r="S46"/>
      <c r="U46" s="41"/>
      <c r="V46"/>
      <c r="X46" s="41"/>
      <c r="Y46"/>
      <c r="AA46" s="41"/>
      <c r="AB46"/>
      <c r="AD46" s="41"/>
      <c r="AE46"/>
      <c r="AG46" s="41"/>
      <c r="AH46"/>
      <c r="AJ46" s="41"/>
      <c r="AK46"/>
      <c r="AM46" s="41"/>
      <c r="AN46"/>
      <c r="AP46" s="41"/>
      <c r="AQ46"/>
      <c r="AS46" s="41"/>
      <c r="AT46"/>
    </row>
    <row r="47" spans="1:46" ht="15" x14ac:dyDescent="0.3">
      <c r="A47" s="3" t="s">
        <v>20</v>
      </c>
      <c r="B47" s="3">
        <v>1</v>
      </c>
      <c r="C47" s="4" t="s">
        <v>15</v>
      </c>
      <c r="D47" s="6">
        <v>57</v>
      </c>
      <c r="E47" s="4" t="s">
        <v>16</v>
      </c>
      <c r="F47" s="4"/>
      <c r="G47"/>
      <c r="H47" s="21"/>
      <c r="I47" s="6"/>
      <c r="J47"/>
      <c r="K47" s="3"/>
      <c r="L47" s="6"/>
      <c r="M47"/>
      <c r="N47" s="3"/>
      <c r="O47" s="6"/>
      <c r="P47"/>
      <c r="R47" s="6"/>
      <c r="S47"/>
      <c r="U47" s="6"/>
      <c r="V47"/>
      <c r="X47" s="6"/>
      <c r="Y47"/>
      <c r="AA47" s="6"/>
      <c r="AB47"/>
      <c r="AD47" s="6"/>
      <c r="AE47"/>
      <c r="AG47" s="6"/>
      <c r="AH47"/>
      <c r="AJ47" s="6"/>
      <c r="AK47"/>
      <c r="AM47" s="6"/>
      <c r="AN47"/>
      <c r="AP47" s="6"/>
      <c r="AQ47"/>
      <c r="AS47" s="6"/>
      <c r="AT47"/>
    </row>
    <row r="48" spans="1:46" ht="15" x14ac:dyDescent="0.3">
      <c r="A48" s="3" t="s">
        <v>19</v>
      </c>
      <c r="B48" s="3">
        <v>1</v>
      </c>
      <c r="C48" s="4" t="s">
        <v>15</v>
      </c>
      <c r="D48" s="6">
        <v>54</v>
      </c>
      <c r="E48" s="4" t="s">
        <v>16</v>
      </c>
      <c r="F48" s="4"/>
      <c r="G48"/>
      <c r="H48" s="21"/>
      <c r="I48" s="6"/>
      <c r="J48"/>
      <c r="K48" s="3"/>
      <c r="L48" s="6"/>
      <c r="M48"/>
      <c r="N48" s="3"/>
      <c r="O48" s="6"/>
      <c r="P48"/>
      <c r="R48" s="6"/>
      <c r="S48"/>
      <c r="U48" s="6"/>
      <c r="V48"/>
      <c r="X48" s="6"/>
      <c r="Y48"/>
      <c r="AA48" s="6"/>
      <c r="AB48"/>
      <c r="AD48" s="6"/>
      <c r="AE48"/>
      <c r="AG48" s="6"/>
      <c r="AH48"/>
      <c r="AJ48" s="6"/>
      <c r="AK48"/>
      <c r="AM48" s="6"/>
      <c r="AN48"/>
      <c r="AP48" s="6"/>
      <c r="AQ48"/>
      <c r="AS48" s="6"/>
      <c r="AT48"/>
    </row>
    <row r="49" spans="1:46" ht="15" x14ac:dyDescent="0.3">
      <c r="A49" s="3" t="s">
        <v>150</v>
      </c>
      <c r="B49" s="3">
        <v>1</v>
      </c>
      <c r="C49" s="4" t="s">
        <v>15</v>
      </c>
      <c r="D49" s="6">
        <f>50</f>
        <v>50</v>
      </c>
      <c r="E49" s="4" t="s">
        <v>16</v>
      </c>
      <c r="F49" s="4"/>
      <c r="G49" s="3"/>
      <c r="H49"/>
      <c r="I49" s="6"/>
      <c r="J49" s="21"/>
      <c r="L49" s="6"/>
      <c r="M49" s="3"/>
      <c r="O49" s="6"/>
      <c r="P49" s="3"/>
      <c r="R49" s="6"/>
      <c r="S49"/>
      <c r="U49" s="6"/>
      <c r="V49"/>
      <c r="X49" s="6"/>
      <c r="Y49"/>
      <c r="AA49" s="6"/>
      <c r="AB49"/>
      <c r="AD49" s="6"/>
      <c r="AE49"/>
      <c r="AG49" s="6"/>
      <c r="AH49"/>
      <c r="AJ49" s="6"/>
      <c r="AK49"/>
      <c r="AM49" s="6"/>
      <c r="AN49"/>
      <c r="AP49" s="6"/>
      <c r="AQ49"/>
      <c r="AS49" s="6"/>
      <c r="AT49"/>
    </row>
    <row r="50" spans="1:46" ht="15" x14ac:dyDescent="0.3">
      <c r="A50" s="3" t="s">
        <v>28</v>
      </c>
      <c r="B50" s="3">
        <v>1</v>
      </c>
      <c r="C50" s="4" t="s">
        <v>15</v>
      </c>
      <c r="D50" s="6">
        <f>5209320/104186</f>
        <v>50.00019196437141</v>
      </c>
      <c r="E50" s="4" t="s">
        <v>16</v>
      </c>
      <c r="F50" s="4"/>
      <c r="G50" s="3"/>
      <c r="H50"/>
      <c r="I50" s="6"/>
      <c r="J50" s="21"/>
      <c r="L50" s="6"/>
      <c r="M50" s="3"/>
      <c r="O50" s="6"/>
      <c r="P50" s="3"/>
      <c r="R50" s="6"/>
      <c r="S50"/>
      <c r="U50" s="6"/>
      <c r="V50"/>
      <c r="X50" s="6"/>
      <c r="Y50"/>
      <c r="AA50" s="6"/>
      <c r="AB50"/>
      <c r="AD50" s="6"/>
      <c r="AE50"/>
      <c r="AG50" s="6"/>
      <c r="AH50"/>
      <c r="AJ50" s="6"/>
      <c r="AK50"/>
      <c r="AM50" s="6"/>
      <c r="AN50"/>
      <c r="AP50" s="6"/>
      <c r="AQ50"/>
      <c r="AS50" s="6"/>
      <c r="AT50"/>
    </row>
    <row r="51" spans="1:46" x14ac:dyDescent="0.3">
      <c r="B51" s="3">
        <v>1</v>
      </c>
      <c r="C51" s="4" t="s">
        <v>17</v>
      </c>
      <c r="D51" s="6">
        <v>6.5</v>
      </c>
      <c r="E51" s="31" t="s">
        <v>18</v>
      </c>
      <c r="F51" s="31"/>
      <c r="G51" s="4"/>
      <c r="H51" s="6"/>
      <c r="I51" s="6"/>
      <c r="J51" s="4"/>
      <c r="L51" s="6"/>
      <c r="M51"/>
      <c r="O51" s="6"/>
      <c r="P51"/>
      <c r="R51" s="6"/>
      <c r="U51" s="6"/>
      <c r="V51"/>
      <c r="X51" s="6"/>
      <c r="Y51"/>
      <c r="AA51" s="6"/>
      <c r="AB51"/>
      <c r="AD51" s="6"/>
      <c r="AE51"/>
      <c r="AG51" s="6"/>
      <c r="AH51"/>
      <c r="AJ51" s="6"/>
      <c r="AK51"/>
      <c r="AM51" s="6"/>
      <c r="AN51"/>
      <c r="AP51" s="6"/>
      <c r="AQ51"/>
      <c r="AS51" s="6"/>
      <c r="AT51"/>
    </row>
    <row r="52" spans="1:46" s="3" customFormat="1" x14ac:dyDescent="0.3">
      <c r="A52" s="15"/>
      <c r="B52" s="3">
        <v>1</v>
      </c>
      <c r="C52" s="4" t="s">
        <v>104</v>
      </c>
      <c r="D52" s="20">
        <v>112</v>
      </c>
      <c r="E52" s="4" t="s">
        <v>18</v>
      </c>
      <c r="F52" s="4"/>
      <c r="G52" s="20"/>
      <c r="I52" s="20"/>
      <c r="L52" s="20"/>
      <c r="O52" s="20"/>
      <c r="R52" s="20"/>
      <c r="U52" s="20"/>
      <c r="X52" s="20"/>
      <c r="AA52" s="20"/>
      <c r="AD52" s="20"/>
      <c r="AG52" s="20"/>
      <c r="AJ52" s="20"/>
      <c r="AM52" s="20"/>
      <c r="AP52" s="20"/>
      <c r="AS52" s="20"/>
    </row>
    <row r="53" spans="1:46" x14ac:dyDescent="0.3">
      <c r="B53" s="3">
        <v>1</v>
      </c>
      <c r="C53" s="4" t="s">
        <v>17</v>
      </c>
      <c r="D53" s="6">
        <v>6.5</v>
      </c>
      <c r="E53" s="31" t="s">
        <v>18</v>
      </c>
      <c r="F53" s="31"/>
      <c r="G53" s="4"/>
      <c r="H53" s="6"/>
      <c r="I53" s="6"/>
      <c r="J53" s="4"/>
      <c r="L53" s="6"/>
      <c r="M53"/>
      <c r="O53" s="6"/>
      <c r="P53"/>
      <c r="R53" s="6"/>
      <c r="U53" s="6"/>
      <c r="V53"/>
      <c r="X53" s="6"/>
      <c r="Y53"/>
      <c r="AA53" s="6"/>
      <c r="AB53"/>
      <c r="AD53" s="6"/>
      <c r="AE53"/>
      <c r="AG53" s="6"/>
      <c r="AH53"/>
      <c r="AJ53" s="6"/>
      <c r="AK53"/>
      <c r="AM53" s="6"/>
      <c r="AN53"/>
      <c r="AP53" s="6"/>
      <c r="AQ53"/>
      <c r="AS53" s="6"/>
      <c r="AT53"/>
    </row>
    <row r="54" spans="1:46" x14ac:dyDescent="0.3">
      <c r="B54" s="3">
        <v>1</v>
      </c>
      <c r="C54" s="4" t="s">
        <v>104</v>
      </c>
      <c r="D54" s="6">
        <f>$D$52/$D$53</f>
        <v>17.23076923076923</v>
      </c>
      <c r="E54" s="4" t="s">
        <v>17</v>
      </c>
      <c r="F54" s="4"/>
      <c r="G54" s="6"/>
      <c r="H54"/>
      <c r="I54" s="6"/>
      <c r="J54" s="6"/>
      <c r="L54" s="6"/>
      <c r="M54" s="6"/>
      <c r="O54" s="6"/>
      <c r="P54"/>
      <c r="Q54" s="19"/>
      <c r="R54" s="6"/>
      <c r="S54"/>
      <c r="U54" s="6"/>
      <c r="V54"/>
      <c r="X54" s="6"/>
      <c r="Y54"/>
      <c r="AA54" s="6"/>
      <c r="AB54"/>
      <c r="AD54" s="6"/>
      <c r="AG54" s="6"/>
      <c r="AH54"/>
      <c r="AJ54" s="6"/>
      <c r="AK54"/>
      <c r="AM54" s="6"/>
      <c r="AN54"/>
      <c r="AP54" s="6"/>
      <c r="AQ54"/>
      <c r="AS54" s="6"/>
      <c r="AT54"/>
    </row>
    <row r="55" spans="1:46" s="3" customFormat="1" ht="15" customHeight="1" x14ac:dyDescent="0.3">
      <c r="A55" s="15"/>
      <c r="B55" s="113">
        <v>1</v>
      </c>
      <c r="C55" s="110" t="s">
        <v>153</v>
      </c>
      <c r="D55" s="111">
        <v>130</v>
      </c>
      <c r="E55" s="112" t="s">
        <v>18</v>
      </c>
      <c r="F55" s="45"/>
      <c r="G55" s="20"/>
      <c r="H55" s="22"/>
      <c r="I55" s="46"/>
      <c r="J55" s="22"/>
      <c r="K55" s="22"/>
      <c r="L55" s="46"/>
      <c r="M55" s="22"/>
      <c r="N55" s="22"/>
      <c r="O55" s="46"/>
      <c r="P55" s="22"/>
      <c r="Q55" s="22"/>
      <c r="R55" s="46"/>
      <c r="S55" s="22"/>
      <c r="U55" s="46"/>
      <c r="X55" s="46"/>
      <c r="AA55" s="46"/>
      <c r="AD55" s="46"/>
      <c r="AG55" s="46"/>
      <c r="AJ55" s="46"/>
      <c r="AM55" s="46"/>
      <c r="AP55" s="46"/>
      <c r="AS55" s="46"/>
    </row>
    <row r="56" spans="1:46" s="3" customFormat="1" ht="15" customHeight="1" x14ac:dyDescent="0.3">
      <c r="B56" s="113"/>
      <c r="C56" s="110"/>
      <c r="D56" s="111"/>
      <c r="E56" s="112"/>
      <c r="F56" s="45"/>
      <c r="I56" s="46"/>
      <c r="L56" s="46"/>
      <c r="O56" s="46"/>
      <c r="R56" s="46"/>
      <c r="U56" s="46"/>
      <c r="X56" s="46"/>
      <c r="AA56" s="46"/>
      <c r="AD56" s="46"/>
      <c r="AG56" s="46"/>
      <c r="AJ56" s="46"/>
      <c r="AM56" s="46"/>
      <c r="AP56" s="46"/>
      <c r="AS56" s="46"/>
    </row>
    <row r="57" spans="1:46" s="3" customFormat="1" x14ac:dyDescent="0.3">
      <c r="B57" s="38">
        <v>1</v>
      </c>
      <c r="C57" s="4" t="s">
        <v>154</v>
      </c>
      <c r="D57" s="6">
        <v>260</v>
      </c>
      <c r="E57" s="4" t="s">
        <v>18</v>
      </c>
      <c r="F57" s="4"/>
      <c r="I57" s="6"/>
      <c r="L57" s="6"/>
      <c r="O57" s="6"/>
      <c r="R57" s="6"/>
      <c r="U57" s="6"/>
      <c r="X57" s="6"/>
      <c r="AA57" s="6"/>
      <c r="AD57" s="6"/>
      <c r="AG57" s="6"/>
      <c r="AJ57" s="6"/>
      <c r="AM57" s="6"/>
      <c r="AP57" s="6"/>
      <c r="AS57" s="6"/>
    </row>
    <row r="58" spans="1:46" s="3" customFormat="1" x14ac:dyDescent="0.3">
      <c r="B58" s="38">
        <v>1</v>
      </c>
      <c r="C58" s="4" t="s">
        <v>154</v>
      </c>
      <c r="D58" s="6">
        <f>D57/D52</f>
        <v>2.3214285714285716</v>
      </c>
      <c r="E58" s="4" t="s">
        <v>104</v>
      </c>
      <c r="F58" s="4"/>
      <c r="I58" s="6"/>
      <c r="L58" s="6"/>
      <c r="O58" s="6"/>
      <c r="R58" s="6"/>
      <c r="U58" s="6"/>
      <c r="X58" s="6"/>
      <c r="AA58" s="6"/>
      <c r="AD58" s="6"/>
      <c r="AG58" s="6"/>
      <c r="AJ58" s="6"/>
      <c r="AM58" s="6"/>
      <c r="AP58" s="6"/>
      <c r="AS58" s="6"/>
    </row>
    <row r="59" spans="1:46" s="3" customFormat="1" x14ac:dyDescent="0.3">
      <c r="C59" s="4"/>
      <c r="D59" s="6"/>
      <c r="E59" s="6"/>
      <c r="F59" s="4"/>
      <c r="G59" s="4"/>
      <c r="J59" s="6"/>
      <c r="M59" s="6"/>
      <c r="P59" s="6"/>
      <c r="S59" s="6"/>
      <c r="V59" s="6"/>
      <c r="Y59" s="6"/>
      <c r="AB59" s="6"/>
      <c r="AE59" s="6"/>
      <c r="AH59" s="6"/>
      <c r="AK59" s="6"/>
      <c r="AN59" s="6"/>
      <c r="AQ59" s="6"/>
      <c r="AT59" s="6"/>
    </row>
    <row r="60" spans="1:46" s="3" customFormat="1" x14ac:dyDescent="0.3">
      <c r="A60" s="15" t="s">
        <v>36</v>
      </c>
      <c r="B60" s="3">
        <v>1</v>
      </c>
      <c r="C60" s="4" t="s">
        <v>35</v>
      </c>
      <c r="D60" s="6">
        <v>108</v>
      </c>
      <c r="E60" s="6"/>
      <c r="F60" s="4" t="s">
        <v>18</v>
      </c>
      <c r="J60" s="6"/>
      <c r="M60" s="6"/>
      <c r="P60" s="6"/>
      <c r="S60" s="6"/>
      <c r="V60" s="6"/>
      <c r="Y60" s="6"/>
      <c r="AB60" s="6"/>
      <c r="AE60" s="6"/>
      <c r="AH60" s="6"/>
      <c r="AK60" s="6"/>
      <c r="AN60" s="6"/>
      <c r="AQ60" s="6"/>
      <c r="AT60" s="6"/>
    </row>
    <row r="61" spans="1:46" s="3" customFormat="1" x14ac:dyDescent="0.3">
      <c r="A61" s="15" t="s">
        <v>36</v>
      </c>
      <c r="B61" s="3">
        <v>1</v>
      </c>
      <c r="C61" s="4" t="s">
        <v>37</v>
      </c>
      <c r="D61" s="6">
        <v>32.5</v>
      </c>
      <c r="E61" s="6"/>
      <c r="F61" s="4" t="s">
        <v>18</v>
      </c>
      <c r="J61" s="6"/>
      <c r="M61" s="6"/>
      <c r="P61" s="6"/>
      <c r="S61" s="6"/>
      <c r="V61" s="6"/>
      <c r="Y61" s="6"/>
      <c r="AB61" s="6"/>
      <c r="AE61" s="6"/>
      <c r="AH61" s="6"/>
      <c r="AK61" s="6"/>
      <c r="AN61" s="6"/>
      <c r="AQ61" s="6"/>
      <c r="AT61" s="6"/>
    </row>
    <row r="62" spans="1:46" s="3" customFormat="1" x14ac:dyDescent="0.3">
      <c r="A62" s="5"/>
      <c r="B62" s="3">
        <v>1</v>
      </c>
      <c r="C62" s="4" t="s">
        <v>17</v>
      </c>
      <c r="D62" s="6">
        <v>6.5</v>
      </c>
      <c r="E62" s="6"/>
      <c r="F62" s="31" t="s">
        <v>18</v>
      </c>
      <c r="J62" s="6"/>
      <c r="M62" s="6"/>
      <c r="P62" s="6"/>
      <c r="S62" s="6"/>
      <c r="V62" s="6"/>
      <c r="Y62" s="6"/>
      <c r="AB62" s="6"/>
      <c r="AE62" s="6"/>
      <c r="AH62" s="6"/>
      <c r="AK62" s="6"/>
      <c r="AN62" s="6"/>
      <c r="AQ62" s="6"/>
      <c r="AT62" s="6"/>
    </row>
    <row r="63" spans="1:46" s="3" customFormat="1" x14ac:dyDescent="0.3">
      <c r="A63" s="5"/>
      <c r="B63" s="3">
        <v>1</v>
      </c>
      <c r="C63" s="4" t="s">
        <v>104</v>
      </c>
      <c r="D63" s="6">
        <v>112</v>
      </c>
      <c r="E63" s="6"/>
      <c r="F63" s="4" t="s">
        <v>106</v>
      </c>
      <c r="J63" s="6"/>
      <c r="M63" s="6"/>
      <c r="P63" s="6"/>
      <c r="S63" s="6"/>
      <c r="V63" s="6"/>
      <c r="Y63" s="6"/>
      <c r="AB63" s="6"/>
      <c r="AE63" s="6"/>
      <c r="AH63" s="6"/>
      <c r="AK63" s="6"/>
      <c r="AN63" s="6"/>
      <c r="AQ63" s="6"/>
      <c r="AT63" s="6"/>
    </row>
    <row r="64" spans="1:46" s="3" customFormat="1" x14ac:dyDescent="0.3">
      <c r="A64" s="5"/>
      <c r="B64" s="3">
        <v>1</v>
      </c>
      <c r="C64" s="4" t="s">
        <v>104</v>
      </c>
      <c r="D64" s="6">
        <f>D63/D62</f>
        <v>17.23076923076923</v>
      </c>
      <c r="E64" s="6"/>
      <c r="F64" s="4" t="s">
        <v>17</v>
      </c>
      <c r="J64" s="6"/>
      <c r="M64" s="6"/>
      <c r="P64" s="6"/>
      <c r="S64" s="6"/>
      <c r="V64" s="6"/>
      <c r="Y64" s="6"/>
      <c r="AB64" s="6"/>
      <c r="AE64" s="6"/>
      <c r="AH64" s="6"/>
      <c r="AK64" s="6"/>
      <c r="AN64" s="6"/>
      <c r="AQ64" s="6"/>
      <c r="AT64" s="6"/>
    </row>
    <row r="65" spans="1:46" s="3" customFormat="1" x14ac:dyDescent="0.3">
      <c r="A65" s="15"/>
      <c r="B65" s="113">
        <v>1</v>
      </c>
      <c r="C65" s="110" t="s">
        <v>153</v>
      </c>
      <c r="D65" s="111">
        <v>130</v>
      </c>
      <c r="E65" s="79"/>
      <c r="F65" s="112" t="s">
        <v>18</v>
      </c>
      <c r="G65" s="20"/>
      <c r="J65" s="6"/>
      <c r="M65" s="6"/>
      <c r="P65" s="6"/>
      <c r="S65" s="6"/>
      <c r="V65" s="6"/>
      <c r="Y65" s="6"/>
      <c r="AB65" s="6"/>
      <c r="AE65" s="6"/>
      <c r="AH65" s="6"/>
      <c r="AK65" s="6"/>
      <c r="AN65" s="6"/>
      <c r="AQ65" s="6"/>
      <c r="AT65" s="6"/>
    </row>
    <row r="66" spans="1:46" s="3" customFormat="1" ht="15" customHeight="1" x14ac:dyDescent="0.3">
      <c r="B66" s="113"/>
      <c r="C66" s="110"/>
      <c r="D66" s="111"/>
      <c r="E66" s="79"/>
      <c r="F66" s="112"/>
      <c r="J66" s="6"/>
      <c r="M66" s="6"/>
      <c r="P66" s="6"/>
      <c r="S66" s="6"/>
      <c r="V66" s="6"/>
      <c r="Y66" s="6"/>
      <c r="AB66" s="6"/>
      <c r="AE66" s="6"/>
      <c r="AH66" s="6"/>
      <c r="AK66" s="6"/>
      <c r="AN66" s="6"/>
      <c r="AQ66" s="6"/>
      <c r="AT66" s="6"/>
    </row>
    <row r="67" spans="1:46" s="3" customFormat="1" x14ac:dyDescent="0.3">
      <c r="B67" s="38">
        <v>1</v>
      </c>
      <c r="C67" s="4" t="s">
        <v>154</v>
      </c>
      <c r="D67" s="6">
        <v>260</v>
      </c>
      <c r="E67" s="6"/>
      <c r="F67" s="4" t="s">
        <v>18</v>
      </c>
      <c r="J67" s="6"/>
      <c r="M67" s="6"/>
      <c r="P67" s="6"/>
      <c r="S67" s="6"/>
      <c r="V67" s="6"/>
      <c r="Y67" s="6"/>
      <c r="AB67" s="6"/>
      <c r="AE67" s="6"/>
      <c r="AH67" s="6"/>
      <c r="AK67" s="6"/>
      <c r="AN67" s="6"/>
      <c r="AQ67" s="6"/>
      <c r="AT67" s="6"/>
    </row>
    <row r="68" spans="1:46" s="3" customFormat="1" ht="15" customHeight="1" x14ac:dyDescent="0.3">
      <c r="B68" s="38">
        <v>1</v>
      </c>
      <c r="C68" s="4" t="s">
        <v>279</v>
      </c>
      <c r="D68" s="6">
        <f>D65/D63</f>
        <v>1.1607142857142858</v>
      </c>
      <c r="E68" s="6"/>
      <c r="F68" s="4" t="s">
        <v>223</v>
      </c>
      <c r="J68" s="6"/>
      <c r="M68" s="6"/>
      <c r="P68" s="6"/>
      <c r="S68" s="6"/>
      <c r="V68" s="6"/>
      <c r="Y68" s="6"/>
      <c r="AB68" s="6"/>
      <c r="AE68" s="6"/>
      <c r="AH68" s="6"/>
      <c r="AK68" s="6"/>
      <c r="AN68" s="6"/>
      <c r="AQ68" s="6"/>
      <c r="AT68" s="6"/>
    </row>
    <row r="69" spans="1:46" s="3" customFormat="1" ht="15" customHeight="1" x14ac:dyDescent="0.3">
      <c r="B69" s="38">
        <v>1</v>
      </c>
      <c r="C69" s="4" t="s">
        <v>154</v>
      </c>
      <c r="D69" s="6">
        <f>D67/D63</f>
        <v>2.3214285714285716</v>
      </c>
      <c r="E69" s="6"/>
      <c r="F69" s="4" t="s">
        <v>223</v>
      </c>
      <c r="J69" s="6"/>
      <c r="M69" s="6"/>
      <c r="P69" s="6"/>
      <c r="S69" s="6"/>
      <c r="V69" s="6"/>
      <c r="Y69" s="6"/>
      <c r="AB69" s="6"/>
      <c r="AE69" s="6"/>
      <c r="AH69" s="6"/>
      <c r="AK69" s="6"/>
      <c r="AN69" s="6"/>
      <c r="AQ69" s="6"/>
      <c r="AT69" s="6"/>
    </row>
    <row r="70" spans="1:46" s="3" customFormat="1" x14ac:dyDescent="0.3">
      <c r="A70" s="5"/>
      <c r="B70" s="19"/>
      <c r="C70"/>
      <c r="D70"/>
      <c r="E70"/>
      <c r="F70" s="19"/>
      <c r="G70" s="19"/>
      <c r="J70" s="6"/>
      <c r="M70" s="6"/>
      <c r="P70" s="6"/>
      <c r="S70" s="6"/>
      <c r="V70" s="6"/>
      <c r="Y70" s="6"/>
      <c r="AB70" s="6"/>
      <c r="AE70" s="6"/>
      <c r="AH70" s="6"/>
      <c r="AK70" s="6"/>
      <c r="AN70" s="6"/>
      <c r="AQ70" s="6"/>
      <c r="AT70" s="6"/>
    </row>
    <row r="71" spans="1:46" s="3" customFormat="1" x14ac:dyDescent="0.3">
      <c r="A71" s="5"/>
      <c r="B71" s="19"/>
      <c r="C71"/>
      <c r="D71"/>
      <c r="E71"/>
      <c r="F71" s="19"/>
      <c r="G71" s="19"/>
      <c r="J71" s="6"/>
      <c r="M71" s="6"/>
      <c r="P71" s="6"/>
      <c r="S71" s="6"/>
      <c r="V71" s="6"/>
      <c r="Y71" s="6"/>
      <c r="AB71" s="6"/>
      <c r="AE71" s="6"/>
      <c r="AH71" s="6"/>
      <c r="AK71" s="6"/>
      <c r="AN71" s="6"/>
      <c r="AQ71" s="6"/>
      <c r="AT71" s="6"/>
    </row>
    <row r="72" spans="1:46" s="3" customFormat="1" ht="15" customHeight="1" x14ac:dyDescent="0.3">
      <c r="A72" s="15"/>
      <c r="B72" s="15">
        <v>1</v>
      </c>
      <c r="C72" s="4" t="s">
        <v>35</v>
      </c>
      <c r="D72" s="6">
        <v>108</v>
      </c>
      <c r="E72" s="4" t="s">
        <v>18</v>
      </c>
      <c r="F72"/>
      <c r="G72"/>
      <c r="J72" s="6"/>
      <c r="M72" s="6"/>
      <c r="P72" s="6"/>
      <c r="S72" s="6"/>
      <c r="V72" s="6"/>
      <c r="Y72" s="6"/>
      <c r="AB72" s="6"/>
      <c r="AE72" s="6"/>
      <c r="AH72" s="6"/>
      <c r="AK72" s="6"/>
      <c r="AN72" s="6"/>
      <c r="AQ72" s="6"/>
      <c r="AT72" s="6"/>
    </row>
    <row r="73" spans="1:46" s="3" customFormat="1" x14ac:dyDescent="0.3">
      <c r="A73" s="15"/>
      <c r="B73" s="15">
        <v>1</v>
      </c>
      <c r="C73" s="4" t="s">
        <v>37</v>
      </c>
      <c r="D73" s="6">
        <v>32.5</v>
      </c>
      <c r="E73" s="4" t="s">
        <v>18</v>
      </c>
      <c r="J73" s="6"/>
      <c r="M73" s="6"/>
      <c r="P73" s="6"/>
      <c r="S73" s="6"/>
      <c r="V73" s="6"/>
      <c r="Y73" s="6"/>
      <c r="AB73" s="6"/>
      <c r="AE73" s="6"/>
      <c r="AH73" s="6"/>
      <c r="AK73" s="6"/>
      <c r="AN73" s="6"/>
      <c r="AQ73" s="6"/>
      <c r="AT73" s="6"/>
    </row>
    <row r="74" spans="1:46" s="3" customFormat="1" x14ac:dyDescent="0.3">
      <c r="A74" s="5"/>
      <c r="B74" s="15">
        <v>1</v>
      </c>
      <c r="C74" s="4" t="s">
        <v>104</v>
      </c>
      <c r="D74" s="6">
        <v>112</v>
      </c>
      <c r="E74" s="4" t="s">
        <v>106</v>
      </c>
      <c r="F74"/>
      <c r="G74"/>
    </row>
    <row r="75" spans="1:46" s="3" customFormat="1" x14ac:dyDescent="0.3">
      <c r="A75" s="15"/>
      <c r="B75" s="109">
        <v>1</v>
      </c>
      <c r="C75" s="110" t="s">
        <v>153</v>
      </c>
      <c r="D75" s="111">
        <v>130</v>
      </c>
      <c r="E75" s="112" t="s">
        <v>18</v>
      </c>
      <c r="F75"/>
      <c r="G75"/>
    </row>
    <row r="76" spans="1:46" s="3" customFormat="1" x14ac:dyDescent="0.3">
      <c r="A76" s="15"/>
      <c r="B76" s="109"/>
      <c r="C76" s="110"/>
      <c r="D76" s="111"/>
      <c r="E76" s="112"/>
    </row>
    <row r="77" spans="1:46" s="3" customFormat="1" x14ac:dyDescent="0.3">
      <c r="A77" s="15"/>
      <c r="B77" s="16">
        <v>1</v>
      </c>
      <c r="C77" s="4" t="s">
        <v>154</v>
      </c>
      <c r="D77" s="6">
        <v>260</v>
      </c>
      <c r="E77" s="4" t="s">
        <v>18</v>
      </c>
    </row>
    <row r="78" spans="1:46" s="3" customFormat="1" x14ac:dyDescent="0.3">
      <c r="A78" s="15"/>
      <c r="B78" s="16">
        <v>1</v>
      </c>
      <c r="C78" s="4" t="s">
        <v>279</v>
      </c>
      <c r="D78" s="6">
        <f>D75/D74</f>
        <v>1.1607142857142858</v>
      </c>
      <c r="E78" s="4" t="s">
        <v>223</v>
      </c>
    </row>
    <row r="79" spans="1:46" s="3" customFormat="1" x14ac:dyDescent="0.3">
      <c r="A79" s="15"/>
      <c r="B79" s="16">
        <v>1</v>
      </c>
      <c r="C79" s="4" t="s">
        <v>154</v>
      </c>
      <c r="D79" s="6">
        <f>D77/D74</f>
        <v>2.3214285714285716</v>
      </c>
      <c r="E79" s="4" t="s">
        <v>223</v>
      </c>
    </row>
    <row r="80" spans="1:46" s="3" customFormat="1" x14ac:dyDescent="0.3">
      <c r="N80" s="2"/>
      <c r="O80" s="2"/>
      <c r="Q80" s="2"/>
      <c r="R80" s="2"/>
      <c r="T80" s="2"/>
    </row>
    <row r="81" spans="1:46" s="3" customFormat="1" ht="15" customHeight="1" x14ac:dyDescent="0.3">
      <c r="A81" s="3" t="s">
        <v>183</v>
      </c>
      <c r="B81" s="3">
        <v>1</v>
      </c>
      <c r="C81" s="31" t="s">
        <v>184</v>
      </c>
      <c r="D81" s="3">
        <v>373.33</v>
      </c>
      <c r="E81" s="4" t="s">
        <v>18</v>
      </c>
      <c r="F81" s="3">
        <f>D81/D74</f>
        <v>3.3333035714285715</v>
      </c>
      <c r="G81" s="4" t="s">
        <v>223</v>
      </c>
      <c r="N81" s="2"/>
      <c r="O81" s="2"/>
      <c r="Q81" s="2"/>
      <c r="R81" s="2"/>
      <c r="T81" s="2"/>
    </row>
    <row r="82" spans="1:46" s="3" customFormat="1" ht="15" customHeight="1" x14ac:dyDescent="0.3">
      <c r="A82" s="3" t="s">
        <v>185</v>
      </c>
      <c r="B82" s="3">
        <v>1</v>
      </c>
      <c r="C82" s="31" t="s">
        <v>35</v>
      </c>
      <c r="D82" s="3">
        <v>0.5</v>
      </c>
      <c r="E82" s="4" t="s">
        <v>223</v>
      </c>
      <c r="N82" s="2"/>
      <c r="O82" s="2"/>
      <c r="Q82" s="2"/>
      <c r="R82" s="2"/>
      <c r="T82" s="2"/>
    </row>
    <row r="83" spans="1:46" s="3" customFormat="1" x14ac:dyDescent="0.3">
      <c r="A83" t="s">
        <v>33</v>
      </c>
      <c r="B83">
        <v>1</v>
      </c>
      <c r="C83" s="4" t="s">
        <v>186</v>
      </c>
      <c r="D83" s="6">
        <v>1.5</v>
      </c>
      <c r="E83" s="4" t="s">
        <v>223</v>
      </c>
      <c r="F83"/>
      <c r="G83" s="4"/>
      <c r="N83" s="2"/>
      <c r="O83" s="2"/>
      <c r="Q83" s="2"/>
      <c r="R83" s="2"/>
      <c r="T83" s="2"/>
    </row>
    <row r="84" spans="1:46" s="3" customFormat="1" x14ac:dyDescent="0.3">
      <c r="A84" t="s">
        <v>6</v>
      </c>
      <c r="B84">
        <v>1</v>
      </c>
      <c r="C84" s="4" t="s">
        <v>186</v>
      </c>
      <c r="D84" s="6">
        <v>1.75</v>
      </c>
      <c r="E84" s="4" t="s">
        <v>223</v>
      </c>
      <c r="F84"/>
      <c r="G84" s="4"/>
      <c r="N84" s="2"/>
      <c r="O84" s="2"/>
      <c r="Q84" s="2"/>
      <c r="R84" s="2"/>
      <c r="T84" s="2"/>
    </row>
    <row r="85" spans="1:46" s="3" customFormat="1" x14ac:dyDescent="0.3">
      <c r="A85" t="s">
        <v>187</v>
      </c>
      <c r="B85">
        <v>1</v>
      </c>
      <c r="C85" s="4" t="s">
        <v>186</v>
      </c>
      <c r="D85" s="6">
        <v>1.5</v>
      </c>
      <c r="E85" s="4" t="s">
        <v>223</v>
      </c>
      <c r="F85"/>
      <c r="G85" s="4"/>
      <c r="N85" s="2"/>
      <c r="O85" s="2"/>
      <c r="Q85" s="2"/>
      <c r="R85" s="2"/>
      <c r="T85" s="2"/>
    </row>
    <row r="86" spans="1:46" s="3" customFormat="1" x14ac:dyDescent="0.3">
      <c r="A86" t="s">
        <v>188</v>
      </c>
      <c r="B86">
        <v>1</v>
      </c>
      <c r="C86" s="4" t="s">
        <v>184</v>
      </c>
      <c r="D86" s="6">
        <v>1.26</v>
      </c>
      <c r="E86" s="4" t="s">
        <v>223</v>
      </c>
      <c r="F86"/>
      <c r="G86" s="4"/>
      <c r="N86" s="2"/>
      <c r="O86" s="2"/>
      <c r="Q86" s="2"/>
      <c r="R86" s="2"/>
      <c r="T86" s="2"/>
    </row>
    <row r="87" spans="1:46" s="3" customFormat="1" x14ac:dyDescent="0.3">
      <c r="A87" t="s">
        <v>189</v>
      </c>
      <c r="B87">
        <v>1</v>
      </c>
      <c r="C87" s="4" t="s">
        <v>190</v>
      </c>
      <c r="D87" s="6">
        <v>15.9</v>
      </c>
      <c r="E87" s="4" t="s">
        <v>223</v>
      </c>
      <c r="F87"/>
      <c r="G87" s="4"/>
      <c r="I87" s="2"/>
      <c r="J87" s="19"/>
      <c r="K87" s="2"/>
      <c r="L87" s="2"/>
      <c r="M87" s="19"/>
      <c r="N87" s="2"/>
      <c r="O87" s="2"/>
      <c r="P87" s="19"/>
      <c r="Q87" s="2"/>
      <c r="R87" s="2"/>
      <c r="S87" s="19"/>
      <c r="T87" s="2"/>
      <c r="V87" s="19"/>
      <c r="Y87" s="19"/>
      <c r="AB87" s="19"/>
      <c r="AE87" s="19"/>
      <c r="AH87" s="19"/>
      <c r="AK87" s="19"/>
      <c r="AN87" s="19"/>
      <c r="AQ87" s="19"/>
      <c r="AT87" s="19"/>
    </row>
    <row r="88" spans="1:46" s="3" customFormat="1" x14ac:dyDescent="0.3">
      <c r="A88" t="s">
        <v>191</v>
      </c>
      <c r="B88">
        <v>1</v>
      </c>
      <c r="C88" s="4" t="s">
        <v>192</v>
      </c>
      <c r="D88" s="6">
        <f>439.681/D74</f>
        <v>3.9257232142857141</v>
      </c>
      <c r="E88" s="4" t="s">
        <v>223</v>
      </c>
      <c r="F88"/>
      <c r="G88" s="4"/>
      <c r="H88" s="19"/>
      <c r="I88" s="2"/>
      <c r="J88" s="19"/>
      <c r="K88" s="2"/>
      <c r="L88" s="2"/>
      <c r="M88" s="19"/>
      <c r="N88" s="2"/>
      <c r="O88" s="2"/>
      <c r="P88" s="19"/>
      <c r="Q88" s="2"/>
      <c r="R88" s="2"/>
      <c r="S88" s="19"/>
      <c r="T88" s="2"/>
      <c r="V88" s="19"/>
      <c r="Y88" s="19"/>
      <c r="AB88" s="19"/>
      <c r="AE88" s="19"/>
      <c r="AH88" s="19"/>
      <c r="AK88" s="19"/>
      <c r="AN88" s="19"/>
      <c r="AQ88" s="19"/>
      <c r="AT88" s="19"/>
    </row>
    <row r="89" spans="1:46" s="3" customFormat="1" x14ac:dyDescent="0.3">
      <c r="A89" t="s">
        <v>193</v>
      </c>
      <c r="B89">
        <v>1</v>
      </c>
      <c r="C89" s="4" t="s">
        <v>192</v>
      </c>
      <c r="D89" s="6">
        <v>3</v>
      </c>
      <c r="E89" s="4" t="s">
        <v>223</v>
      </c>
      <c r="F89"/>
      <c r="G89" s="4"/>
      <c r="H89" s="19"/>
      <c r="I89" s="2"/>
      <c r="J89" s="19"/>
      <c r="K89" s="2"/>
      <c r="L89" s="2"/>
      <c r="M89" s="19"/>
      <c r="N89" s="2"/>
      <c r="O89" s="2"/>
      <c r="P89" s="19"/>
      <c r="Q89" s="2"/>
      <c r="R89" s="2"/>
      <c r="S89" s="19"/>
      <c r="T89" s="2"/>
      <c r="V89" s="19"/>
      <c r="Y89" s="19"/>
      <c r="AB89" s="19"/>
      <c r="AE89" s="19"/>
      <c r="AH89" s="19"/>
      <c r="AK89" s="19"/>
      <c r="AN89" s="19"/>
      <c r="AQ89" s="19"/>
      <c r="AT89" s="19"/>
    </row>
    <row r="90" spans="1:46" s="3" customFormat="1" x14ac:dyDescent="0.3">
      <c r="A90" t="s">
        <v>194</v>
      </c>
      <c r="B90">
        <v>1</v>
      </c>
      <c r="C90" s="4" t="s">
        <v>192</v>
      </c>
      <c r="D90" s="6">
        <v>2.98</v>
      </c>
      <c r="E90" s="4" t="s">
        <v>223</v>
      </c>
      <c r="F90"/>
      <c r="G90" s="4"/>
      <c r="H90" s="19"/>
      <c r="I90" s="2"/>
      <c r="J90" s="19"/>
      <c r="K90" s="2"/>
      <c r="L90" s="2"/>
      <c r="M90" s="19"/>
      <c r="N90" s="2"/>
      <c r="O90" s="2"/>
      <c r="P90" s="19"/>
      <c r="Q90" s="2"/>
      <c r="R90" s="2"/>
      <c r="S90" s="19"/>
      <c r="T90" s="2"/>
      <c r="V90" s="19"/>
      <c r="Y90" s="19"/>
      <c r="AB90" s="19"/>
      <c r="AE90" s="19"/>
      <c r="AH90" s="19"/>
      <c r="AK90" s="19"/>
      <c r="AN90" s="19"/>
      <c r="AQ90" s="19"/>
      <c r="AT90" s="19"/>
    </row>
    <row r="91" spans="1:46" s="3" customFormat="1" x14ac:dyDescent="0.3">
      <c r="A91" t="s">
        <v>195</v>
      </c>
      <c r="B91">
        <v>1</v>
      </c>
      <c r="C91" s="4" t="s">
        <v>196</v>
      </c>
      <c r="D91" s="6">
        <v>9</v>
      </c>
      <c r="E91" s="4" t="s">
        <v>197</v>
      </c>
      <c r="F91"/>
      <c r="G91" s="4"/>
      <c r="H91" s="19"/>
      <c r="I91" s="2"/>
      <c r="J91" s="19"/>
      <c r="K91" s="2"/>
      <c r="L91" s="2"/>
      <c r="M91" s="19"/>
      <c r="N91" s="2"/>
      <c r="O91" s="2"/>
      <c r="P91" s="19"/>
      <c r="Q91" s="2"/>
      <c r="R91" s="2"/>
      <c r="S91" s="19"/>
      <c r="T91" s="2"/>
      <c r="V91" s="19"/>
      <c r="Y91" s="19"/>
      <c r="AB91" s="19"/>
      <c r="AE91" s="19"/>
      <c r="AH91" s="19"/>
      <c r="AK91" s="19"/>
      <c r="AN91" s="19"/>
      <c r="AQ91" s="19"/>
      <c r="AT91" s="19"/>
    </row>
    <row r="92" spans="1:46" s="3" customFormat="1" x14ac:dyDescent="0.3">
      <c r="A92" t="s">
        <v>198</v>
      </c>
      <c r="B92">
        <v>1</v>
      </c>
      <c r="C92" s="4" t="s">
        <v>199</v>
      </c>
      <c r="D92" s="6">
        <v>9</v>
      </c>
      <c r="E92" s="4" t="s">
        <v>197</v>
      </c>
      <c r="F92"/>
      <c r="G92" s="4"/>
      <c r="H92" s="19"/>
      <c r="I92" s="2"/>
      <c r="J92" s="19"/>
      <c r="K92" s="2"/>
      <c r="L92" s="2"/>
      <c r="M92" s="19"/>
      <c r="N92" s="2"/>
      <c r="O92" s="2"/>
      <c r="P92" s="19"/>
      <c r="Q92" s="2"/>
      <c r="R92" s="2"/>
      <c r="S92" s="19"/>
      <c r="T92" s="2"/>
      <c r="V92" s="19"/>
      <c r="Y92" s="19"/>
      <c r="AB92" s="19"/>
      <c r="AE92" s="19"/>
      <c r="AH92" s="19"/>
      <c r="AK92" s="19"/>
      <c r="AN92" s="19"/>
      <c r="AQ92" s="19"/>
      <c r="AT92" s="19"/>
    </row>
    <row r="93" spans="1:46" s="3" customFormat="1" x14ac:dyDescent="0.3">
      <c r="A93" t="s">
        <v>130</v>
      </c>
      <c r="B93">
        <v>1</v>
      </c>
      <c r="C93" s="4" t="s">
        <v>186</v>
      </c>
      <c r="D93" s="6">
        <v>1.75</v>
      </c>
      <c r="E93" s="4" t="s">
        <v>223</v>
      </c>
      <c r="F93">
        <f>D93*D74</f>
        <v>196</v>
      </c>
      <c r="G93" s="4" t="s">
        <v>18</v>
      </c>
      <c r="H93" s="19"/>
      <c r="I93" s="2"/>
      <c r="J93" s="19"/>
      <c r="K93" s="2"/>
      <c r="L93" s="2"/>
      <c r="M93" s="19"/>
      <c r="N93" s="2"/>
      <c r="O93" s="2"/>
      <c r="P93" s="19"/>
      <c r="Q93" s="2"/>
      <c r="R93" s="2"/>
      <c r="S93" s="19"/>
      <c r="T93" s="2"/>
      <c r="V93" s="19"/>
      <c r="Y93" s="19"/>
      <c r="AB93" s="19"/>
      <c r="AE93" s="19"/>
      <c r="AH93" s="19"/>
      <c r="AK93" s="19"/>
      <c r="AN93" s="19"/>
      <c r="AQ93" s="19"/>
      <c r="AT93" s="19"/>
    </row>
    <row r="94" spans="1:46" s="3" customFormat="1" x14ac:dyDescent="0.3">
      <c r="A94" t="s">
        <v>130</v>
      </c>
      <c r="B94">
        <v>1</v>
      </c>
      <c r="C94" s="4" t="s">
        <v>184</v>
      </c>
      <c r="D94" s="6">
        <v>175</v>
      </c>
      <c r="E94" s="4" t="s">
        <v>18</v>
      </c>
      <c r="F94" s="6">
        <f>D94/D74</f>
        <v>1.5625</v>
      </c>
      <c r="G94" s="4" t="s">
        <v>104</v>
      </c>
      <c r="H94" s="19"/>
      <c r="I94" s="2"/>
      <c r="J94" s="19"/>
      <c r="K94" s="2"/>
      <c r="L94" s="2"/>
      <c r="M94" s="19"/>
      <c r="N94" s="2"/>
      <c r="O94" s="2"/>
      <c r="P94" s="19"/>
      <c r="Q94" s="2"/>
      <c r="R94" s="2"/>
      <c r="S94" s="19"/>
      <c r="T94" s="2"/>
      <c r="V94" s="19"/>
      <c r="Y94" s="19"/>
      <c r="AB94" s="19"/>
      <c r="AE94" s="19"/>
      <c r="AH94" s="19"/>
      <c r="AK94" s="19"/>
      <c r="AN94" s="19"/>
      <c r="AQ94" s="19"/>
      <c r="AT94" s="19"/>
    </row>
    <row r="95" spans="1:46" s="3" customFormat="1" x14ac:dyDescent="0.3">
      <c r="A95" t="s">
        <v>200</v>
      </c>
      <c r="B95">
        <v>1</v>
      </c>
      <c r="C95" s="4" t="s">
        <v>201</v>
      </c>
      <c r="D95" s="6">
        <v>0.15175</v>
      </c>
      <c r="E95" s="4" t="s">
        <v>223</v>
      </c>
      <c r="F95" s="6">
        <v>16.997</v>
      </c>
      <c r="G95" s="4" t="s">
        <v>18</v>
      </c>
      <c r="H95" s="19"/>
      <c r="I95" s="2"/>
      <c r="J95" s="19"/>
      <c r="K95" s="2"/>
      <c r="L95" s="2"/>
      <c r="M95" s="19"/>
      <c r="N95" s="2"/>
      <c r="O95" s="2"/>
      <c r="P95" s="19"/>
      <c r="Q95" s="2"/>
      <c r="R95" s="2"/>
      <c r="S95" s="19"/>
      <c r="T95" s="2"/>
      <c r="V95" s="19"/>
      <c r="Y95" s="19"/>
      <c r="AB95" s="19"/>
      <c r="AE95" s="19"/>
      <c r="AH95" s="19"/>
      <c r="AK95" s="19"/>
      <c r="AN95" s="19"/>
      <c r="AQ95" s="19"/>
      <c r="AT95" s="19"/>
    </row>
    <row r="96" spans="1:46" s="3" customFormat="1" x14ac:dyDescent="0.3">
      <c r="A96" t="s">
        <v>7</v>
      </c>
      <c r="B96">
        <v>1</v>
      </c>
      <c r="C96" s="4" t="s">
        <v>186</v>
      </c>
      <c r="D96" s="6">
        <v>1.5</v>
      </c>
      <c r="E96" s="4" t="s">
        <v>223</v>
      </c>
      <c r="F96"/>
      <c r="G96" s="4"/>
      <c r="H96" s="19"/>
      <c r="I96" s="2"/>
      <c r="J96" s="19"/>
      <c r="K96" s="2"/>
      <c r="L96" s="2"/>
      <c r="M96" s="19"/>
      <c r="N96" s="2"/>
      <c r="O96" s="2"/>
      <c r="P96" s="19"/>
      <c r="Q96" s="2"/>
      <c r="R96" s="2"/>
      <c r="S96" s="19"/>
      <c r="T96" s="2"/>
      <c r="V96" s="19"/>
      <c r="Y96" s="19"/>
      <c r="AB96" s="19"/>
      <c r="AE96" s="19"/>
      <c r="AH96" s="19"/>
      <c r="AK96" s="19"/>
      <c r="AN96" s="19"/>
      <c r="AQ96" s="19"/>
      <c r="AT96" s="19"/>
    </row>
    <row r="97" spans="1:46" s="3" customFormat="1" x14ac:dyDescent="0.3">
      <c r="A97" t="s">
        <v>202</v>
      </c>
      <c r="B97">
        <v>1</v>
      </c>
      <c r="C97" s="4" t="s">
        <v>186</v>
      </c>
      <c r="D97" s="6">
        <v>1.625</v>
      </c>
      <c r="E97" s="4" t="s">
        <v>223</v>
      </c>
      <c r="F97"/>
      <c r="G97" s="4"/>
      <c r="H97" s="19"/>
      <c r="I97" s="2"/>
      <c r="J97" s="19"/>
      <c r="K97" s="2"/>
      <c r="L97" s="2"/>
      <c r="M97" s="19"/>
      <c r="N97" s="2"/>
      <c r="O97" s="2"/>
      <c r="P97" s="19"/>
      <c r="Q97" s="2"/>
      <c r="R97" s="2"/>
      <c r="S97" s="19"/>
      <c r="T97" s="2"/>
      <c r="V97" s="19"/>
      <c r="Y97" s="19"/>
      <c r="AB97" s="19"/>
      <c r="AE97" s="19"/>
      <c r="AH97" s="19"/>
      <c r="AK97" s="19"/>
      <c r="AN97" s="19"/>
      <c r="AQ97" s="19"/>
      <c r="AT97" s="19"/>
    </row>
    <row r="98" spans="1:46" s="3" customFormat="1" x14ac:dyDescent="0.3">
      <c r="A98" t="s">
        <v>5</v>
      </c>
      <c r="B98">
        <v>1</v>
      </c>
      <c r="C98" s="4" t="s">
        <v>186</v>
      </c>
      <c r="D98" s="6">
        <v>1.5</v>
      </c>
      <c r="E98" s="4" t="s">
        <v>223</v>
      </c>
      <c r="F98"/>
      <c r="G98" s="4"/>
      <c r="H98" s="19"/>
      <c r="I98" s="2"/>
      <c r="J98" s="19"/>
      <c r="K98" s="2"/>
      <c r="L98" s="2"/>
      <c r="M98" s="19"/>
      <c r="N98" s="2"/>
      <c r="O98" s="2"/>
      <c r="P98" s="19"/>
      <c r="Q98" s="2"/>
      <c r="R98" s="2"/>
      <c r="S98" s="19"/>
      <c r="T98" s="2"/>
      <c r="V98" s="19"/>
      <c r="Y98" s="19"/>
      <c r="AB98" s="19"/>
      <c r="AE98" s="19"/>
      <c r="AH98" s="19"/>
      <c r="AK98" s="19"/>
      <c r="AN98" s="19"/>
      <c r="AQ98" s="19"/>
      <c r="AT98" s="19"/>
    </row>
    <row r="99" spans="1:46" s="3" customFormat="1" x14ac:dyDescent="0.3">
      <c r="A99" t="s">
        <v>203</v>
      </c>
      <c r="B99">
        <v>1</v>
      </c>
      <c r="C99" s="4" t="s">
        <v>186</v>
      </c>
      <c r="D99" s="6">
        <v>1.5</v>
      </c>
      <c r="E99" s="4" t="s">
        <v>223</v>
      </c>
      <c r="F99"/>
      <c r="G99" s="4"/>
      <c r="H99" s="19"/>
      <c r="I99" s="2"/>
      <c r="J99" s="19"/>
      <c r="K99" s="2"/>
      <c r="L99" s="2"/>
      <c r="M99" s="19"/>
      <c r="N99" s="2"/>
      <c r="O99" s="2"/>
      <c r="P99" s="19"/>
      <c r="Q99" s="2"/>
      <c r="R99" s="2"/>
      <c r="S99" s="19"/>
      <c r="T99" s="2"/>
      <c r="V99" s="19"/>
      <c r="Y99" s="19"/>
      <c r="AB99" s="19"/>
      <c r="AE99" s="19"/>
      <c r="AH99" s="19"/>
      <c r="AK99" s="19"/>
      <c r="AN99" s="19"/>
      <c r="AQ99" s="19"/>
      <c r="AT99" s="19"/>
    </row>
    <row r="100" spans="1:46" s="3" customFormat="1" x14ac:dyDescent="0.3">
      <c r="A100" s="106" t="s">
        <v>204</v>
      </c>
      <c r="B100">
        <v>1</v>
      </c>
      <c r="C100" s="4" t="s">
        <v>205</v>
      </c>
      <c r="D100" s="6">
        <v>18.559999999999999</v>
      </c>
      <c r="E100" s="4" t="s">
        <v>197</v>
      </c>
      <c r="F100"/>
      <c r="G100" s="4"/>
      <c r="H100" s="19"/>
      <c r="I100" s="2"/>
      <c r="J100" s="19"/>
      <c r="K100" s="2"/>
      <c r="L100" s="2"/>
      <c r="M100" s="19"/>
      <c r="N100" s="2"/>
      <c r="O100" s="2"/>
      <c r="P100" s="19"/>
      <c r="Q100" s="2"/>
      <c r="R100" s="2"/>
      <c r="S100" s="19"/>
      <c r="T100" s="2"/>
      <c r="V100" s="19"/>
      <c r="Y100" s="19"/>
      <c r="AB100" s="19"/>
      <c r="AE100" s="19"/>
      <c r="AH100" s="19"/>
      <c r="AK100" s="19"/>
      <c r="AN100" s="19"/>
      <c r="AQ100" s="19"/>
      <c r="AT100" s="19"/>
    </row>
    <row r="101" spans="1:46" s="3" customFormat="1" x14ac:dyDescent="0.3">
      <c r="A101" s="106"/>
      <c r="B101">
        <v>1</v>
      </c>
      <c r="C101" s="4" t="s">
        <v>228</v>
      </c>
      <c r="D101" s="6">
        <v>164</v>
      </c>
      <c r="E101" s="4" t="s">
        <v>18</v>
      </c>
      <c r="F101" s="6">
        <f>D101/D63</f>
        <v>1.4642857142857142</v>
      </c>
      <c r="G101" s="4" t="s">
        <v>223</v>
      </c>
      <c r="H101" s="19"/>
      <c r="I101" s="2"/>
      <c r="J101" s="19"/>
      <c r="K101" s="2"/>
      <c r="L101" s="2"/>
      <c r="M101" s="19"/>
      <c r="N101" s="2"/>
      <c r="O101" s="2"/>
      <c r="P101" s="19"/>
      <c r="Q101" s="2"/>
      <c r="R101" s="2"/>
      <c r="S101" s="19"/>
      <c r="T101" s="2"/>
      <c r="V101" s="19"/>
      <c r="Y101" s="19"/>
      <c r="AB101" s="19"/>
      <c r="AE101" s="19"/>
      <c r="AH101" s="19"/>
      <c r="AK101" s="19"/>
      <c r="AN101" s="19"/>
      <c r="AQ101" s="19"/>
      <c r="AT101" s="19"/>
    </row>
    <row r="102" spans="1:46" s="3" customFormat="1" x14ac:dyDescent="0.3">
      <c r="A102" s="106" t="s">
        <v>206</v>
      </c>
      <c r="B102">
        <v>1</v>
      </c>
      <c r="C102" s="4" t="s">
        <v>207</v>
      </c>
      <c r="D102" s="6">
        <v>336</v>
      </c>
      <c r="E102" s="4" t="s">
        <v>18</v>
      </c>
      <c r="F102" s="6">
        <v>3</v>
      </c>
      <c r="G102" s="4" t="s">
        <v>223</v>
      </c>
      <c r="H102" s="19"/>
      <c r="I102" s="2"/>
      <c r="J102" s="19"/>
      <c r="K102" s="2"/>
      <c r="L102" s="2"/>
      <c r="M102" s="19"/>
      <c r="N102" s="2"/>
      <c r="O102" s="2"/>
      <c r="P102" s="19"/>
      <c r="Q102" s="2"/>
      <c r="R102" s="2"/>
      <c r="S102" s="19"/>
      <c r="T102" s="2"/>
      <c r="V102" s="19"/>
      <c r="Y102" s="19"/>
      <c r="AB102" s="19"/>
      <c r="AE102" s="19"/>
      <c r="AH102" s="19"/>
      <c r="AK102" s="19"/>
      <c r="AN102" s="19"/>
      <c r="AQ102" s="19"/>
      <c r="AT102" s="19"/>
    </row>
    <row r="103" spans="1:46" s="3" customFormat="1" x14ac:dyDescent="0.3">
      <c r="A103" s="106"/>
      <c r="B103">
        <v>1</v>
      </c>
      <c r="C103" s="4" t="s">
        <v>208</v>
      </c>
      <c r="D103" s="6">
        <v>240</v>
      </c>
      <c r="E103" s="4" t="s">
        <v>18</v>
      </c>
      <c r="F103" s="6">
        <f>D103/D74</f>
        <v>2.1428571428571428</v>
      </c>
      <c r="G103" s="4" t="s">
        <v>223</v>
      </c>
      <c r="H103" s="19"/>
      <c r="I103" s="2"/>
      <c r="J103" s="19"/>
      <c r="K103" s="2"/>
      <c r="L103" s="2"/>
      <c r="M103" s="19"/>
      <c r="N103" s="2"/>
      <c r="O103" s="2"/>
      <c r="P103" s="19"/>
      <c r="Q103" s="2"/>
      <c r="R103" s="2"/>
      <c r="S103" s="19"/>
      <c r="T103" s="2"/>
      <c r="V103" s="19"/>
      <c r="Y103" s="19"/>
      <c r="AB103" s="19"/>
      <c r="AE103" s="19"/>
      <c r="AH103" s="19"/>
      <c r="AK103" s="19"/>
      <c r="AN103" s="19"/>
      <c r="AQ103" s="19"/>
      <c r="AT103" s="19"/>
    </row>
    <row r="104" spans="1:46" s="3" customFormat="1" x14ac:dyDescent="0.3">
      <c r="A104" s="105" t="s">
        <v>49</v>
      </c>
      <c r="B104">
        <v>1</v>
      </c>
      <c r="C104" s="4" t="s">
        <v>209</v>
      </c>
      <c r="D104" s="6">
        <v>3.40835</v>
      </c>
      <c r="E104" s="4" t="s">
        <v>186</v>
      </c>
      <c r="F104" s="6">
        <f>D104*D105/D74</f>
        <v>5.9646125000000003</v>
      </c>
      <c r="G104" s="4" t="s">
        <v>223</v>
      </c>
      <c r="H104" s="19"/>
      <c r="I104" s="2"/>
      <c r="J104" s="19"/>
      <c r="K104" s="2"/>
      <c r="L104" s="2"/>
      <c r="M104" s="19"/>
      <c r="N104" s="2"/>
      <c r="O104" s="2"/>
      <c r="P104" s="19"/>
      <c r="Q104" s="2"/>
      <c r="R104" s="2"/>
      <c r="S104" s="19"/>
      <c r="T104" s="2"/>
      <c r="V104" s="19"/>
      <c r="Y104" s="19"/>
      <c r="AB104" s="19"/>
      <c r="AE104" s="19"/>
      <c r="AH104" s="19"/>
      <c r="AK104" s="19"/>
      <c r="AN104" s="19"/>
      <c r="AQ104" s="19"/>
      <c r="AT104" s="19"/>
    </row>
    <row r="105" spans="1:46" s="3" customFormat="1" x14ac:dyDescent="0.3">
      <c r="A105" s="105"/>
      <c r="B105">
        <v>1</v>
      </c>
      <c r="C105" s="4" t="s">
        <v>186</v>
      </c>
      <c r="D105" s="72">
        <v>196</v>
      </c>
      <c r="E105" s="4" t="s">
        <v>18</v>
      </c>
      <c r="F105" s="6"/>
      <c r="H105" s="19"/>
      <c r="I105" s="2"/>
      <c r="J105" s="19"/>
      <c r="K105" s="2"/>
      <c r="L105" s="2"/>
      <c r="M105" s="19"/>
      <c r="N105" s="2"/>
      <c r="O105" s="2"/>
      <c r="P105" s="19"/>
      <c r="Q105" s="2"/>
      <c r="R105" s="2"/>
      <c r="S105" s="19"/>
      <c r="T105" s="2"/>
      <c r="V105" s="19"/>
      <c r="Y105" s="19"/>
      <c r="AB105" s="19"/>
      <c r="AE105" s="19"/>
      <c r="AH105" s="19"/>
      <c r="AK105" s="19"/>
      <c r="AN105" s="19"/>
      <c r="AQ105" s="19"/>
      <c r="AT105" s="19"/>
    </row>
    <row r="106" spans="1:46" s="3" customFormat="1" x14ac:dyDescent="0.3">
      <c r="A106" s="105" t="s">
        <v>211</v>
      </c>
      <c r="B106">
        <v>1</v>
      </c>
      <c r="C106" s="4" t="s">
        <v>212</v>
      </c>
      <c r="D106" s="72">
        <v>1</v>
      </c>
      <c r="E106" s="4" t="s">
        <v>192</v>
      </c>
      <c r="F106" s="6">
        <f>F107</f>
        <v>3.0446428571428572</v>
      </c>
      <c r="G106" s="4" t="s">
        <v>223</v>
      </c>
      <c r="H106" s="19"/>
      <c r="I106" s="2"/>
      <c r="J106" s="19"/>
      <c r="K106" s="2"/>
      <c r="L106" s="2"/>
      <c r="M106" s="19"/>
      <c r="N106" s="2"/>
      <c r="O106" s="2"/>
      <c r="P106" s="19"/>
      <c r="Q106" s="2"/>
      <c r="R106" s="2"/>
      <c r="S106" s="19"/>
      <c r="T106" s="2"/>
      <c r="V106" s="19"/>
      <c r="Y106" s="19"/>
      <c r="AB106" s="19"/>
      <c r="AE106" s="19"/>
      <c r="AH106" s="19"/>
      <c r="AK106" s="19"/>
      <c r="AN106" s="19"/>
      <c r="AQ106" s="19"/>
      <c r="AT106" s="19"/>
    </row>
    <row r="107" spans="1:46" s="3" customFormat="1" x14ac:dyDescent="0.3">
      <c r="A107" s="105"/>
      <c r="B107">
        <v>1</v>
      </c>
      <c r="C107" s="4" t="s">
        <v>192</v>
      </c>
      <c r="D107" s="72">
        <f>(355+327)/2</f>
        <v>341</v>
      </c>
      <c r="E107" s="4" t="s">
        <v>18</v>
      </c>
      <c r="F107" s="6">
        <f>D107/D74</f>
        <v>3.0446428571428572</v>
      </c>
      <c r="G107" s="4" t="s">
        <v>223</v>
      </c>
      <c r="H107" s="19"/>
      <c r="I107" s="2"/>
      <c r="J107" s="19"/>
      <c r="K107" s="2"/>
      <c r="L107" s="2"/>
      <c r="M107" s="19"/>
      <c r="N107" s="2"/>
      <c r="O107" s="2"/>
      <c r="P107" s="19"/>
      <c r="Q107" s="2"/>
      <c r="R107" s="2"/>
      <c r="S107" s="19"/>
      <c r="T107" s="2"/>
      <c r="V107" s="19"/>
      <c r="Y107" s="19"/>
      <c r="AB107" s="19"/>
      <c r="AE107" s="19"/>
      <c r="AH107" s="19"/>
      <c r="AK107" s="19"/>
      <c r="AN107" s="19"/>
      <c r="AQ107" s="19"/>
      <c r="AT107" s="19"/>
    </row>
    <row r="108" spans="1:46" s="3" customFormat="1" x14ac:dyDescent="0.3">
      <c r="A108" s="105" t="s">
        <v>188</v>
      </c>
      <c r="B108">
        <v>1</v>
      </c>
      <c r="C108" s="31" t="s">
        <v>184</v>
      </c>
      <c r="D108" s="72">
        <v>140.63</v>
      </c>
      <c r="E108" s="4" t="s">
        <v>18</v>
      </c>
      <c r="F108" s="6">
        <f>D108/D74</f>
        <v>1.255625</v>
      </c>
      <c r="G108" s="4" t="s">
        <v>223</v>
      </c>
      <c r="H108" s="19"/>
      <c r="I108" s="2"/>
      <c r="J108" s="19"/>
      <c r="K108" s="2"/>
      <c r="L108" s="2"/>
      <c r="M108" s="19"/>
      <c r="N108" s="2"/>
      <c r="O108" s="2"/>
      <c r="P108" s="19"/>
      <c r="Q108" s="2"/>
      <c r="R108" s="2"/>
      <c r="S108" s="19"/>
      <c r="T108" s="2"/>
      <c r="V108" s="19"/>
      <c r="Y108" s="19"/>
      <c r="AB108" s="19"/>
      <c r="AE108" s="19"/>
      <c r="AH108" s="19"/>
      <c r="AK108" s="19"/>
      <c r="AN108" s="19"/>
      <c r="AQ108" s="19"/>
      <c r="AT108" s="19"/>
    </row>
    <row r="109" spans="1:46" s="3" customFormat="1" x14ac:dyDescent="0.3">
      <c r="A109" s="105"/>
      <c r="B109">
        <v>1</v>
      </c>
      <c r="C109" s="31" t="s">
        <v>214</v>
      </c>
      <c r="D109" s="72">
        <v>0.91576999999999997</v>
      </c>
      <c r="E109" s="4" t="s">
        <v>184</v>
      </c>
      <c r="F109" s="6">
        <f>F108*D109</f>
        <v>1.1498637062499999</v>
      </c>
      <c r="G109" s="4" t="s">
        <v>223</v>
      </c>
      <c r="H109" s="19"/>
      <c r="I109" s="2"/>
      <c r="J109" s="19"/>
      <c r="K109" s="2"/>
      <c r="L109" s="2"/>
      <c r="M109" s="19"/>
      <c r="N109" s="2"/>
      <c r="O109" s="2"/>
      <c r="P109" s="19"/>
      <c r="Q109" s="2"/>
      <c r="R109" s="2"/>
      <c r="S109" s="19"/>
      <c r="T109" s="2"/>
      <c r="V109" s="19"/>
      <c r="Y109" s="19"/>
      <c r="AB109" s="19"/>
      <c r="AE109" s="19"/>
      <c r="AH109" s="19"/>
      <c r="AK109" s="19"/>
      <c r="AN109" s="19"/>
      <c r="AQ109" s="19"/>
      <c r="AT109" s="19"/>
    </row>
    <row r="110" spans="1:46" s="3" customFormat="1" x14ac:dyDescent="0.3">
      <c r="A110" s="105" t="s">
        <v>215</v>
      </c>
      <c r="B110" s="3">
        <v>1</v>
      </c>
      <c r="C110" s="31" t="s">
        <v>192</v>
      </c>
      <c r="D110" s="72">
        <v>2.37609</v>
      </c>
      <c r="E110" s="31" t="s">
        <v>186</v>
      </c>
      <c r="F110" s="6">
        <f>D110*D111</f>
        <v>4.1366063637000003</v>
      </c>
      <c r="G110" s="4" t="s">
        <v>223</v>
      </c>
      <c r="H110" s="19"/>
      <c r="I110" s="2"/>
      <c r="J110" s="19"/>
      <c r="K110" s="2"/>
      <c r="L110" s="2"/>
      <c r="M110" s="19"/>
      <c r="N110" s="2"/>
      <c r="O110" s="2"/>
      <c r="P110" s="19"/>
      <c r="Q110" s="2"/>
      <c r="R110" s="2"/>
      <c r="S110" s="19"/>
      <c r="T110" s="2"/>
      <c r="V110" s="19"/>
      <c r="Y110" s="19"/>
      <c r="AB110" s="19"/>
      <c r="AE110" s="19"/>
      <c r="AH110" s="19"/>
      <c r="AK110" s="19"/>
      <c r="AN110" s="19"/>
      <c r="AQ110" s="19"/>
      <c r="AT110" s="19"/>
    </row>
    <row r="111" spans="1:46" s="3" customFormat="1" x14ac:dyDescent="0.3">
      <c r="A111" s="105"/>
      <c r="B111">
        <v>1</v>
      </c>
      <c r="C111" s="31" t="s">
        <v>186</v>
      </c>
      <c r="D111" s="72">
        <v>1.7409300000000001</v>
      </c>
      <c r="E111" s="4" t="s">
        <v>223</v>
      </c>
      <c r="F111" s="6"/>
      <c r="G111" s="4"/>
      <c r="H111" s="19"/>
      <c r="I111" s="2"/>
      <c r="J111" s="19"/>
      <c r="K111" s="2"/>
      <c r="L111" s="2"/>
      <c r="M111" s="19"/>
      <c r="N111" s="2"/>
      <c r="O111" s="2"/>
      <c r="P111" s="19"/>
      <c r="Q111" s="2"/>
      <c r="R111" s="2"/>
      <c r="S111" s="19"/>
      <c r="T111" s="2"/>
      <c r="V111" s="19"/>
      <c r="Y111" s="19"/>
      <c r="AB111" s="19"/>
      <c r="AE111" s="19"/>
      <c r="AH111" s="19"/>
      <c r="AK111" s="19"/>
      <c r="AN111" s="19"/>
      <c r="AQ111" s="19"/>
      <c r="AT111" s="19"/>
    </row>
    <row r="112" spans="1:46" s="3" customFormat="1" x14ac:dyDescent="0.3">
      <c r="A112" s="3" t="s">
        <v>216</v>
      </c>
      <c r="B112">
        <v>1</v>
      </c>
      <c r="C112" s="31" t="s">
        <v>192</v>
      </c>
      <c r="D112" s="72">
        <v>242</v>
      </c>
      <c r="E112" s="4" t="s">
        <v>18</v>
      </c>
      <c r="F112" s="6">
        <f>D112/D74</f>
        <v>2.1607142857142856</v>
      </c>
      <c r="G112" s="4" t="s">
        <v>223</v>
      </c>
      <c r="H112" s="19"/>
      <c r="I112" s="2"/>
      <c r="J112" s="19"/>
      <c r="K112" s="2"/>
      <c r="L112" s="2"/>
      <c r="M112" s="19"/>
      <c r="N112" s="2"/>
      <c r="O112" s="2"/>
      <c r="P112" s="19"/>
      <c r="Q112" s="2"/>
      <c r="R112" s="2"/>
      <c r="S112" s="19"/>
      <c r="T112" s="2"/>
      <c r="V112" s="19"/>
      <c r="Y112" s="19"/>
      <c r="AB112" s="19"/>
      <c r="AE112" s="19"/>
      <c r="AH112" s="19"/>
      <c r="AK112" s="19"/>
      <c r="AN112" s="19"/>
      <c r="AQ112" s="19"/>
      <c r="AT112" s="19"/>
    </row>
    <row r="113" spans="1:46" s="3" customFormat="1" x14ac:dyDescent="0.3">
      <c r="A113" s="3" t="s">
        <v>217</v>
      </c>
      <c r="B113">
        <v>1</v>
      </c>
      <c r="C113" s="31" t="s">
        <v>218</v>
      </c>
      <c r="D113" s="72">
        <v>294</v>
      </c>
      <c r="E113" s="4" t="s">
        <v>18</v>
      </c>
      <c r="F113" s="6">
        <f>D113/D74</f>
        <v>2.625</v>
      </c>
      <c r="G113" s="4" t="s">
        <v>223</v>
      </c>
      <c r="H113" s="19"/>
      <c r="I113" s="2"/>
      <c r="J113" s="19"/>
      <c r="K113" s="2"/>
      <c r="L113" s="2"/>
      <c r="M113" s="19"/>
      <c r="N113" s="2"/>
      <c r="O113" s="2"/>
      <c r="P113" s="19"/>
      <c r="Q113" s="2"/>
      <c r="R113" s="2"/>
      <c r="S113" s="19"/>
      <c r="T113" s="2"/>
      <c r="V113" s="19"/>
      <c r="Y113" s="19"/>
      <c r="AB113" s="19"/>
      <c r="AE113" s="19"/>
      <c r="AH113" s="19"/>
      <c r="AK113" s="19"/>
      <c r="AN113" s="19"/>
      <c r="AQ113" s="19"/>
      <c r="AT113" s="19"/>
    </row>
    <row r="114" spans="1:46" s="3" customFormat="1" x14ac:dyDescent="0.3">
      <c r="A114" s="3" t="s">
        <v>46</v>
      </c>
      <c r="B114">
        <v>1</v>
      </c>
      <c r="C114" s="31" t="s">
        <v>184</v>
      </c>
      <c r="D114" s="6">
        <v>0.88400000000000001</v>
      </c>
      <c r="E114" s="4" t="s">
        <v>223</v>
      </c>
      <c r="F114"/>
      <c r="G114"/>
      <c r="H114" s="19"/>
      <c r="I114" s="2"/>
      <c r="J114" s="19"/>
      <c r="K114" s="2"/>
      <c r="L114" s="2"/>
      <c r="M114" s="19"/>
      <c r="N114" s="2"/>
      <c r="O114" s="2"/>
      <c r="P114" s="19"/>
      <c r="Q114" s="2"/>
      <c r="R114" s="2"/>
      <c r="S114" s="19"/>
      <c r="T114" s="2"/>
      <c r="V114" s="19"/>
      <c r="Y114" s="19"/>
      <c r="AB114" s="19"/>
      <c r="AE114" s="19"/>
      <c r="AH114" s="19"/>
      <c r="AK114" s="19"/>
      <c r="AN114" s="19"/>
      <c r="AQ114" s="19"/>
      <c r="AT114" s="19"/>
    </row>
    <row r="115" spans="1:46" s="3" customFormat="1" x14ac:dyDescent="0.3">
      <c r="A115" s="3" t="s">
        <v>87</v>
      </c>
      <c r="B115">
        <v>1</v>
      </c>
      <c r="C115" s="31" t="s">
        <v>186</v>
      </c>
      <c r="D115" s="72">
        <v>149</v>
      </c>
      <c r="E115" s="4" t="s">
        <v>18</v>
      </c>
      <c r="F115" s="6">
        <f>D115/D74</f>
        <v>1.3303571428571428</v>
      </c>
      <c r="G115" s="4" t="s">
        <v>223</v>
      </c>
      <c r="H115" s="19"/>
      <c r="I115" s="2"/>
      <c r="J115" s="19"/>
      <c r="K115" s="2"/>
      <c r="L115" s="2"/>
      <c r="M115" s="19"/>
      <c r="N115" s="2"/>
      <c r="O115" s="2"/>
      <c r="P115" s="19"/>
      <c r="Q115" s="2"/>
      <c r="R115" s="2"/>
      <c r="S115" s="19"/>
      <c r="T115" s="2"/>
      <c r="V115" s="19"/>
      <c r="Y115" s="19"/>
      <c r="AB115" s="19"/>
      <c r="AE115" s="19"/>
      <c r="AH115" s="19"/>
      <c r="AK115" s="19"/>
      <c r="AN115" s="19"/>
      <c r="AQ115" s="19"/>
      <c r="AT115" s="19"/>
    </row>
    <row r="116" spans="1:46" s="3" customFormat="1" x14ac:dyDescent="0.3">
      <c r="A116" s="3" t="s">
        <v>204</v>
      </c>
      <c r="B116">
        <v>1</v>
      </c>
      <c r="C116" s="31" t="s">
        <v>184</v>
      </c>
      <c r="D116" s="72">
        <v>164</v>
      </c>
      <c r="E116" s="4" t="s">
        <v>18</v>
      </c>
      <c r="F116" s="6">
        <f>D116/D74</f>
        <v>1.4642857142857142</v>
      </c>
      <c r="G116" s="4" t="s">
        <v>223</v>
      </c>
      <c r="H116" s="19"/>
      <c r="I116" s="2"/>
      <c r="J116" s="19"/>
      <c r="K116" s="2"/>
      <c r="L116" s="2"/>
      <c r="M116" s="19"/>
      <c r="N116" s="2"/>
      <c r="O116" s="2"/>
      <c r="P116" s="19"/>
      <c r="Q116" s="2"/>
      <c r="R116" s="2"/>
      <c r="S116" s="19"/>
      <c r="T116" s="2"/>
      <c r="V116" s="19"/>
      <c r="Y116" s="19"/>
      <c r="AB116" s="19"/>
      <c r="AE116" s="19"/>
      <c r="AH116" s="19"/>
      <c r="AK116" s="19"/>
      <c r="AN116" s="19"/>
      <c r="AQ116" s="19"/>
      <c r="AT116" s="19"/>
    </row>
    <row r="117" spans="1:46" s="3" customFormat="1" x14ac:dyDescent="0.3">
      <c r="A117" s="105" t="s">
        <v>219</v>
      </c>
      <c r="B117">
        <v>1</v>
      </c>
      <c r="C117" s="31" t="s">
        <v>218</v>
      </c>
      <c r="D117" s="72">
        <v>2.0271699999999999</v>
      </c>
      <c r="E117" s="4" t="s">
        <v>192</v>
      </c>
      <c r="F117" s="6">
        <f>D118*D117/D74</f>
        <v>6.0815099999999997</v>
      </c>
      <c r="G117" s="4" t="s">
        <v>223</v>
      </c>
      <c r="H117" s="19"/>
      <c r="I117" s="2"/>
      <c r="J117" s="19"/>
      <c r="K117" s="2"/>
      <c r="L117" s="2"/>
      <c r="M117" s="19"/>
      <c r="N117" s="2"/>
      <c r="O117" s="2"/>
      <c r="P117" s="19"/>
      <c r="Q117" s="2"/>
      <c r="R117" s="2"/>
      <c r="S117" s="19"/>
      <c r="T117" s="2"/>
      <c r="V117" s="19"/>
      <c r="Y117" s="19"/>
      <c r="AB117" s="19"/>
      <c r="AE117" s="19"/>
      <c r="AH117" s="19"/>
      <c r="AK117" s="19"/>
      <c r="AN117" s="19"/>
      <c r="AQ117" s="19"/>
      <c r="AT117" s="19"/>
    </row>
    <row r="118" spans="1:46" s="3" customFormat="1" x14ac:dyDescent="0.3">
      <c r="A118" s="105"/>
      <c r="B118">
        <v>1</v>
      </c>
      <c r="C118" s="31" t="s">
        <v>192</v>
      </c>
      <c r="D118" s="72">
        <v>336</v>
      </c>
      <c r="E118" s="4" t="s">
        <v>18</v>
      </c>
      <c r="F118" s="6">
        <f>D118/D74</f>
        <v>3</v>
      </c>
      <c r="G118" s="4" t="s">
        <v>223</v>
      </c>
      <c r="H118" s="19"/>
      <c r="I118" s="2"/>
      <c r="J118" s="19"/>
      <c r="K118" s="2"/>
      <c r="L118" s="2"/>
      <c r="M118" s="19"/>
      <c r="N118" s="2"/>
      <c r="O118" s="2"/>
      <c r="P118" s="19"/>
      <c r="Q118" s="2"/>
      <c r="R118" s="2"/>
      <c r="S118" s="19"/>
      <c r="T118" s="2"/>
      <c r="V118" s="19"/>
      <c r="Y118" s="19"/>
      <c r="AB118" s="19"/>
      <c r="AE118" s="19"/>
      <c r="AH118" s="19"/>
      <c r="AK118" s="19"/>
      <c r="AN118" s="19"/>
      <c r="AQ118" s="19"/>
      <c r="AT118" s="19"/>
    </row>
    <row r="119" spans="1:46" s="3" customFormat="1" x14ac:dyDescent="0.3">
      <c r="A119" s="73" t="s">
        <v>220</v>
      </c>
      <c r="B119">
        <v>1</v>
      </c>
      <c r="C119" s="31" t="s">
        <v>192</v>
      </c>
      <c r="D119" s="72">
        <v>336</v>
      </c>
      <c r="E119" s="4" t="s">
        <v>18</v>
      </c>
      <c r="F119" s="6">
        <f>D119/D74</f>
        <v>3</v>
      </c>
      <c r="G119" s="4" t="s">
        <v>223</v>
      </c>
      <c r="H119" s="19"/>
      <c r="I119" s="2"/>
      <c r="J119" s="19"/>
      <c r="K119" s="2"/>
      <c r="L119" s="2"/>
      <c r="M119" s="19"/>
      <c r="N119" s="2"/>
      <c r="O119" s="2"/>
      <c r="P119" s="19"/>
      <c r="Q119" s="2"/>
      <c r="R119" s="2"/>
      <c r="S119" s="19"/>
      <c r="T119" s="2"/>
      <c r="V119" s="19"/>
      <c r="Y119" s="19"/>
      <c r="AB119" s="19"/>
      <c r="AE119" s="19"/>
      <c r="AH119" s="19"/>
      <c r="AK119" s="19"/>
      <c r="AN119" s="19"/>
      <c r="AQ119" s="19"/>
      <c r="AT119" s="19"/>
    </row>
    <row r="120" spans="1:46" s="3" customFormat="1" x14ac:dyDescent="0.3">
      <c r="A120" s="73" t="s">
        <v>221</v>
      </c>
      <c r="B120">
        <v>1</v>
      </c>
      <c r="C120" s="31" t="s">
        <v>184</v>
      </c>
      <c r="D120" s="72">
        <v>746.66700000000003</v>
      </c>
      <c r="E120" s="4" t="s">
        <v>18</v>
      </c>
      <c r="F120" s="6">
        <f>D120/D74</f>
        <v>6.6666696428571433</v>
      </c>
      <c r="G120" s="4" t="s">
        <v>223</v>
      </c>
      <c r="H120" s="19"/>
      <c r="J120" s="19"/>
      <c r="M120" s="19"/>
      <c r="P120" s="19"/>
      <c r="S120" s="19"/>
      <c r="V120" s="19"/>
      <c r="Y120" s="19"/>
      <c r="AB120" s="19"/>
      <c r="AE120" s="19"/>
      <c r="AH120" s="19"/>
      <c r="AK120" s="19"/>
      <c r="AN120" s="19"/>
      <c r="AQ120" s="19"/>
      <c r="AT120" s="19"/>
    </row>
    <row r="121" spans="1:46" s="3" customFormat="1" x14ac:dyDescent="0.3">
      <c r="A121" s="5" t="s">
        <v>65</v>
      </c>
      <c r="B121">
        <v>1</v>
      </c>
      <c r="C121" s="31" t="s">
        <v>214</v>
      </c>
      <c r="D121" s="72">
        <v>260</v>
      </c>
      <c r="E121" s="4" t="s">
        <v>18</v>
      </c>
      <c r="F121" s="6">
        <f>D121/D74</f>
        <v>2.3214285714285716</v>
      </c>
      <c r="G121" s="4" t="s">
        <v>223</v>
      </c>
      <c r="H121" s="19"/>
      <c r="J121" s="19"/>
      <c r="M121" s="19"/>
      <c r="P121" s="19"/>
      <c r="S121" s="19"/>
      <c r="V121" s="19"/>
      <c r="Y121" s="19"/>
      <c r="AB121" s="19"/>
      <c r="AE121" s="19"/>
      <c r="AH121" s="19"/>
      <c r="AK121" s="19"/>
      <c r="AN121" s="19"/>
      <c r="AQ121" s="19"/>
      <c r="AT121" s="19"/>
    </row>
    <row r="122" spans="1:46" s="3" customFormat="1" x14ac:dyDescent="0.3">
      <c r="A122" s="5"/>
      <c r="B122" s="19"/>
      <c r="C122"/>
      <c r="D122"/>
      <c r="E122"/>
      <c r="F122" s="19"/>
      <c r="G122" s="19"/>
      <c r="H122" s="19"/>
      <c r="J122" s="19"/>
      <c r="M122" s="19"/>
      <c r="P122" s="19"/>
      <c r="S122" s="19"/>
      <c r="V122" s="19"/>
      <c r="Y122" s="19"/>
      <c r="AB122" s="19"/>
      <c r="AE122" s="19"/>
      <c r="AH122" s="19"/>
      <c r="AK122" s="19"/>
      <c r="AN122" s="19"/>
      <c r="AQ122" s="19"/>
      <c r="AT122" s="19"/>
    </row>
    <row r="123" spans="1:46" s="3" customFormat="1" x14ac:dyDescent="0.3">
      <c r="A123" s="108" t="s">
        <v>222</v>
      </c>
      <c r="B123">
        <v>1</v>
      </c>
      <c r="C123" s="4" t="s">
        <v>192</v>
      </c>
      <c r="D123" s="2">
        <v>80</v>
      </c>
      <c r="E123" s="4" t="s">
        <v>18</v>
      </c>
      <c r="F123" s="74">
        <f>D123/D124</f>
        <v>0.7142857142857143</v>
      </c>
      <c r="G123" s="4" t="s">
        <v>223</v>
      </c>
      <c r="H123" s="19"/>
      <c r="J123" s="19"/>
      <c r="M123" s="19"/>
      <c r="P123" s="19"/>
      <c r="S123" s="19"/>
      <c r="V123" s="19"/>
      <c r="Y123" s="19"/>
      <c r="AB123" s="19"/>
      <c r="AE123" s="19"/>
      <c r="AH123" s="19"/>
      <c r="AK123" s="19"/>
      <c r="AN123" s="19"/>
      <c r="AQ123" s="19"/>
      <c r="AT123" s="19"/>
    </row>
    <row r="124" spans="1:46" s="3" customFormat="1" x14ac:dyDescent="0.3">
      <c r="A124" s="108"/>
      <c r="B124">
        <v>1</v>
      </c>
      <c r="C124" s="4" t="s">
        <v>223</v>
      </c>
      <c r="D124" s="2">
        <v>112</v>
      </c>
      <c r="E124" s="4" t="s">
        <v>18</v>
      </c>
      <c r="F124" s="2"/>
      <c r="G124" s="2"/>
      <c r="H124" s="19"/>
      <c r="J124" s="19"/>
      <c r="M124" s="19"/>
      <c r="P124" s="19"/>
      <c r="S124" s="19"/>
      <c r="V124" s="19"/>
      <c r="Y124" s="19"/>
      <c r="AB124" s="19"/>
      <c r="AE124" s="19"/>
      <c r="AH124" s="19"/>
      <c r="AK124" s="19"/>
      <c r="AN124" s="19"/>
      <c r="AQ124" s="19"/>
      <c r="AT124" s="19"/>
    </row>
    <row r="125" spans="1:46" s="3" customFormat="1" x14ac:dyDescent="0.3">
      <c r="A125" s="73" t="s">
        <v>220</v>
      </c>
      <c r="B125">
        <v>1</v>
      </c>
      <c r="C125" s="31" t="s">
        <v>192</v>
      </c>
      <c r="D125" s="72">
        <v>336</v>
      </c>
      <c r="E125" s="4" t="s">
        <v>18</v>
      </c>
      <c r="F125" s="6">
        <f>D125/D124</f>
        <v>3</v>
      </c>
      <c r="G125" s="4" t="s">
        <v>223</v>
      </c>
      <c r="H125" s="19"/>
      <c r="J125" s="19"/>
      <c r="M125" s="19"/>
      <c r="P125" s="19"/>
      <c r="S125" s="19"/>
      <c r="V125" s="19"/>
      <c r="Y125" s="19"/>
      <c r="AB125" s="19"/>
      <c r="AE125" s="19"/>
      <c r="AH125" s="19"/>
      <c r="AK125" s="19"/>
      <c r="AN125" s="19"/>
      <c r="AQ125" s="19"/>
      <c r="AT125" s="19"/>
    </row>
    <row r="126" spans="1:46" s="3" customFormat="1" x14ac:dyDescent="0.3">
      <c r="A126" s="5" t="s">
        <v>224</v>
      </c>
      <c r="B126">
        <v>1</v>
      </c>
      <c r="C126" s="31" t="s">
        <v>225</v>
      </c>
      <c r="D126" s="72">
        <v>9</v>
      </c>
      <c r="E126" s="4" t="s">
        <v>197</v>
      </c>
      <c r="F126" s="2"/>
      <c r="G126" s="2"/>
      <c r="H126" s="19"/>
      <c r="J126" s="19"/>
      <c r="M126" s="19"/>
      <c r="P126" s="19"/>
      <c r="S126" s="19"/>
      <c r="V126" s="19"/>
      <c r="Y126" s="19"/>
      <c r="AB126" s="19"/>
      <c r="AE126" s="19"/>
      <c r="AH126" s="19"/>
      <c r="AK126" s="19"/>
      <c r="AN126" s="19"/>
      <c r="AQ126" s="19"/>
      <c r="AT126" s="19"/>
    </row>
    <row r="127" spans="1:46" s="3" customFormat="1" x14ac:dyDescent="0.3">
      <c r="A127" s="15" t="s">
        <v>43</v>
      </c>
      <c r="B127">
        <v>1</v>
      </c>
      <c r="C127" s="31" t="s">
        <v>184</v>
      </c>
      <c r="D127" s="72">
        <f>756/3720</f>
        <v>0.20322580645161289</v>
      </c>
      <c r="E127" s="4" t="s">
        <v>223</v>
      </c>
      <c r="F127" s="2"/>
      <c r="G127" s="2"/>
      <c r="H127" s="19"/>
      <c r="J127" s="19"/>
      <c r="M127" s="19"/>
      <c r="P127" s="19"/>
      <c r="S127" s="19"/>
      <c r="V127" s="19"/>
      <c r="Y127" s="19"/>
      <c r="AB127" s="19"/>
      <c r="AE127" s="19"/>
      <c r="AH127" s="19"/>
      <c r="AK127" s="19"/>
      <c r="AN127" s="19"/>
      <c r="AQ127" s="19"/>
      <c r="AT127" s="19"/>
    </row>
    <row r="128" spans="1:46" s="3" customFormat="1" x14ac:dyDescent="0.3">
      <c r="A128" s="15" t="s">
        <v>226</v>
      </c>
      <c r="B128">
        <v>1</v>
      </c>
      <c r="C128" s="31" t="s">
        <v>186</v>
      </c>
      <c r="D128" s="72">
        <f>600/400</f>
        <v>1.5</v>
      </c>
      <c r="E128" s="4" t="s">
        <v>223</v>
      </c>
      <c r="F128" s="2"/>
      <c r="G128" s="2"/>
      <c r="H128" s="19"/>
      <c r="J128" s="19"/>
      <c r="M128" s="19"/>
      <c r="P128" s="19"/>
      <c r="S128" s="19"/>
      <c r="V128" s="19"/>
      <c r="Y128" s="19"/>
      <c r="AB128" s="19"/>
      <c r="AE128" s="19"/>
      <c r="AH128" s="19"/>
      <c r="AK128" s="19"/>
      <c r="AN128" s="19"/>
      <c r="AQ128" s="19"/>
      <c r="AT128" s="19"/>
    </row>
    <row r="129" spans="1:46" s="3" customFormat="1" x14ac:dyDescent="0.3">
      <c r="A129" s="15" t="s">
        <v>227</v>
      </c>
      <c r="B129">
        <v>1</v>
      </c>
      <c r="C129" s="31" t="s">
        <v>192</v>
      </c>
      <c r="D129" s="72">
        <f>600/400</f>
        <v>1.5</v>
      </c>
      <c r="E129" s="4" t="s">
        <v>223</v>
      </c>
      <c r="F129" s="2"/>
      <c r="G129" s="2"/>
      <c r="H129" s="19"/>
      <c r="J129" s="19"/>
      <c r="M129" s="19"/>
      <c r="P129" s="19"/>
      <c r="S129" s="19"/>
      <c r="V129" s="19"/>
      <c r="Y129" s="19"/>
      <c r="AB129" s="19"/>
      <c r="AE129" s="19"/>
      <c r="AH129" s="19"/>
      <c r="AK129" s="19"/>
      <c r="AN129" s="19"/>
      <c r="AQ129" s="19"/>
      <c r="AT129" s="19"/>
    </row>
    <row r="130" spans="1:46" s="3" customFormat="1" x14ac:dyDescent="0.3">
      <c r="A130" s="15" t="s">
        <v>11</v>
      </c>
      <c r="B130">
        <v>1</v>
      </c>
      <c r="C130" s="31" t="s">
        <v>184</v>
      </c>
      <c r="D130" s="72">
        <f>3600/2400</f>
        <v>1.5</v>
      </c>
      <c r="E130" s="4" t="s">
        <v>223</v>
      </c>
      <c r="F130" s="2"/>
      <c r="G130" s="2"/>
      <c r="H130" s="19"/>
      <c r="I130" s="2"/>
      <c r="J130" s="19"/>
      <c r="K130" s="2"/>
      <c r="L130" s="2"/>
      <c r="M130" s="19"/>
      <c r="N130" s="2"/>
      <c r="O130" s="2"/>
      <c r="P130" s="19"/>
      <c r="Q130" s="2"/>
      <c r="R130" s="2"/>
      <c r="S130" s="19"/>
      <c r="T130" s="2"/>
      <c r="V130" s="19"/>
      <c r="Y130" s="19"/>
      <c r="AB130" s="19"/>
      <c r="AE130" s="19"/>
      <c r="AH130" s="19"/>
      <c r="AK130" s="19"/>
      <c r="AN130" s="19"/>
      <c r="AQ130" s="19"/>
      <c r="AT130" s="19"/>
    </row>
    <row r="131" spans="1:46" s="3" customFormat="1" x14ac:dyDescent="0.3">
      <c r="A131" s="15" t="s">
        <v>269</v>
      </c>
      <c r="B131">
        <v>1</v>
      </c>
      <c r="C131" s="31" t="s">
        <v>184</v>
      </c>
      <c r="D131">
        <v>153.125</v>
      </c>
      <c r="E131" s="4" t="s">
        <v>18</v>
      </c>
      <c r="F131" s="6">
        <f>D131/D74</f>
        <v>1.3671875</v>
      </c>
      <c r="G131" s="4" t="s">
        <v>223</v>
      </c>
      <c r="H131" s="19"/>
      <c r="I131" s="2"/>
      <c r="J131" s="19"/>
      <c r="K131" s="2"/>
      <c r="L131" s="2"/>
      <c r="M131" s="19"/>
      <c r="N131" s="2"/>
      <c r="O131" s="2"/>
      <c r="P131" s="19"/>
      <c r="Q131" s="2"/>
      <c r="R131" s="2"/>
      <c r="S131" s="19"/>
      <c r="T131" s="2"/>
      <c r="V131" s="19"/>
      <c r="Y131" s="19"/>
      <c r="AB131" s="19"/>
      <c r="AE131" s="19"/>
      <c r="AH131" s="19"/>
      <c r="AK131" s="19"/>
      <c r="AN131" s="19"/>
      <c r="AQ131" s="19"/>
      <c r="AT131" s="19"/>
    </row>
    <row r="132" spans="1:46" s="3" customFormat="1" x14ac:dyDescent="0.3">
      <c r="A132" s="15"/>
      <c r="B132" s="15">
        <v>1</v>
      </c>
      <c r="C132" s="4" t="s">
        <v>35</v>
      </c>
      <c r="D132" s="6">
        <v>108</v>
      </c>
      <c r="E132" s="4" t="s">
        <v>18</v>
      </c>
      <c r="H132" s="19"/>
      <c r="I132" s="2"/>
      <c r="J132" s="19"/>
      <c r="K132" s="2"/>
      <c r="L132" s="2"/>
      <c r="M132" s="19"/>
      <c r="N132" s="2"/>
      <c r="O132" s="2"/>
      <c r="P132" s="19"/>
      <c r="Q132" s="2"/>
      <c r="R132" s="2"/>
      <c r="S132" s="19"/>
      <c r="T132" s="2"/>
      <c r="V132" s="19"/>
      <c r="Y132" s="19"/>
      <c r="AB132" s="19"/>
      <c r="AE132" s="19"/>
      <c r="AH132" s="19"/>
      <c r="AK132" s="19"/>
      <c r="AN132" s="19"/>
      <c r="AQ132" s="19"/>
      <c r="AT132" s="19"/>
    </row>
    <row r="133" spans="1:46" s="3" customFormat="1" x14ac:dyDescent="0.3">
      <c r="A133" s="15"/>
      <c r="B133" s="15">
        <v>1</v>
      </c>
      <c r="C133" s="4" t="s">
        <v>37</v>
      </c>
      <c r="D133" s="6">
        <v>32.5</v>
      </c>
      <c r="E133" s="4" t="s">
        <v>18</v>
      </c>
      <c r="H133" s="19"/>
      <c r="I133" s="2"/>
      <c r="J133" s="19"/>
      <c r="K133" s="2"/>
      <c r="L133" s="2"/>
      <c r="M133" s="19"/>
      <c r="N133" s="2"/>
      <c r="O133" s="2"/>
      <c r="P133" s="19"/>
      <c r="Q133" s="2"/>
      <c r="R133" s="2"/>
      <c r="S133" s="19"/>
      <c r="T133" s="2"/>
      <c r="V133" s="19"/>
      <c r="Y133" s="19"/>
      <c r="AB133" s="19"/>
      <c r="AE133" s="19"/>
      <c r="AH133" s="19"/>
      <c r="AK133" s="19"/>
      <c r="AN133" s="19"/>
      <c r="AQ133" s="19"/>
      <c r="AT133" s="19"/>
    </row>
    <row r="134" spans="1:46" s="3" customFormat="1" x14ac:dyDescent="0.3">
      <c r="A134" s="5"/>
      <c r="B134" s="15">
        <v>1</v>
      </c>
      <c r="C134" s="4" t="s">
        <v>104</v>
      </c>
      <c r="D134" s="6">
        <v>112</v>
      </c>
      <c r="E134" s="4" t="s">
        <v>106</v>
      </c>
      <c r="H134" s="19"/>
      <c r="I134" s="2"/>
      <c r="J134" s="19"/>
      <c r="K134" s="2"/>
      <c r="L134" s="2"/>
      <c r="M134" s="19"/>
      <c r="N134" s="2"/>
      <c r="O134" s="2"/>
      <c r="P134" s="19"/>
      <c r="Q134" s="2"/>
      <c r="R134" s="2"/>
      <c r="S134" s="19"/>
      <c r="T134" s="2"/>
      <c r="V134" s="19"/>
      <c r="Y134" s="19"/>
      <c r="AB134" s="19"/>
      <c r="AE134" s="19"/>
      <c r="AH134" s="19"/>
      <c r="AK134" s="19"/>
      <c r="AN134" s="19"/>
      <c r="AQ134" s="19"/>
      <c r="AT134" s="19"/>
    </row>
    <row r="135" spans="1:46" s="3" customFormat="1" x14ac:dyDescent="0.3">
      <c r="A135" s="15"/>
      <c r="B135" s="109">
        <v>1</v>
      </c>
      <c r="C135" s="110" t="s">
        <v>153</v>
      </c>
      <c r="D135" s="111">
        <v>130</v>
      </c>
      <c r="E135" s="112" t="s">
        <v>18</v>
      </c>
      <c r="H135" s="19"/>
      <c r="I135" s="2"/>
      <c r="J135" s="19"/>
      <c r="K135" s="2"/>
      <c r="L135" s="2"/>
      <c r="M135" s="19"/>
      <c r="N135" s="2"/>
      <c r="O135" s="2"/>
      <c r="P135" s="19"/>
      <c r="Q135" s="2"/>
      <c r="R135" s="2"/>
      <c r="S135" s="19"/>
      <c r="T135" s="2"/>
      <c r="V135" s="19"/>
      <c r="Y135" s="19"/>
      <c r="AB135" s="19"/>
      <c r="AE135" s="19"/>
      <c r="AH135" s="19"/>
      <c r="AK135" s="19"/>
      <c r="AN135" s="19"/>
      <c r="AQ135" s="19"/>
      <c r="AT135" s="19"/>
    </row>
    <row r="136" spans="1:46" s="3" customFormat="1" x14ac:dyDescent="0.3">
      <c r="A136" s="15"/>
      <c r="B136" s="109"/>
      <c r="C136" s="110"/>
      <c r="D136" s="111"/>
      <c r="E136" s="112"/>
      <c r="H136" s="19"/>
      <c r="I136" s="2"/>
      <c r="J136" s="19"/>
      <c r="K136" s="2"/>
      <c r="L136" s="2"/>
      <c r="M136" s="19"/>
      <c r="N136" s="2"/>
      <c r="O136" s="2"/>
      <c r="P136" s="19"/>
      <c r="Q136" s="2"/>
      <c r="R136" s="2"/>
      <c r="S136" s="19"/>
      <c r="T136" s="2"/>
      <c r="V136" s="19"/>
      <c r="Y136" s="19"/>
      <c r="AB136" s="19"/>
      <c r="AE136" s="19"/>
      <c r="AH136" s="19"/>
      <c r="AK136" s="19"/>
      <c r="AN136" s="19"/>
      <c r="AQ136" s="19"/>
      <c r="AT136" s="19"/>
    </row>
    <row r="137" spans="1:46" s="3" customFormat="1" x14ac:dyDescent="0.3">
      <c r="A137" s="15"/>
      <c r="B137" s="16">
        <v>1</v>
      </c>
      <c r="C137" s="4" t="s">
        <v>154</v>
      </c>
      <c r="D137" s="6">
        <v>260</v>
      </c>
      <c r="E137" s="4" t="s">
        <v>18</v>
      </c>
      <c r="H137" s="19"/>
      <c r="I137" s="2"/>
      <c r="J137" s="19"/>
      <c r="K137" s="2"/>
      <c r="L137" s="2"/>
      <c r="M137" s="19"/>
      <c r="N137" s="2"/>
      <c r="O137" s="2"/>
      <c r="P137" s="19"/>
      <c r="Q137" s="2"/>
      <c r="R137" s="2"/>
      <c r="S137" s="19"/>
      <c r="T137" s="2"/>
      <c r="V137" s="19"/>
      <c r="Y137" s="19"/>
      <c r="AB137" s="19"/>
      <c r="AE137" s="19"/>
      <c r="AH137" s="19"/>
      <c r="AK137" s="19"/>
      <c r="AN137" s="19"/>
      <c r="AQ137" s="19"/>
      <c r="AT137" s="19"/>
    </row>
    <row r="138" spans="1:46" s="3" customFormat="1" x14ac:dyDescent="0.3">
      <c r="A138" s="15"/>
      <c r="B138" s="16">
        <v>1</v>
      </c>
      <c r="C138" s="4" t="s">
        <v>279</v>
      </c>
      <c r="D138" s="6">
        <f>D135/D134</f>
        <v>1.1607142857142858</v>
      </c>
      <c r="E138" s="4" t="s">
        <v>223</v>
      </c>
      <c r="H138" s="19"/>
      <c r="I138" s="2"/>
      <c r="J138" s="19"/>
      <c r="K138" s="2"/>
      <c r="L138" s="2"/>
      <c r="M138" s="19"/>
      <c r="N138" s="2"/>
      <c r="O138" s="2"/>
      <c r="P138" s="19"/>
      <c r="Q138" s="2"/>
      <c r="R138" s="2"/>
      <c r="S138" s="19"/>
      <c r="T138" s="2"/>
      <c r="V138" s="19"/>
      <c r="Y138" s="19"/>
      <c r="AB138" s="19"/>
      <c r="AE138" s="19"/>
      <c r="AH138" s="19"/>
      <c r="AK138" s="19"/>
      <c r="AN138" s="19"/>
      <c r="AQ138" s="19"/>
      <c r="AT138" s="19"/>
    </row>
    <row r="139" spans="1:46" s="3" customFormat="1" x14ac:dyDescent="0.3">
      <c r="A139" s="15"/>
      <c r="B139" s="16">
        <v>1</v>
      </c>
      <c r="C139" s="4" t="s">
        <v>154</v>
      </c>
      <c r="D139" s="6">
        <f>D137/D134</f>
        <v>2.3214285714285716</v>
      </c>
      <c r="E139" s="4" t="s">
        <v>223</v>
      </c>
      <c r="H139" s="19"/>
      <c r="I139" s="2"/>
      <c r="J139" s="19"/>
      <c r="K139" s="2"/>
      <c r="L139" s="2"/>
      <c r="M139" s="19"/>
      <c r="N139" s="2"/>
      <c r="O139" s="2"/>
      <c r="P139" s="19"/>
      <c r="Q139" s="2"/>
      <c r="R139" s="2"/>
      <c r="S139" s="19"/>
      <c r="T139" s="2"/>
      <c r="V139" s="19"/>
      <c r="Y139" s="19"/>
      <c r="AB139" s="19"/>
      <c r="AE139" s="19"/>
      <c r="AH139" s="19"/>
      <c r="AK139" s="19"/>
      <c r="AN139" s="19"/>
      <c r="AQ139" s="19"/>
      <c r="AT139" s="19"/>
    </row>
    <row r="140" spans="1:46" s="3" customFormat="1" x14ac:dyDescent="0.3">
      <c r="A140" s="15"/>
      <c r="B140" s="20"/>
      <c r="H140" s="19"/>
      <c r="I140" s="2"/>
      <c r="J140" s="19"/>
      <c r="K140" s="2"/>
      <c r="L140" s="2"/>
      <c r="M140" s="19"/>
      <c r="N140" s="2"/>
      <c r="O140" s="2"/>
      <c r="P140" s="19"/>
      <c r="Q140" s="2"/>
      <c r="R140" s="2"/>
      <c r="S140" s="19"/>
      <c r="T140" s="2"/>
      <c r="V140" s="19"/>
      <c r="Y140" s="19"/>
      <c r="AB140" s="19"/>
      <c r="AE140" s="19"/>
      <c r="AH140" s="19"/>
      <c r="AK140" s="19"/>
      <c r="AN140" s="19"/>
      <c r="AQ140" s="19"/>
      <c r="AT140" s="19"/>
    </row>
    <row r="141" spans="1:46" s="3" customFormat="1" x14ac:dyDescent="0.3">
      <c r="A141" s="15"/>
      <c r="B141" s="20"/>
      <c r="H141" s="19"/>
      <c r="I141" s="2"/>
      <c r="J141" s="19"/>
      <c r="K141" s="2"/>
      <c r="L141" s="2"/>
      <c r="M141" s="19"/>
      <c r="N141" s="2"/>
      <c r="O141" s="2"/>
      <c r="P141" s="19"/>
      <c r="Q141" s="2"/>
      <c r="R141" s="2"/>
      <c r="S141" s="19"/>
      <c r="T141" s="2"/>
      <c r="V141" s="19"/>
      <c r="Y141" s="19"/>
      <c r="AB141" s="19"/>
      <c r="AE141" s="19"/>
      <c r="AH141" s="19"/>
      <c r="AK141" s="19"/>
      <c r="AN141" s="19"/>
      <c r="AQ141" s="19"/>
      <c r="AT141" s="19"/>
    </row>
    <row r="142" spans="1:46" s="3" customFormat="1" x14ac:dyDescent="0.3">
      <c r="A142" s="105" t="s">
        <v>211</v>
      </c>
      <c r="B142">
        <v>1</v>
      </c>
      <c r="C142" s="4" t="s">
        <v>212</v>
      </c>
      <c r="D142" s="72">
        <v>1</v>
      </c>
      <c r="E142" s="4" t="s">
        <v>192</v>
      </c>
      <c r="F142" s="6">
        <f>F143</f>
        <v>3.0446428571428572</v>
      </c>
      <c r="G142" s="4" t="s">
        <v>210</v>
      </c>
      <c r="H142" s="19"/>
      <c r="I142" s="2"/>
      <c r="J142" s="19"/>
      <c r="K142" s="2"/>
      <c r="L142" s="2"/>
      <c r="M142" s="19"/>
      <c r="N142" s="2"/>
      <c r="O142" s="2"/>
      <c r="P142" s="19"/>
      <c r="Q142" s="2"/>
      <c r="R142" s="2"/>
      <c r="S142" s="19"/>
      <c r="T142" s="2"/>
      <c r="V142" s="19"/>
      <c r="Y142" s="19"/>
      <c r="AB142" s="19"/>
      <c r="AE142" s="19"/>
      <c r="AH142" s="19"/>
      <c r="AK142" s="19"/>
      <c r="AN142" s="19"/>
      <c r="AQ142" s="19"/>
      <c r="AT142" s="19"/>
    </row>
    <row r="143" spans="1:46" s="3" customFormat="1" x14ac:dyDescent="0.3">
      <c r="A143" s="105"/>
      <c r="B143">
        <v>1</v>
      </c>
      <c r="C143" s="4" t="s">
        <v>192</v>
      </c>
      <c r="D143" s="72">
        <f>(355+327)/2</f>
        <v>341</v>
      </c>
      <c r="E143" s="4" t="s">
        <v>18</v>
      </c>
      <c r="F143" s="6">
        <f>D143/D134</f>
        <v>3.0446428571428572</v>
      </c>
      <c r="G143" s="4" t="s">
        <v>210</v>
      </c>
      <c r="H143" s="19"/>
      <c r="J143" s="19"/>
      <c r="M143" s="19"/>
      <c r="P143" s="19"/>
      <c r="S143" s="19"/>
      <c r="V143" s="19"/>
      <c r="Y143" s="19"/>
      <c r="AB143" s="19"/>
      <c r="AE143" s="19"/>
      <c r="AH143" s="19"/>
      <c r="AK143" s="19"/>
      <c r="AN143" s="19"/>
      <c r="AQ143" s="19"/>
      <c r="AT143" s="19"/>
    </row>
    <row r="144" spans="1:46" s="3" customFormat="1" x14ac:dyDescent="0.3">
      <c r="A144" s="105"/>
      <c r="B144">
        <v>1</v>
      </c>
      <c r="C144" s="31" t="s">
        <v>213</v>
      </c>
      <c r="D144" s="72">
        <f>(2.2+2.5)/2</f>
        <v>2.35</v>
      </c>
      <c r="E144" s="4" t="s">
        <v>18</v>
      </c>
      <c r="F144" s="6">
        <f>D144/D134</f>
        <v>2.0982142857142859E-2</v>
      </c>
      <c r="G144" s="4" t="s">
        <v>210</v>
      </c>
      <c r="H144" s="19"/>
      <c r="I144" s="2"/>
      <c r="J144" s="19"/>
      <c r="K144" s="2"/>
      <c r="L144" s="2"/>
      <c r="M144" s="19"/>
      <c r="N144" s="2"/>
      <c r="O144" s="2"/>
      <c r="P144" s="19"/>
      <c r="Q144" s="2"/>
      <c r="R144" s="2"/>
      <c r="S144" s="19"/>
      <c r="T144" s="2"/>
      <c r="V144" s="19"/>
      <c r="Y144" s="19"/>
      <c r="AB144" s="19"/>
      <c r="AE144" s="19"/>
      <c r="AH144" s="19"/>
      <c r="AK144" s="19"/>
      <c r="AN144" s="19"/>
      <c r="AQ144" s="19"/>
      <c r="AT144" s="19"/>
    </row>
    <row r="145" spans="1:46" s="3" customFormat="1" x14ac:dyDescent="0.3">
      <c r="A145" s="15"/>
      <c r="B145" s="19"/>
      <c r="C145" s="19"/>
      <c r="D145" s="19"/>
      <c r="E145" s="19"/>
      <c r="F145" s="19"/>
      <c r="G145" s="19"/>
      <c r="H145" s="19"/>
      <c r="I145" s="2"/>
      <c r="J145" s="19"/>
      <c r="K145" s="2"/>
      <c r="L145" s="2"/>
      <c r="M145" s="19"/>
      <c r="N145" s="2"/>
      <c r="O145" s="2"/>
      <c r="P145" s="19"/>
      <c r="Q145" s="2"/>
      <c r="R145" s="2"/>
      <c r="S145" s="19"/>
      <c r="T145" s="2"/>
      <c r="V145" s="19"/>
      <c r="Y145" s="19"/>
      <c r="AB145" s="19"/>
      <c r="AE145" s="19"/>
      <c r="AH145" s="19"/>
      <c r="AK145" s="19"/>
      <c r="AN145" s="19"/>
      <c r="AQ145" s="19"/>
      <c r="AT145" s="19"/>
    </row>
    <row r="146" spans="1:46" s="3" customFormat="1" x14ac:dyDescent="0.3">
      <c r="A146" s="15"/>
      <c r="B146" s="19"/>
      <c r="C146" s="19"/>
      <c r="D146" s="19"/>
      <c r="E146" s="19"/>
      <c r="F146" s="19"/>
      <c r="G146" s="19"/>
      <c r="H146" s="19"/>
      <c r="I146" s="2"/>
      <c r="J146" s="19"/>
      <c r="K146" s="2"/>
      <c r="L146" s="2"/>
      <c r="M146" s="19"/>
      <c r="N146" s="2"/>
      <c r="O146" s="2"/>
      <c r="P146" s="19"/>
      <c r="Q146" s="2"/>
      <c r="R146" s="2"/>
      <c r="S146" s="19"/>
      <c r="T146" s="2"/>
      <c r="V146" s="19"/>
      <c r="Y146" s="19"/>
      <c r="AB146" s="19"/>
      <c r="AE146" s="19"/>
      <c r="AH146" s="19"/>
      <c r="AK146" s="19"/>
      <c r="AN146" s="19"/>
      <c r="AQ146" s="19"/>
      <c r="AT146" s="19"/>
    </row>
    <row r="147" spans="1:46" s="3" customFormat="1" x14ac:dyDescent="0.3">
      <c r="A147" s="15"/>
      <c r="B147" s="19"/>
      <c r="C147" s="19"/>
      <c r="D147" s="19"/>
      <c r="E147" s="19"/>
      <c r="F147" s="19"/>
      <c r="G147" s="19"/>
      <c r="H147" s="19"/>
      <c r="I147" s="2"/>
      <c r="J147" s="19"/>
      <c r="K147" s="2"/>
      <c r="L147" s="2"/>
      <c r="M147" s="19"/>
      <c r="N147" s="2"/>
      <c r="O147" s="2"/>
      <c r="P147" s="19"/>
      <c r="Q147" s="2"/>
      <c r="R147" s="2"/>
      <c r="S147" s="19"/>
      <c r="T147" s="2"/>
      <c r="V147" s="19"/>
      <c r="Y147" s="19"/>
      <c r="AB147" s="19"/>
      <c r="AE147" s="19"/>
      <c r="AH147" s="19"/>
      <c r="AK147" s="19"/>
      <c r="AN147" s="19"/>
      <c r="AQ147" s="19"/>
      <c r="AT147" s="19"/>
    </row>
    <row r="148" spans="1:46" s="3" customFormat="1" x14ac:dyDescent="0.3">
      <c r="A148" s="15"/>
      <c r="B148" s="19"/>
      <c r="C148" s="19"/>
      <c r="D148" s="19"/>
      <c r="E148" s="19"/>
      <c r="F148" s="19"/>
      <c r="G148" s="19"/>
      <c r="H148" s="19"/>
      <c r="I148" s="2"/>
      <c r="J148" s="19"/>
      <c r="K148" s="2"/>
      <c r="L148" s="2"/>
      <c r="M148" s="19"/>
      <c r="N148" s="2"/>
      <c r="O148" s="2"/>
      <c r="P148" s="19"/>
      <c r="Q148" s="2"/>
      <c r="R148" s="2"/>
      <c r="S148" s="19"/>
      <c r="T148" s="2"/>
      <c r="V148" s="19"/>
      <c r="Y148" s="19"/>
      <c r="AB148" s="19"/>
      <c r="AE148" s="19"/>
      <c r="AH148" s="19"/>
      <c r="AK148" s="19"/>
      <c r="AN148" s="19"/>
      <c r="AQ148" s="19"/>
      <c r="AT148" s="19"/>
    </row>
    <row r="149" spans="1:46" s="3" customFormat="1" x14ac:dyDescent="0.3">
      <c r="A149" s="15"/>
      <c r="B149" s="19"/>
      <c r="C149" s="19"/>
      <c r="D149" s="19"/>
      <c r="E149" s="19"/>
      <c r="F149" s="19"/>
      <c r="G149" s="19"/>
      <c r="H149" s="19"/>
      <c r="I149" s="2"/>
      <c r="J149" s="19"/>
      <c r="K149" s="2"/>
      <c r="L149" s="2"/>
      <c r="M149" s="19"/>
      <c r="N149" s="2"/>
      <c r="O149" s="2"/>
      <c r="P149" s="19"/>
      <c r="Q149" s="2"/>
      <c r="R149" s="2"/>
      <c r="S149" s="19"/>
      <c r="T149" s="2"/>
      <c r="V149" s="19"/>
      <c r="Y149" s="19"/>
      <c r="AB149" s="19"/>
      <c r="AE149" s="19"/>
      <c r="AH149" s="19"/>
      <c r="AK149" s="19"/>
      <c r="AN149" s="19"/>
      <c r="AQ149" s="19"/>
      <c r="AT149" s="19"/>
    </row>
    <row r="150" spans="1:46" s="3" customFormat="1" x14ac:dyDescent="0.3">
      <c r="A150" s="15"/>
      <c r="B150" s="19"/>
      <c r="C150" s="19"/>
      <c r="D150" s="19"/>
      <c r="E150" s="19"/>
      <c r="F150" s="19"/>
      <c r="G150" s="19"/>
      <c r="H150" s="19"/>
      <c r="I150" s="2"/>
      <c r="J150" s="19"/>
      <c r="K150" s="2"/>
      <c r="L150" s="2"/>
      <c r="M150" s="19"/>
      <c r="N150" s="2"/>
      <c r="O150" s="2"/>
      <c r="P150" s="19"/>
      <c r="Q150" s="2"/>
      <c r="R150" s="2"/>
      <c r="S150" s="19"/>
      <c r="T150" s="2"/>
      <c r="V150" s="19"/>
      <c r="Y150" s="19"/>
      <c r="AB150" s="19"/>
      <c r="AE150" s="19"/>
      <c r="AH150" s="19"/>
      <c r="AK150" s="19"/>
      <c r="AN150" s="19"/>
      <c r="AQ150" s="19"/>
      <c r="AT150" s="19"/>
    </row>
    <row r="151" spans="1:46" s="3" customFormat="1" x14ac:dyDescent="0.3">
      <c r="A151" s="15"/>
      <c r="B151" s="19"/>
      <c r="C151" s="19"/>
      <c r="D151" s="19"/>
      <c r="E151" s="19"/>
      <c r="F151" s="19"/>
      <c r="G151" s="19"/>
      <c r="H151" s="19"/>
      <c r="I151" s="2"/>
      <c r="J151" s="19"/>
      <c r="K151" s="2"/>
      <c r="L151" s="2"/>
      <c r="M151" s="19"/>
      <c r="N151" s="2"/>
      <c r="O151" s="2"/>
      <c r="P151" s="19"/>
      <c r="Q151" s="2"/>
      <c r="R151" s="2"/>
      <c r="S151" s="19"/>
      <c r="T151" s="2"/>
      <c r="V151" s="19"/>
      <c r="Y151" s="19"/>
      <c r="AB151" s="19"/>
      <c r="AE151" s="19"/>
      <c r="AH151" s="19"/>
      <c r="AK151" s="19"/>
      <c r="AN151" s="19"/>
      <c r="AQ151" s="19"/>
      <c r="AT151" s="19"/>
    </row>
    <row r="152" spans="1:46" s="3" customFormat="1" x14ac:dyDescent="0.3">
      <c r="A152" s="15"/>
      <c r="B152" s="19"/>
      <c r="C152" s="19"/>
      <c r="D152" s="19"/>
      <c r="E152" s="19"/>
      <c r="F152" s="19"/>
      <c r="G152" s="19"/>
      <c r="H152" s="19"/>
      <c r="I152" s="2"/>
      <c r="J152" s="19"/>
      <c r="K152" s="2"/>
      <c r="L152" s="2"/>
      <c r="M152" s="19"/>
      <c r="N152" s="2"/>
      <c r="O152" s="2"/>
      <c r="P152" s="19"/>
      <c r="Q152" s="2"/>
      <c r="R152" s="2"/>
      <c r="S152" s="19"/>
      <c r="T152" s="2"/>
      <c r="V152" s="19"/>
      <c r="Y152" s="19"/>
      <c r="AB152" s="19"/>
      <c r="AE152" s="19"/>
      <c r="AH152" s="19"/>
      <c r="AK152" s="19"/>
      <c r="AN152" s="19"/>
      <c r="AQ152" s="19"/>
      <c r="AT152" s="19"/>
    </row>
    <row r="153" spans="1:46" s="3" customFormat="1" x14ac:dyDescent="0.3">
      <c r="A153" s="15"/>
      <c r="B153" s="19"/>
      <c r="C153" s="19"/>
      <c r="D153" s="19"/>
      <c r="E153" s="19"/>
      <c r="F153" s="19"/>
      <c r="G153" s="19"/>
      <c r="H153" s="19"/>
      <c r="I153" s="2"/>
      <c r="J153" s="19"/>
      <c r="K153" s="2"/>
      <c r="L153" s="2"/>
      <c r="M153" s="19"/>
      <c r="N153" s="2"/>
      <c r="O153" s="2"/>
      <c r="P153" s="19"/>
      <c r="Q153" s="2"/>
      <c r="R153" s="2"/>
      <c r="S153" s="19"/>
      <c r="T153" s="2"/>
      <c r="V153" s="19"/>
      <c r="Y153" s="19"/>
      <c r="AB153" s="19"/>
      <c r="AE153" s="19"/>
      <c r="AH153" s="19"/>
      <c r="AK153" s="19"/>
      <c r="AN153" s="19"/>
      <c r="AQ153" s="19"/>
      <c r="AT153" s="19"/>
    </row>
    <row r="154" spans="1:46" s="3" customFormat="1" x14ac:dyDescent="0.3">
      <c r="A154" s="15"/>
      <c r="B154" s="19"/>
      <c r="C154" s="19"/>
      <c r="D154" s="19"/>
      <c r="E154" s="19"/>
      <c r="F154" s="19"/>
      <c r="G154" s="19"/>
      <c r="H154" s="19"/>
      <c r="I154" s="2"/>
      <c r="J154" s="19"/>
      <c r="K154" s="2"/>
      <c r="L154" s="2"/>
      <c r="M154" s="19"/>
      <c r="N154" s="2"/>
      <c r="O154" s="2"/>
      <c r="P154" s="19"/>
      <c r="Q154" s="2"/>
      <c r="R154" s="2"/>
      <c r="S154" s="19"/>
      <c r="T154" s="2"/>
      <c r="V154" s="19"/>
      <c r="Y154" s="19"/>
      <c r="AB154" s="19"/>
      <c r="AE154" s="19"/>
      <c r="AH154" s="19"/>
      <c r="AK154" s="19"/>
      <c r="AN154" s="19"/>
      <c r="AQ154" s="19"/>
      <c r="AT154" s="19"/>
    </row>
    <row r="155" spans="1:46" s="3" customFormat="1" x14ac:dyDescent="0.3">
      <c r="A155" s="15"/>
      <c r="B155" s="19"/>
      <c r="C155" s="19"/>
      <c r="D155" s="19"/>
      <c r="E155" s="19"/>
      <c r="F155" s="19"/>
      <c r="G155" s="19"/>
      <c r="H155" s="19"/>
      <c r="I155" s="2"/>
      <c r="J155" s="19"/>
      <c r="K155" s="2"/>
      <c r="L155" s="2"/>
      <c r="M155" s="19"/>
      <c r="N155" s="2"/>
      <c r="O155" s="2"/>
      <c r="P155" s="19"/>
      <c r="Q155" s="2"/>
      <c r="R155" s="2"/>
      <c r="S155" s="19"/>
      <c r="T155" s="2"/>
      <c r="V155" s="19"/>
      <c r="Y155" s="19"/>
      <c r="AB155" s="19"/>
      <c r="AE155" s="19"/>
      <c r="AH155" s="19"/>
      <c r="AK155" s="19"/>
      <c r="AN155" s="19"/>
      <c r="AQ155" s="19"/>
      <c r="AT155" s="19"/>
    </row>
    <row r="156" spans="1:46" s="3" customFormat="1" x14ac:dyDescent="0.3">
      <c r="A156" s="15"/>
      <c r="B156" s="19"/>
      <c r="C156" s="19"/>
      <c r="D156" s="19"/>
      <c r="E156" s="19"/>
      <c r="F156" s="19"/>
      <c r="G156" s="19"/>
      <c r="H156" s="19"/>
      <c r="I156" s="2"/>
      <c r="J156" s="19"/>
      <c r="K156" s="2"/>
      <c r="L156" s="2"/>
      <c r="M156" s="19"/>
      <c r="N156" s="2"/>
      <c r="O156" s="2"/>
      <c r="P156" s="19"/>
      <c r="Q156" s="2"/>
      <c r="R156" s="2"/>
      <c r="S156" s="19"/>
      <c r="T156" s="2"/>
      <c r="V156" s="19"/>
      <c r="Y156" s="19"/>
      <c r="AB156" s="19"/>
      <c r="AE156" s="19"/>
      <c r="AH156" s="19"/>
      <c r="AK156" s="19"/>
      <c r="AN156" s="19"/>
      <c r="AQ156" s="19"/>
      <c r="AT156" s="19"/>
    </row>
    <row r="157" spans="1:46" s="3" customFormat="1" x14ac:dyDescent="0.3">
      <c r="A157" s="15"/>
      <c r="B157" s="19"/>
      <c r="C157" s="19"/>
      <c r="D157" s="19"/>
      <c r="E157" s="19"/>
      <c r="F157" s="19"/>
      <c r="G157" s="19"/>
      <c r="H157" s="19"/>
      <c r="I157" s="2"/>
      <c r="J157" s="19"/>
      <c r="K157" s="2"/>
      <c r="L157" s="2"/>
      <c r="M157" s="19"/>
      <c r="N157" s="2"/>
      <c r="O157" s="2"/>
      <c r="P157" s="19"/>
      <c r="Q157" s="2"/>
      <c r="R157" s="2"/>
      <c r="S157" s="19"/>
      <c r="T157" s="2"/>
      <c r="V157" s="19"/>
      <c r="Y157" s="19"/>
      <c r="AB157" s="19"/>
      <c r="AE157" s="19"/>
      <c r="AH157" s="19"/>
      <c r="AK157" s="19"/>
      <c r="AN157" s="19"/>
      <c r="AQ157" s="19"/>
      <c r="AT157" s="19"/>
    </row>
    <row r="158" spans="1:46" s="3" customFormat="1" x14ac:dyDescent="0.3">
      <c r="A158" s="15"/>
      <c r="B158" s="19"/>
      <c r="C158" s="19"/>
      <c r="D158" s="19"/>
      <c r="E158" s="19"/>
      <c r="F158" s="19"/>
      <c r="G158" s="19"/>
      <c r="H158" s="19"/>
      <c r="I158" s="2"/>
      <c r="J158" s="19"/>
      <c r="K158" s="2"/>
      <c r="L158" s="2"/>
      <c r="M158" s="19"/>
      <c r="N158" s="2"/>
      <c r="O158" s="2"/>
      <c r="P158" s="19"/>
      <c r="Q158" s="2"/>
      <c r="R158" s="2"/>
      <c r="S158" s="19"/>
      <c r="T158" s="2"/>
      <c r="V158" s="19"/>
      <c r="Y158" s="19"/>
      <c r="AB158" s="19"/>
      <c r="AE158" s="19"/>
      <c r="AH158" s="19"/>
      <c r="AK158" s="19"/>
      <c r="AN158" s="19"/>
      <c r="AQ158" s="19"/>
      <c r="AT158" s="19"/>
    </row>
    <row r="159" spans="1:46" s="3" customFormat="1" x14ac:dyDescent="0.3">
      <c r="A159" s="15"/>
      <c r="B159" s="19"/>
      <c r="C159" s="19"/>
      <c r="D159" s="19"/>
      <c r="E159" s="19"/>
      <c r="F159" s="19"/>
      <c r="G159" s="19"/>
      <c r="H159" s="19"/>
      <c r="I159" s="2"/>
      <c r="J159" s="19"/>
      <c r="K159" s="2"/>
      <c r="L159" s="2"/>
      <c r="M159" s="19"/>
      <c r="N159" s="2"/>
      <c r="O159" s="2"/>
      <c r="P159" s="19"/>
      <c r="Q159" s="2"/>
      <c r="R159" s="2"/>
      <c r="S159" s="19"/>
      <c r="T159" s="2"/>
      <c r="V159" s="19"/>
      <c r="Y159" s="19"/>
      <c r="AB159" s="19"/>
      <c r="AE159" s="19"/>
      <c r="AH159" s="19"/>
      <c r="AK159" s="19"/>
      <c r="AN159" s="19"/>
      <c r="AQ159" s="19"/>
      <c r="AT159" s="19"/>
    </row>
    <row r="160" spans="1:46" s="3" customFormat="1" x14ac:dyDescent="0.3">
      <c r="A160" s="15"/>
      <c r="B160" s="19"/>
      <c r="C160" s="19"/>
      <c r="D160" s="19"/>
      <c r="E160" s="19"/>
      <c r="F160" s="19"/>
      <c r="G160" s="19"/>
      <c r="H160" s="19"/>
      <c r="I160" s="2"/>
      <c r="J160" s="19"/>
      <c r="K160" s="2"/>
      <c r="L160" s="2"/>
      <c r="M160" s="19"/>
      <c r="N160" s="2"/>
      <c r="O160" s="2"/>
      <c r="P160" s="19"/>
      <c r="Q160" s="2"/>
      <c r="R160" s="2"/>
      <c r="S160" s="19"/>
      <c r="T160" s="2"/>
      <c r="V160" s="19"/>
      <c r="Y160" s="19"/>
      <c r="AB160" s="19"/>
      <c r="AE160" s="19"/>
      <c r="AH160" s="19"/>
      <c r="AK160" s="19"/>
      <c r="AN160" s="19"/>
      <c r="AQ160" s="19"/>
      <c r="AT160" s="19"/>
    </row>
    <row r="161" spans="1:46" s="3" customFormat="1" x14ac:dyDescent="0.3">
      <c r="A161" s="15"/>
      <c r="B161" s="19"/>
      <c r="C161" s="19"/>
      <c r="D161" s="19"/>
      <c r="E161" s="19"/>
      <c r="F161" s="19"/>
      <c r="G161" s="19"/>
      <c r="H161" s="19"/>
      <c r="I161" s="2"/>
      <c r="J161" s="19"/>
      <c r="K161" s="2"/>
      <c r="L161" s="2"/>
      <c r="M161" s="19"/>
      <c r="N161" s="2"/>
      <c r="O161" s="2"/>
      <c r="P161" s="19"/>
      <c r="Q161" s="2"/>
      <c r="R161" s="2"/>
      <c r="S161" s="19"/>
      <c r="T161" s="2"/>
      <c r="V161" s="19"/>
      <c r="Y161" s="19"/>
      <c r="AB161" s="19"/>
      <c r="AE161" s="19"/>
      <c r="AH161" s="19"/>
      <c r="AK161" s="19"/>
      <c r="AN161" s="19"/>
      <c r="AQ161" s="19"/>
      <c r="AT161" s="19"/>
    </row>
    <row r="162" spans="1:46" s="3" customFormat="1" x14ac:dyDescent="0.3">
      <c r="A162" s="15"/>
      <c r="B162" s="19"/>
      <c r="C162" s="19"/>
      <c r="D162" s="19"/>
      <c r="E162" s="19"/>
      <c r="F162" s="19"/>
      <c r="G162" s="19"/>
      <c r="H162" s="19"/>
      <c r="I162" s="2"/>
      <c r="J162" s="19"/>
      <c r="K162" s="2"/>
      <c r="L162" s="2"/>
      <c r="M162" s="19"/>
      <c r="N162" s="2"/>
      <c r="O162" s="2"/>
      <c r="P162" s="19"/>
      <c r="Q162" s="2"/>
      <c r="R162" s="2"/>
      <c r="S162" s="19"/>
      <c r="T162" s="2"/>
      <c r="V162" s="19"/>
      <c r="Y162" s="19"/>
      <c r="AB162" s="19"/>
      <c r="AE162" s="19"/>
      <c r="AH162" s="19"/>
      <c r="AK162" s="19"/>
      <c r="AN162" s="19"/>
      <c r="AQ162" s="19"/>
      <c r="AT162" s="19"/>
    </row>
    <row r="163" spans="1:46" s="3" customFormat="1" x14ac:dyDescent="0.3">
      <c r="A163" s="15"/>
      <c r="B163" s="19"/>
      <c r="C163" s="19"/>
      <c r="D163" s="19"/>
      <c r="E163" s="19"/>
      <c r="F163" s="19"/>
      <c r="G163" s="19"/>
      <c r="H163" s="19"/>
      <c r="I163" s="2"/>
      <c r="J163" s="19"/>
      <c r="K163" s="2"/>
      <c r="L163" s="2"/>
      <c r="M163" s="19"/>
      <c r="N163" s="2"/>
      <c r="O163" s="2"/>
      <c r="P163" s="19"/>
      <c r="Q163" s="2"/>
      <c r="R163" s="2"/>
      <c r="S163" s="19"/>
      <c r="T163" s="2"/>
      <c r="V163" s="19"/>
      <c r="Y163" s="19"/>
      <c r="AB163" s="19"/>
      <c r="AE163" s="19"/>
      <c r="AH163" s="19"/>
      <c r="AK163" s="19"/>
      <c r="AN163" s="19"/>
      <c r="AQ163" s="19"/>
      <c r="AT163" s="19"/>
    </row>
    <row r="164" spans="1:46" s="3" customFormat="1" x14ac:dyDescent="0.3">
      <c r="A164" s="15"/>
      <c r="B164" s="19"/>
      <c r="C164" s="19"/>
      <c r="D164" s="19"/>
      <c r="E164" s="19"/>
      <c r="F164" s="19"/>
      <c r="G164" s="19"/>
      <c r="H164" s="19"/>
      <c r="I164" s="2"/>
      <c r="J164" s="19"/>
      <c r="K164" s="2"/>
      <c r="L164" s="2"/>
      <c r="M164" s="19"/>
      <c r="N164" s="2"/>
      <c r="O164" s="2"/>
      <c r="P164" s="19"/>
      <c r="Q164" s="2"/>
      <c r="R164" s="2"/>
      <c r="S164" s="19"/>
      <c r="T164" s="2"/>
      <c r="V164" s="19"/>
      <c r="Y164" s="19"/>
      <c r="AB164" s="19"/>
      <c r="AE164" s="19"/>
      <c r="AH164" s="19"/>
      <c r="AK164" s="19"/>
      <c r="AN164" s="19"/>
      <c r="AQ164" s="19"/>
      <c r="AT164" s="19"/>
    </row>
    <row r="165" spans="1:46" s="3" customFormat="1" x14ac:dyDescent="0.3">
      <c r="A165" s="15"/>
      <c r="B165" s="19"/>
      <c r="C165" s="19"/>
      <c r="D165" s="19"/>
      <c r="E165" s="19"/>
      <c r="F165" s="19"/>
      <c r="G165" s="19"/>
      <c r="H165" s="19"/>
      <c r="I165" s="2"/>
      <c r="J165" s="19"/>
      <c r="K165" s="2"/>
      <c r="L165" s="2"/>
      <c r="M165" s="19"/>
      <c r="N165" s="2"/>
      <c r="O165" s="2"/>
      <c r="P165" s="19"/>
      <c r="Q165" s="2"/>
      <c r="R165" s="2"/>
      <c r="S165" s="19"/>
      <c r="T165" s="2"/>
      <c r="V165" s="19"/>
      <c r="Y165" s="19"/>
      <c r="AB165" s="19"/>
      <c r="AE165" s="19"/>
      <c r="AH165" s="19"/>
      <c r="AK165" s="19"/>
      <c r="AN165" s="19"/>
      <c r="AQ165" s="19"/>
      <c r="AT165" s="19"/>
    </row>
    <row r="166" spans="1:46" s="3" customFormat="1" x14ac:dyDescent="0.3">
      <c r="A166" s="15"/>
      <c r="B166" s="19"/>
      <c r="C166" s="19"/>
      <c r="D166" s="19"/>
      <c r="E166" s="19"/>
      <c r="F166" s="19"/>
      <c r="G166" s="19"/>
      <c r="H166" s="19"/>
      <c r="I166" s="2"/>
      <c r="J166" s="19"/>
      <c r="K166" s="2"/>
      <c r="L166" s="2"/>
      <c r="M166" s="19"/>
      <c r="N166" s="2"/>
      <c r="O166" s="2"/>
      <c r="P166" s="19"/>
      <c r="Q166" s="2"/>
      <c r="R166" s="2"/>
      <c r="S166" s="19"/>
      <c r="T166" s="2"/>
      <c r="V166" s="19"/>
      <c r="Y166" s="19"/>
      <c r="AB166" s="19"/>
      <c r="AE166" s="19"/>
      <c r="AH166" s="19"/>
      <c r="AK166" s="19"/>
      <c r="AN166" s="19"/>
      <c r="AQ166" s="19"/>
      <c r="AT166" s="19"/>
    </row>
    <row r="167" spans="1:46" s="3" customFormat="1" x14ac:dyDescent="0.3">
      <c r="A167" s="15"/>
      <c r="B167" s="19"/>
      <c r="C167" s="19"/>
      <c r="D167" s="19"/>
      <c r="E167" s="19"/>
      <c r="F167" s="19"/>
      <c r="G167" s="19"/>
      <c r="H167" s="19"/>
      <c r="I167" s="2"/>
      <c r="J167" s="19"/>
      <c r="K167" s="2"/>
      <c r="L167" s="2"/>
      <c r="M167" s="19"/>
      <c r="N167" s="2"/>
      <c r="O167" s="2"/>
      <c r="P167" s="19"/>
      <c r="Q167" s="2"/>
      <c r="R167" s="2"/>
      <c r="S167" s="19"/>
      <c r="T167" s="2"/>
      <c r="V167" s="19"/>
      <c r="Y167" s="19"/>
      <c r="AB167" s="19"/>
      <c r="AE167" s="19"/>
      <c r="AH167" s="19"/>
      <c r="AK167" s="19"/>
      <c r="AN167" s="19"/>
      <c r="AQ167" s="19"/>
      <c r="AT167" s="19"/>
    </row>
    <row r="168" spans="1:46" s="3" customFormat="1" x14ac:dyDescent="0.3">
      <c r="A168" s="15"/>
      <c r="B168" s="19"/>
      <c r="C168" s="19"/>
      <c r="D168" s="19"/>
      <c r="E168" s="19"/>
      <c r="F168" s="19"/>
      <c r="G168" s="19"/>
      <c r="H168" s="19"/>
      <c r="I168" s="2"/>
      <c r="J168" s="19"/>
      <c r="K168" s="2"/>
      <c r="L168" s="2"/>
      <c r="M168" s="19"/>
      <c r="N168" s="2"/>
      <c r="O168" s="2"/>
      <c r="P168" s="19"/>
      <c r="Q168" s="2"/>
      <c r="R168" s="2"/>
      <c r="S168" s="19"/>
      <c r="T168" s="2"/>
      <c r="V168" s="19"/>
      <c r="Y168" s="19"/>
      <c r="AB168" s="19"/>
      <c r="AE168" s="19"/>
      <c r="AH168" s="19"/>
      <c r="AK168" s="19"/>
      <c r="AN168" s="19"/>
      <c r="AQ168" s="19"/>
      <c r="AT168" s="19"/>
    </row>
    <row r="169" spans="1:46" s="3" customFormat="1" x14ac:dyDescent="0.3">
      <c r="A169" s="15"/>
      <c r="B169" s="19"/>
      <c r="C169" s="19"/>
      <c r="D169" s="19"/>
      <c r="E169" s="19"/>
      <c r="F169" s="19"/>
      <c r="G169" s="19"/>
      <c r="H169" s="19"/>
      <c r="I169" s="2"/>
      <c r="J169" s="19"/>
      <c r="K169" s="2"/>
      <c r="L169" s="2"/>
      <c r="M169" s="19"/>
      <c r="N169" s="2"/>
      <c r="O169" s="2"/>
      <c r="P169" s="19"/>
      <c r="Q169" s="2"/>
      <c r="R169" s="2"/>
      <c r="S169" s="19"/>
      <c r="T169" s="2"/>
      <c r="V169" s="19"/>
      <c r="Y169" s="19"/>
      <c r="AB169" s="19"/>
      <c r="AE169" s="19"/>
      <c r="AH169" s="19"/>
      <c r="AK169" s="19"/>
      <c r="AN169" s="19"/>
      <c r="AQ169" s="19"/>
      <c r="AT169" s="19"/>
    </row>
    <row r="170" spans="1:46" s="3" customFormat="1" x14ac:dyDescent="0.3">
      <c r="A170" s="15"/>
      <c r="B170" s="19"/>
      <c r="C170" s="19"/>
      <c r="D170" s="19"/>
      <c r="E170" s="19"/>
      <c r="F170" s="19"/>
      <c r="G170" s="19"/>
      <c r="H170" s="19"/>
      <c r="I170" s="2"/>
      <c r="J170" s="19"/>
      <c r="K170" s="2"/>
      <c r="L170" s="2"/>
      <c r="M170" s="19"/>
      <c r="N170" s="2"/>
      <c r="O170" s="2"/>
      <c r="P170" s="19"/>
      <c r="Q170" s="2"/>
      <c r="R170" s="2"/>
      <c r="S170" s="19"/>
      <c r="T170" s="2"/>
      <c r="V170" s="19"/>
      <c r="Y170" s="19"/>
      <c r="AB170" s="19"/>
      <c r="AE170" s="19"/>
      <c r="AH170" s="19"/>
      <c r="AK170" s="19"/>
      <c r="AN170" s="19"/>
      <c r="AQ170" s="19"/>
      <c r="AT170" s="19"/>
    </row>
    <row r="171" spans="1:46" s="3" customFormat="1" x14ac:dyDescent="0.3">
      <c r="A171" s="15"/>
      <c r="B171" s="19"/>
      <c r="C171" s="19"/>
      <c r="D171" s="19"/>
      <c r="E171" s="19"/>
      <c r="F171" s="19"/>
      <c r="G171" s="19"/>
      <c r="H171" s="19"/>
      <c r="I171" s="2"/>
      <c r="J171" s="19"/>
      <c r="K171" s="2"/>
      <c r="L171" s="2"/>
      <c r="M171" s="19"/>
      <c r="N171" s="2"/>
      <c r="O171" s="2"/>
      <c r="P171" s="19"/>
      <c r="Q171" s="2"/>
      <c r="R171" s="2"/>
      <c r="S171" s="19"/>
      <c r="T171" s="2"/>
      <c r="V171" s="19"/>
      <c r="Y171" s="19"/>
      <c r="AB171" s="19"/>
      <c r="AE171" s="19"/>
      <c r="AH171" s="19"/>
      <c r="AK171" s="19"/>
      <c r="AN171" s="19"/>
      <c r="AQ171" s="19"/>
      <c r="AT171" s="19"/>
    </row>
    <row r="172" spans="1:46" s="3" customFormat="1" x14ac:dyDescent="0.3">
      <c r="A172" s="15"/>
      <c r="B172" s="19"/>
      <c r="C172" s="19"/>
      <c r="D172" s="19"/>
      <c r="E172" s="19"/>
      <c r="F172" s="19"/>
      <c r="G172" s="19"/>
      <c r="H172" s="19"/>
      <c r="I172" s="2"/>
      <c r="J172" s="19"/>
      <c r="K172" s="2"/>
      <c r="L172" s="2"/>
      <c r="M172" s="19"/>
      <c r="N172" s="2"/>
      <c r="O172" s="2"/>
      <c r="P172" s="19"/>
      <c r="Q172" s="2"/>
      <c r="R172" s="2"/>
      <c r="S172" s="19"/>
      <c r="T172" s="2"/>
      <c r="V172" s="19"/>
      <c r="Y172" s="19"/>
      <c r="AB172" s="19"/>
      <c r="AE172" s="19"/>
      <c r="AH172" s="19"/>
      <c r="AK172" s="19"/>
      <c r="AN172" s="19"/>
      <c r="AQ172" s="19"/>
      <c r="AT172" s="19"/>
    </row>
    <row r="173" spans="1:46" s="3" customFormat="1" x14ac:dyDescent="0.3">
      <c r="A173" s="15"/>
      <c r="B173" s="19"/>
      <c r="C173" s="19"/>
      <c r="D173" s="19"/>
      <c r="E173" s="19"/>
      <c r="F173" s="19"/>
      <c r="G173" s="19"/>
      <c r="H173" s="19"/>
      <c r="I173" s="2"/>
      <c r="J173" s="19"/>
      <c r="K173" s="2"/>
      <c r="L173" s="2"/>
      <c r="M173" s="19"/>
      <c r="N173" s="2"/>
      <c r="O173" s="2"/>
      <c r="P173" s="19"/>
      <c r="Q173" s="2"/>
      <c r="R173" s="2"/>
      <c r="S173" s="19"/>
      <c r="T173" s="2"/>
      <c r="V173" s="19"/>
      <c r="Y173" s="19"/>
      <c r="AB173" s="19"/>
      <c r="AE173" s="19"/>
      <c r="AH173" s="19"/>
      <c r="AK173" s="19"/>
      <c r="AN173" s="19"/>
      <c r="AQ173" s="19"/>
      <c r="AT173" s="19"/>
    </row>
    <row r="174" spans="1:46" s="3" customFormat="1" x14ac:dyDescent="0.3">
      <c r="A174" s="15"/>
      <c r="B174" s="19"/>
      <c r="C174" s="19"/>
      <c r="D174" s="19"/>
      <c r="E174" s="19"/>
      <c r="F174" s="19"/>
      <c r="G174" s="19"/>
      <c r="H174" s="19"/>
      <c r="I174" s="2"/>
      <c r="J174" s="19"/>
      <c r="K174" s="2"/>
      <c r="L174" s="2"/>
      <c r="M174" s="19"/>
      <c r="N174" s="2"/>
      <c r="O174" s="2"/>
      <c r="P174" s="19"/>
      <c r="Q174" s="2"/>
      <c r="R174" s="2"/>
      <c r="S174" s="19"/>
      <c r="T174" s="2"/>
      <c r="V174" s="19"/>
      <c r="Y174" s="19"/>
      <c r="AB174" s="19"/>
      <c r="AE174" s="19"/>
      <c r="AH174" s="19"/>
      <c r="AK174" s="19"/>
      <c r="AN174" s="19"/>
      <c r="AQ174" s="19"/>
      <c r="AT174" s="19"/>
    </row>
    <row r="175" spans="1:46" s="3" customFormat="1" x14ac:dyDescent="0.3">
      <c r="A175" s="15"/>
      <c r="B175" s="19"/>
      <c r="C175" s="19"/>
      <c r="D175" s="19"/>
      <c r="E175" s="19"/>
      <c r="F175" s="19"/>
      <c r="G175" s="19"/>
      <c r="H175" s="19"/>
      <c r="I175" s="2"/>
      <c r="J175" s="19"/>
      <c r="K175" s="2"/>
      <c r="L175" s="2"/>
      <c r="M175" s="19"/>
      <c r="N175" s="2"/>
      <c r="O175" s="2"/>
      <c r="P175" s="19"/>
      <c r="Q175" s="2"/>
      <c r="R175" s="2"/>
      <c r="S175" s="19"/>
      <c r="T175" s="2"/>
      <c r="V175" s="19"/>
      <c r="Y175" s="19"/>
      <c r="AB175" s="19"/>
      <c r="AE175" s="19"/>
      <c r="AH175" s="19"/>
      <c r="AK175" s="19"/>
      <c r="AN175" s="19"/>
      <c r="AQ175" s="19"/>
      <c r="AT175" s="19"/>
    </row>
    <row r="176" spans="1:46" s="3" customFormat="1" x14ac:dyDescent="0.3">
      <c r="A176" s="15"/>
      <c r="B176" s="19"/>
      <c r="C176" s="19"/>
      <c r="D176" s="19"/>
      <c r="E176" s="19"/>
      <c r="F176" s="19"/>
      <c r="G176" s="19"/>
      <c r="H176" s="19"/>
      <c r="I176" s="2"/>
      <c r="J176" s="19"/>
      <c r="K176" s="2"/>
      <c r="L176" s="2"/>
      <c r="M176" s="19"/>
      <c r="N176" s="2"/>
      <c r="O176" s="2"/>
      <c r="P176" s="19"/>
      <c r="Q176" s="2"/>
      <c r="R176" s="2"/>
      <c r="S176" s="19"/>
      <c r="T176" s="2"/>
      <c r="V176" s="19"/>
      <c r="Y176" s="19"/>
      <c r="AB176" s="19"/>
      <c r="AE176" s="19"/>
      <c r="AH176" s="19"/>
      <c r="AK176" s="19"/>
      <c r="AN176" s="19"/>
      <c r="AQ176" s="19"/>
      <c r="AT176" s="19"/>
    </row>
    <row r="177" spans="1:46" s="3" customFormat="1" x14ac:dyDescent="0.3">
      <c r="A177" s="15"/>
      <c r="B177" s="19"/>
      <c r="C177" s="19"/>
      <c r="D177" s="19"/>
      <c r="E177" s="19"/>
      <c r="F177" s="19"/>
      <c r="G177" s="19"/>
      <c r="H177" s="19"/>
      <c r="I177" s="2"/>
      <c r="J177" s="19"/>
      <c r="K177" s="2"/>
      <c r="L177" s="2"/>
      <c r="M177" s="19"/>
      <c r="N177" s="2"/>
      <c r="O177" s="2"/>
      <c r="P177" s="19"/>
      <c r="Q177" s="2"/>
      <c r="R177" s="2"/>
      <c r="S177" s="19"/>
      <c r="T177" s="2"/>
      <c r="V177" s="19"/>
      <c r="Y177" s="19"/>
      <c r="AB177" s="19"/>
      <c r="AE177" s="19"/>
      <c r="AH177" s="19"/>
      <c r="AK177" s="19"/>
      <c r="AN177" s="19"/>
      <c r="AQ177" s="19"/>
      <c r="AT177" s="19"/>
    </row>
    <row r="178" spans="1:46" s="3" customFormat="1" x14ac:dyDescent="0.3">
      <c r="A178" s="15"/>
      <c r="B178" s="19"/>
      <c r="C178" s="19"/>
      <c r="D178" s="19"/>
      <c r="E178" s="19"/>
      <c r="F178" s="19"/>
      <c r="G178" s="19"/>
      <c r="H178" s="19"/>
      <c r="I178" s="2"/>
      <c r="J178" s="19"/>
      <c r="K178" s="2"/>
      <c r="L178" s="2"/>
      <c r="M178" s="19"/>
      <c r="N178" s="2"/>
      <c r="O178" s="2"/>
      <c r="P178" s="19"/>
      <c r="Q178" s="2"/>
      <c r="R178" s="2"/>
      <c r="S178" s="19"/>
      <c r="T178" s="2"/>
      <c r="V178" s="19"/>
      <c r="Y178" s="19"/>
      <c r="AB178" s="19"/>
      <c r="AE178" s="19"/>
      <c r="AH178" s="19"/>
      <c r="AK178" s="19"/>
      <c r="AN178" s="19"/>
      <c r="AQ178" s="19"/>
      <c r="AT178" s="19"/>
    </row>
    <row r="179" spans="1:46" s="3" customFormat="1" x14ac:dyDescent="0.3">
      <c r="A179" s="15"/>
      <c r="B179" s="19"/>
      <c r="C179" s="19"/>
      <c r="D179" s="19"/>
      <c r="E179" s="19"/>
      <c r="F179" s="19"/>
      <c r="G179" s="19"/>
      <c r="H179" s="19"/>
      <c r="I179" s="2"/>
      <c r="J179" s="19"/>
      <c r="K179" s="2"/>
      <c r="L179" s="2"/>
      <c r="M179" s="19"/>
      <c r="N179" s="2"/>
      <c r="O179" s="2"/>
      <c r="P179" s="19"/>
      <c r="Q179" s="2"/>
      <c r="R179" s="2"/>
      <c r="S179" s="19"/>
      <c r="T179" s="2"/>
      <c r="V179" s="19"/>
      <c r="Y179" s="19"/>
      <c r="AB179" s="19"/>
      <c r="AE179" s="19"/>
      <c r="AH179" s="19"/>
      <c r="AK179" s="19"/>
      <c r="AN179" s="19"/>
      <c r="AQ179" s="19"/>
      <c r="AT179" s="19"/>
    </row>
    <row r="180" spans="1:46" s="3" customFormat="1" x14ac:dyDescent="0.3">
      <c r="A180" s="15"/>
      <c r="B180" s="19"/>
      <c r="C180" s="19"/>
      <c r="D180" s="19"/>
      <c r="E180" s="19"/>
      <c r="F180" s="19"/>
      <c r="G180" s="19"/>
      <c r="H180" s="19"/>
      <c r="I180" s="2"/>
      <c r="J180" s="19"/>
      <c r="K180" s="2"/>
      <c r="L180" s="2"/>
      <c r="M180" s="19"/>
      <c r="N180" s="2"/>
      <c r="O180" s="2"/>
      <c r="P180" s="19"/>
      <c r="Q180" s="2"/>
      <c r="R180" s="2"/>
      <c r="S180" s="19"/>
      <c r="T180" s="2"/>
      <c r="V180" s="19"/>
      <c r="Y180" s="19"/>
      <c r="AB180" s="19"/>
      <c r="AE180" s="19"/>
      <c r="AH180" s="19"/>
      <c r="AK180" s="19"/>
      <c r="AN180" s="19"/>
      <c r="AQ180" s="19"/>
      <c r="AT180" s="19"/>
    </row>
    <row r="181" spans="1:46" s="3" customFormat="1" x14ac:dyDescent="0.3">
      <c r="A181" s="15"/>
      <c r="B181" s="19"/>
      <c r="C181" s="19"/>
      <c r="D181" s="19"/>
      <c r="E181" s="19"/>
      <c r="F181" s="19"/>
      <c r="G181" s="19"/>
      <c r="H181" s="19"/>
      <c r="I181" s="2"/>
      <c r="J181" s="19"/>
      <c r="K181" s="2"/>
      <c r="L181" s="2"/>
      <c r="M181" s="19"/>
      <c r="N181" s="2"/>
      <c r="O181" s="2"/>
      <c r="P181" s="19"/>
      <c r="Q181" s="2"/>
      <c r="R181" s="2"/>
      <c r="S181" s="19"/>
      <c r="T181" s="2"/>
      <c r="V181" s="19"/>
      <c r="Y181" s="19"/>
      <c r="AB181" s="19"/>
      <c r="AE181" s="19"/>
      <c r="AH181" s="19"/>
      <c r="AK181" s="19"/>
      <c r="AN181" s="19"/>
      <c r="AQ181" s="19"/>
      <c r="AT181" s="19"/>
    </row>
    <row r="182" spans="1:46" s="3" customFormat="1" x14ac:dyDescent="0.3">
      <c r="A182" s="15"/>
      <c r="B182" s="19"/>
      <c r="C182" s="19"/>
      <c r="D182" s="19"/>
      <c r="E182" s="19"/>
      <c r="F182" s="19"/>
      <c r="G182" s="19"/>
      <c r="H182" s="19"/>
      <c r="I182" s="2"/>
      <c r="J182" s="19"/>
      <c r="K182" s="2"/>
      <c r="L182" s="2"/>
      <c r="M182" s="19"/>
      <c r="N182" s="2"/>
      <c r="O182" s="2"/>
      <c r="P182" s="19"/>
      <c r="Q182" s="2"/>
      <c r="R182" s="2"/>
      <c r="S182" s="19"/>
      <c r="T182" s="2"/>
      <c r="V182" s="19"/>
      <c r="Y182" s="19"/>
      <c r="AB182" s="19"/>
      <c r="AE182" s="19"/>
      <c r="AH182" s="19"/>
      <c r="AK182" s="19"/>
      <c r="AN182" s="19"/>
      <c r="AQ182" s="19"/>
      <c r="AT182" s="19"/>
    </row>
    <row r="183" spans="1:46" s="3" customFormat="1" x14ac:dyDescent="0.3">
      <c r="A183" s="15"/>
      <c r="B183" s="19"/>
      <c r="C183" s="19"/>
      <c r="D183" s="19"/>
      <c r="E183" s="19"/>
      <c r="F183" s="19"/>
      <c r="G183" s="19"/>
      <c r="H183" s="19"/>
      <c r="I183" s="2"/>
      <c r="J183" s="19"/>
      <c r="K183" s="2"/>
      <c r="L183" s="2"/>
      <c r="M183" s="19"/>
      <c r="N183" s="2"/>
      <c r="O183" s="2"/>
      <c r="P183" s="19"/>
      <c r="Q183" s="2"/>
      <c r="R183" s="2"/>
      <c r="S183" s="19"/>
      <c r="T183" s="2"/>
      <c r="V183" s="19"/>
      <c r="Y183" s="19"/>
      <c r="AB183" s="19"/>
      <c r="AE183" s="19"/>
      <c r="AH183" s="19"/>
      <c r="AK183" s="19"/>
      <c r="AN183" s="19"/>
      <c r="AQ183" s="19"/>
      <c r="AT183" s="19"/>
    </row>
    <row r="184" spans="1:46" s="3" customFormat="1" x14ac:dyDescent="0.3">
      <c r="A184" s="15"/>
      <c r="B184" s="19"/>
      <c r="C184" s="19"/>
      <c r="D184" s="19"/>
      <c r="E184" s="19"/>
      <c r="F184" s="19"/>
      <c r="G184" s="19"/>
      <c r="H184" s="19"/>
      <c r="I184" s="2"/>
      <c r="J184" s="19"/>
      <c r="K184" s="2"/>
      <c r="L184" s="2"/>
      <c r="M184" s="19"/>
      <c r="N184" s="2"/>
      <c r="O184" s="2"/>
      <c r="P184" s="19"/>
      <c r="Q184" s="2"/>
      <c r="R184" s="2"/>
      <c r="S184" s="19"/>
      <c r="T184" s="2"/>
      <c r="V184" s="19"/>
      <c r="Y184" s="19"/>
      <c r="AB184" s="19"/>
      <c r="AE184" s="19"/>
      <c r="AH184" s="19"/>
      <c r="AK184" s="19"/>
      <c r="AN184" s="19"/>
      <c r="AQ184" s="19"/>
      <c r="AT184" s="19"/>
    </row>
    <row r="185" spans="1:46" s="3" customFormat="1" x14ac:dyDescent="0.3">
      <c r="A185" s="15"/>
      <c r="B185" s="19"/>
      <c r="C185" s="19"/>
      <c r="D185" s="19"/>
      <c r="E185" s="19"/>
      <c r="F185" s="19"/>
      <c r="G185" s="19"/>
      <c r="H185" s="19"/>
      <c r="I185" s="2"/>
      <c r="J185" s="19"/>
      <c r="K185" s="2"/>
      <c r="L185" s="2"/>
      <c r="M185" s="19"/>
      <c r="N185" s="2"/>
      <c r="O185" s="2"/>
      <c r="P185" s="19"/>
      <c r="Q185" s="2"/>
      <c r="R185" s="2"/>
      <c r="S185" s="19"/>
      <c r="T185" s="2"/>
      <c r="V185" s="19"/>
      <c r="Y185" s="19"/>
      <c r="AB185" s="19"/>
      <c r="AE185" s="19"/>
      <c r="AH185" s="19"/>
      <c r="AK185" s="19"/>
      <c r="AN185" s="19"/>
      <c r="AQ185" s="19"/>
      <c r="AT185" s="19"/>
    </row>
    <row r="186" spans="1:46" s="3" customFormat="1" x14ac:dyDescent="0.3">
      <c r="A186" s="15"/>
      <c r="B186" s="19"/>
      <c r="C186" s="19"/>
      <c r="D186" s="19"/>
      <c r="E186" s="19"/>
      <c r="F186" s="19"/>
      <c r="G186" s="19"/>
      <c r="H186" s="19"/>
      <c r="I186" s="2"/>
      <c r="J186" s="19"/>
      <c r="K186" s="2"/>
      <c r="L186" s="2"/>
      <c r="M186" s="19"/>
      <c r="N186" s="2"/>
      <c r="O186" s="2"/>
      <c r="P186" s="19"/>
      <c r="Q186" s="2"/>
      <c r="R186" s="2"/>
      <c r="S186" s="19"/>
      <c r="T186" s="2"/>
      <c r="V186" s="19"/>
      <c r="Y186" s="19"/>
      <c r="AB186" s="19"/>
      <c r="AE186" s="19"/>
      <c r="AH186" s="19"/>
      <c r="AK186" s="19"/>
      <c r="AN186" s="19"/>
      <c r="AQ186" s="19"/>
      <c r="AT186" s="19"/>
    </row>
    <row r="187" spans="1:46" s="3" customFormat="1" x14ac:dyDescent="0.3">
      <c r="A187" s="15"/>
      <c r="B187" s="19"/>
      <c r="C187" s="19"/>
      <c r="D187" s="19"/>
      <c r="E187" s="19"/>
      <c r="F187" s="19"/>
      <c r="G187" s="19"/>
      <c r="H187" s="19"/>
      <c r="I187" s="2"/>
      <c r="J187" s="19"/>
      <c r="K187" s="2"/>
      <c r="L187" s="2"/>
      <c r="M187" s="19"/>
      <c r="N187" s="2"/>
      <c r="O187" s="2"/>
      <c r="P187" s="19"/>
      <c r="Q187" s="2"/>
      <c r="R187" s="2"/>
      <c r="S187" s="19"/>
      <c r="T187" s="2"/>
      <c r="V187" s="19"/>
      <c r="Y187" s="19"/>
      <c r="AB187" s="19"/>
      <c r="AE187" s="19"/>
      <c r="AH187" s="19"/>
      <c r="AK187" s="19"/>
      <c r="AN187" s="19"/>
      <c r="AQ187" s="19"/>
      <c r="AT187" s="19"/>
    </row>
    <row r="188" spans="1:46" s="3" customFormat="1" x14ac:dyDescent="0.3">
      <c r="A188" s="15"/>
      <c r="B188" s="19"/>
      <c r="C188" s="19"/>
      <c r="D188" s="19"/>
      <c r="E188" s="19"/>
      <c r="F188" s="19"/>
      <c r="G188" s="19"/>
      <c r="H188" s="19"/>
      <c r="I188" s="2"/>
      <c r="J188" s="19"/>
      <c r="K188" s="2"/>
      <c r="L188" s="2"/>
      <c r="M188" s="19"/>
      <c r="N188" s="2"/>
      <c r="O188" s="2"/>
      <c r="P188" s="19"/>
      <c r="Q188" s="2"/>
      <c r="R188" s="2"/>
      <c r="S188" s="19"/>
      <c r="T188" s="2"/>
      <c r="V188" s="19"/>
      <c r="Y188" s="19"/>
      <c r="AB188" s="19"/>
      <c r="AE188" s="19"/>
      <c r="AH188" s="19"/>
      <c r="AK188" s="19"/>
      <c r="AN188" s="19"/>
      <c r="AQ188" s="19"/>
      <c r="AT188" s="19"/>
    </row>
    <row r="189" spans="1:46" s="3" customFormat="1" x14ac:dyDescent="0.3">
      <c r="A189" s="15"/>
      <c r="B189" s="19"/>
      <c r="C189" s="19"/>
      <c r="D189" s="19"/>
      <c r="E189" s="19"/>
      <c r="F189" s="19"/>
      <c r="G189" s="19"/>
      <c r="H189" s="19"/>
      <c r="I189" s="2"/>
      <c r="J189" s="19"/>
      <c r="K189" s="2"/>
      <c r="L189" s="2"/>
      <c r="M189" s="19"/>
      <c r="N189" s="2"/>
      <c r="O189" s="2"/>
      <c r="P189" s="19"/>
      <c r="Q189" s="2"/>
      <c r="R189" s="2"/>
      <c r="S189" s="19"/>
      <c r="T189" s="2"/>
      <c r="V189" s="19"/>
      <c r="Y189" s="19"/>
      <c r="AB189" s="19"/>
      <c r="AE189" s="19"/>
      <c r="AH189" s="19"/>
      <c r="AK189" s="19"/>
      <c r="AN189" s="19"/>
      <c r="AQ189" s="19"/>
      <c r="AT189" s="19"/>
    </row>
    <row r="190" spans="1:46" s="3" customFormat="1" x14ac:dyDescent="0.3">
      <c r="A190" s="15"/>
      <c r="B190" s="19"/>
      <c r="C190" s="19"/>
      <c r="D190" s="19"/>
      <c r="E190" s="19"/>
      <c r="F190" s="19"/>
      <c r="G190" s="19"/>
      <c r="H190" s="19"/>
      <c r="I190" s="2"/>
      <c r="J190" s="19"/>
      <c r="K190" s="2"/>
      <c r="L190" s="2"/>
      <c r="M190" s="19"/>
      <c r="N190" s="2"/>
      <c r="O190" s="2"/>
      <c r="P190" s="19"/>
      <c r="Q190" s="2"/>
      <c r="R190" s="2"/>
      <c r="S190" s="19"/>
      <c r="T190" s="2"/>
      <c r="V190" s="19"/>
      <c r="Y190" s="19"/>
      <c r="AB190" s="19"/>
      <c r="AE190" s="19"/>
      <c r="AH190" s="19"/>
      <c r="AK190" s="19"/>
      <c r="AN190" s="19"/>
      <c r="AQ190" s="19"/>
      <c r="AT190" s="19"/>
    </row>
    <row r="191" spans="1:46" s="3" customFormat="1" x14ac:dyDescent="0.3">
      <c r="A191" s="15"/>
      <c r="B191" s="19"/>
      <c r="C191" s="19"/>
      <c r="D191" s="19"/>
      <c r="E191" s="19"/>
      <c r="F191" s="19"/>
      <c r="G191" s="19"/>
      <c r="H191" s="19"/>
      <c r="I191" s="2"/>
      <c r="J191" s="19"/>
      <c r="K191" s="2"/>
      <c r="L191" s="2"/>
      <c r="M191" s="19"/>
      <c r="N191" s="2"/>
      <c r="O191" s="2"/>
      <c r="P191" s="19"/>
      <c r="Q191" s="2"/>
      <c r="R191" s="2"/>
      <c r="S191" s="19"/>
      <c r="T191" s="2"/>
      <c r="V191" s="19"/>
      <c r="Y191" s="19"/>
      <c r="AB191" s="19"/>
      <c r="AE191" s="19"/>
      <c r="AH191" s="19"/>
      <c r="AK191" s="19"/>
      <c r="AN191" s="19"/>
      <c r="AQ191" s="19"/>
      <c r="AT191" s="19"/>
    </row>
    <row r="192" spans="1:46" s="3" customFormat="1" x14ac:dyDescent="0.3">
      <c r="A192" s="15"/>
      <c r="B192" s="19"/>
      <c r="C192" s="19"/>
      <c r="D192" s="19"/>
      <c r="E192" s="19"/>
      <c r="F192" s="19"/>
      <c r="G192" s="19"/>
      <c r="H192" s="19"/>
      <c r="I192" s="2"/>
      <c r="J192" s="19"/>
      <c r="K192" s="2"/>
      <c r="L192" s="2"/>
      <c r="M192" s="19"/>
      <c r="N192" s="2"/>
      <c r="O192" s="2"/>
      <c r="P192" s="19"/>
      <c r="Q192" s="2"/>
      <c r="R192" s="2"/>
      <c r="S192" s="19"/>
      <c r="T192" s="2"/>
      <c r="V192" s="19"/>
      <c r="Y192" s="19"/>
      <c r="AB192" s="19"/>
      <c r="AE192" s="19"/>
      <c r="AH192" s="19"/>
      <c r="AK192" s="19"/>
      <c r="AN192" s="19"/>
      <c r="AQ192" s="19"/>
      <c r="AT192" s="19"/>
    </row>
    <row r="193" spans="1:46" s="3" customFormat="1" x14ac:dyDescent="0.3">
      <c r="A193" s="15"/>
      <c r="B193" s="19"/>
      <c r="C193" s="19"/>
      <c r="D193" s="19"/>
      <c r="E193" s="19"/>
      <c r="F193" s="19"/>
      <c r="G193" s="19"/>
      <c r="H193" s="19"/>
      <c r="I193" s="2"/>
      <c r="J193" s="19"/>
      <c r="K193" s="2"/>
      <c r="L193" s="2"/>
      <c r="M193" s="19"/>
      <c r="N193" s="2"/>
      <c r="O193" s="2"/>
      <c r="P193" s="19"/>
      <c r="Q193" s="2"/>
      <c r="R193" s="2"/>
      <c r="S193" s="19"/>
      <c r="T193" s="2"/>
      <c r="V193" s="19"/>
      <c r="Y193" s="19"/>
      <c r="AB193" s="19"/>
      <c r="AE193" s="19"/>
      <c r="AH193" s="19"/>
      <c r="AK193" s="19"/>
      <c r="AN193" s="19"/>
      <c r="AQ193" s="19"/>
      <c r="AT193" s="19"/>
    </row>
    <row r="194" spans="1:46" s="3" customFormat="1" x14ac:dyDescent="0.3">
      <c r="A194" s="15"/>
      <c r="B194" s="19"/>
      <c r="C194" s="19"/>
      <c r="D194" s="19"/>
      <c r="E194" s="19"/>
      <c r="F194" s="19"/>
      <c r="G194" s="19"/>
      <c r="H194" s="19"/>
      <c r="I194" s="2"/>
      <c r="J194" s="19"/>
      <c r="K194" s="2"/>
      <c r="L194" s="2"/>
      <c r="M194" s="19"/>
      <c r="N194" s="2"/>
      <c r="O194" s="2"/>
      <c r="P194" s="19"/>
      <c r="Q194" s="2"/>
      <c r="R194" s="2"/>
      <c r="S194" s="19"/>
      <c r="T194" s="2"/>
      <c r="V194" s="19"/>
      <c r="Y194" s="19"/>
      <c r="AB194" s="19"/>
      <c r="AE194" s="19"/>
      <c r="AH194" s="19"/>
      <c r="AK194" s="19"/>
      <c r="AN194" s="19"/>
      <c r="AQ194" s="19"/>
      <c r="AT194" s="19"/>
    </row>
    <row r="195" spans="1:46" s="3" customFormat="1" x14ac:dyDescent="0.3">
      <c r="A195" s="15"/>
      <c r="B195" s="19"/>
      <c r="C195" s="19"/>
      <c r="D195" s="19"/>
      <c r="E195" s="19"/>
      <c r="F195" s="19"/>
      <c r="G195" s="19"/>
      <c r="H195" s="19"/>
      <c r="I195" s="1"/>
      <c r="J195" s="19"/>
      <c r="K195" s="1"/>
      <c r="L195" s="1"/>
      <c r="M195" s="19"/>
      <c r="N195" s="1"/>
      <c r="O195" s="1"/>
      <c r="P195" s="19"/>
      <c r="Q195" s="1"/>
      <c r="R195" s="1"/>
      <c r="S195" s="19"/>
      <c r="T195" s="1"/>
      <c r="V195" s="19"/>
      <c r="Y195" s="19"/>
      <c r="AB195" s="19"/>
      <c r="AE195" s="19"/>
      <c r="AH195" s="19"/>
      <c r="AK195" s="19"/>
      <c r="AN195" s="19"/>
      <c r="AQ195" s="19"/>
      <c r="AT195" s="19"/>
    </row>
    <row r="196" spans="1:46" s="3" customFormat="1" x14ac:dyDescent="0.3">
      <c r="A196" s="15"/>
      <c r="B196" s="19"/>
      <c r="C196" s="19"/>
      <c r="D196" s="19"/>
      <c r="E196" s="19"/>
      <c r="F196" s="19"/>
      <c r="G196" s="19"/>
      <c r="H196" s="19"/>
      <c r="I196" s="1"/>
      <c r="J196" s="19"/>
      <c r="K196" s="1"/>
      <c r="L196" s="1"/>
      <c r="M196" s="19"/>
      <c r="N196" s="1"/>
      <c r="O196" s="1"/>
      <c r="P196" s="19"/>
      <c r="Q196" s="1"/>
      <c r="R196" s="1"/>
      <c r="S196" s="19"/>
      <c r="T196" s="1"/>
      <c r="V196" s="19"/>
      <c r="Y196" s="19"/>
      <c r="AB196" s="19"/>
      <c r="AE196" s="19"/>
      <c r="AH196" s="19"/>
      <c r="AK196" s="19"/>
      <c r="AN196" s="19"/>
      <c r="AQ196" s="19"/>
      <c r="AT196" s="19"/>
    </row>
    <row r="197" spans="1:46" s="3" customFormat="1" x14ac:dyDescent="0.3">
      <c r="A197" s="15"/>
      <c r="B197" s="19"/>
      <c r="C197" s="19"/>
      <c r="D197" s="19"/>
      <c r="E197" s="19"/>
      <c r="F197" s="19"/>
      <c r="G197" s="19"/>
      <c r="H197" s="19"/>
      <c r="I197" s="1"/>
      <c r="J197" s="19"/>
      <c r="K197" s="1"/>
      <c r="L197" s="1"/>
      <c r="M197" s="19"/>
      <c r="N197" s="1"/>
      <c r="O197" s="1"/>
      <c r="P197" s="19"/>
      <c r="Q197" s="1"/>
      <c r="R197" s="1"/>
      <c r="S197" s="19"/>
      <c r="T197" s="1"/>
      <c r="V197" s="19"/>
      <c r="Y197" s="19"/>
      <c r="AB197" s="19"/>
      <c r="AE197" s="19"/>
      <c r="AH197" s="19"/>
      <c r="AK197" s="19"/>
      <c r="AN197" s="19"/>
      <c r="AQ197" s="19"/>
      <c r="AT197" s="19"/>
    </row>
    <row r="198" spans="1:46" s="3" customFormat="1" x14ac:dyDescent="0.3">
      <c r="A198" s="15"/>
      <c r="B198" s="19"/>
      <c r="C198" s="19"/>
      <c r="D198" s="19"/>
      <c r="E198" s="19"/>
      <c r="F198" s="19"/>
      <c r="G198" s="19"/>
      <c r="H198" s="19"/>
      <c r="I198" s="1"/>
      <c r="J198" s="19"/>
      <c r="K198" s="1"/>
      <c r="L198" s="1"/>
      <c r="M198" s="19"/>
      <c r="N198" s="1"/>
      <c r="O198" s="1"/>
      <c r="P198" s="19"/>
      <c r="Q198" s="1"/>
      <c r="R198" s="1"/>
      <c r="S198" s="19"/>
      <c r="T198" s="1"/>
      <c r="V198" s="19"/>
      <c r="Y198" s="19"/>
      <c r="AB198" s="19"/>
      <c r="AE198" s="19"/>
      <c r="AH198" s="19"/>
      <c r="AK198" s="19"/>
      <c r="AN198" s="19"/>
      <c r="AQ198" s="19"/>
      <c r="AT198" s="19"/>
    </row>
    <row r="199" spans="1:46" s="3" customFormat="1" x14ac:dyDescent="0.3">
      <c r="A199" s="15"/>
      <c r="B199" s="19"/>
      <c r="C199" s="19"/>
      <c r="D199" s="19"/>
      <c r="E199" s="19"/>
      <c r="F199" s="19"/>
      <c r="G199" s="19"/>
      <c r="H199" s="19"/>
      <c r="I199" s="1"/>
      <c r="J199" s="19"/>
      <c r="K199" s="1"/>
      <c r="L199" s="1"/>
      <c r="M199" s="19"/>
      <c r="N199" s="1"/>
      <c r="O199" s="1"/>
      <c r="P199" s="19"/>
      <c r="Q199" s="1"/>
      <c r="R199" s="1"/>
      <c r="S199" s="19"/>
      <c r="T199" s="1"/>
      <c r="V199" s="19"/>
      <c r="Y199" s="19"/>
      <c r="AB199" s="19"/>
      <c r="AE199" s="19"/>
      <c r="AH199" s="19"/>
      <c r="AK199" s="19"/>
      <c r="AN199" s="19"/>
      <c r="AQ199" s="19"/>
      <c r="AT199" s="19"/>
    </row>
    <row r="200" spans="1:46" s="3" customFormat="1" x14ac:dyDescent="0.3">
      <c r="A200" s="15"/>
      <c r="B200" s="19"/>
      <c r="C200" s="19"/>
      <c r="D200" s="19"/>
      <c r="E200" s="19"/>
      <c r="F200" s="19"/>
      <c r="G200" s="19"/>
      <c r="H200" s="19"/>
      <c r="I200" s="1"/>
      <c r="J200" s="19"/>
      <c r="K200" s="1"/>
      <c r="L200" s="1"/>
      <c r="M200" s="19"/>
      <c r="N200" s="1"/>
      <c r="O200" s="1"/>
      <c r="P200" s="19"/>
      <c r="Q200" s="1"/>
      <c r="R200" s="1"/>
      <c r="S200" s="19"/>
      <c r="T200" s="1"/>
      <c r="V200" s="19"/>
      <c r="Y200" s="19"/>
      <c r="AB200" s="19"/>
      <c r="AE200" s="19"/>
      <c r="AH200" s="19"/>
      <c r="AK200" s="19"/>
      <c r="AN200" s="19"/>
      <c r="AQ200" s="19"/>
      <c r="AT200" s="19"/>
    </row>
    <row r="201" spans="1:46" s="3" customFormat="1" x14ac:dyDescent="0.3">
      <c r="A201" s="15"/>
      <c r="B201" s="19"/>
      <c r="C201" s="19"/>
      <c r="D201" s="19"/>
      <c r="E201" s="19"/>
      <c r="F201" s="19"/>
      <c r="G201" s="19"/>
      <c r="H201" s="19"/>
      <c r="I201" s="1"/>
      <c r="J201" s="19"/>
      <c r="K201" s="1"/>
      <c r="L201" s="1"/>
      <c r="M201" s="19"/>
      <c r="N201" s="1"/>
      <c r="O201" s="1"/>
      <c r="P201" s="19"/>
      <c r="Q201" s="1"/>
      <c r="R201" s="1"/>
      <c r="S201" s="19"/>
      <c r="T201" s="1"/>
      <c r="V201" s="19"/>
      <c r="Y201" s="19"/>
      <c r="AB201" s="19"/>
      <c r="AE201" s="19"/>
      <c r="AH201" s="19"/>
      <c r="AK201" s="19"/>
      <c r="AN201" s="19"/>
      <c r="AQ201" s="19"/>
      <c r="AT201" s="19"/>
    </row>
    <row r="202" spans="1:46" s="3" customFormat="1" x14ac:dyDescent="0.3">
      <c r="A202" s="15"/>
      <c r="B202" s="19"/>
      <c r="C202" s="19"/>
      <c r="D202" s="19"/>
      <c r="E202" s="19"/>
      <c r="F202" s="19"/>
      <c r="G202" s="19"/>
      <c r="H202" s="19"/>
      <c r="I202" s="1"/>
      <c r="J202" s="19"/>
      <c r="K202" s="1"/>
      <c r="L202" s="1"/>
      <c r="M202" s="19"/>
      <c r="N202" s="1"/>
      <c r="O202" s="1"/>
      <c r="P202" s="19"/>
      <c r="Q202" s="1"/>
      <c r="R202" s="1"/>
      <c r="S202" s="19"/>
      <c r="T202" s="1"/>
      <c r="V202" s="19"/>
      <c r="Y202" s="19"/>
      <c r="AB202" s="19"/>
      <c r="AE202" s="19"/>
      <c r="AH202" s="19"/>
      <c r="AK202" s="19"/>
      <c r="AN202" s="19"/>
      <c r="AQ202" s="19"/>
      <c r="AT202" s="19"/>
    </row>
    <row r="203" spans="1:46" s="3" customFormat="1" x14ac:dyDescent="0.3">
      <c r="A203" s="15"/>
      <c r="B203" s="19"/>
      <c r="C203" s="19"/>
      <c r="D203" s="19"/>
      <c r="E203" s="19"/>
      <c r="F203" s="19"/>
      <c r="G203" s="19"/>
      <c r="H203" s="19"/>
      <c r="I203" s="1"/>
      <c r="J203" s="19"/>
      <c r="K203" s="1"/>
      <c r="L203" s="1"/>
      <c r="M203" s="19"/>
      <c r="N203" s="1"/>
      <c r="O203" s="1"/>
      <c r="P203" s="19"/>
      <c r="Q203" s="1"/>
      <c r="R203" s="1"/>
      <c r="S203" s="19"/>
      <c r="T203" s="1"/>
      <c r="V203" s="19"/>
      <c r="Y203" s="19"/>
      <c r="AB203" s="19"/>
      <c r="AE203" s="19"/>
      <c r="AH203" s="19"/>
      <c r="AK203" s="19"/>
      <c r="AN203" s="19"/>
      <c r="AQ203" s="19"/>
      <c r="AT203" s="19"/>
    </row>
    <row r="204" spans="1:46" s="3" customFormat="1" x14ac:dyDescent="0.3">
      <c r="A204" s="15"/>
      <c r="B204" s="19"/>
      <c r="C204" s="19"/>
      <c r="D204" s="19"/>
      <c r="E204" s="19"/>
      <c r="F204" s="19"/>
      <c r="G204" s="19"/>
      <c r="H204" s="19"/>
      <c r="I204" s="1"/>
      <c r="J204" s="19"/>
      <c r="K204" s="1"/>
      <c r="L204" s="1"/>
      <c r="M204" s="19"/>
      <c r="N204" s="1"/>
      <c r="O204" s="1"/>
      <c r="P204" s="19"/>
      <c r="Q204" s="1"/>
      <c r="R204" s="1"/>
      <c r="S204" s="19"/>
      <c r="T204" s="1"/>
      <c r="V204" s="19"/>
      <c r="Y204" s="19"/>
      <c r="AB204" s="19"/>
      <c r="AE204" s="19"/>
      <c r="AH204" s="19"/>
      <c r="AK204" s="19"/>
      <c r="AN204" s="19"/>
      <c r="AQ204" s="19"/>
      <c r="AT204" s="19"/>
    </row>
    <row r="205" spans="1:46" s="3" customFormat="1" x14ac:dyDescent="0.3">
      <c r="A205" s="15"/>
      <c r="B205" s="19"/>
      <c r="C205" s="19"/>
      <c r="D205" s="19"/>
      <c r="E205" s="19"/>
      <c r="F205" s="19"/>
      <c r="G205" s="19"/>
      <c r="H205" s="19"/>
      <c r="I205" s="1"/>
      <c r="J205" s="19"/>
      <c r="K205" s="1"/>
      <c r="L205" s="1"/>
      <c r="M205" s="19"/>
      <c r="N205" s="1"/>
      <c r="O205" s="1"/>
      <c r="P205" s="19"/>
      <c r="Q205" s="1"/>
      <c r="R205" s="1"/>
      <c r="S205" s="19"/>
      <c r="T205" s="1"/>
      <c r="V205" s="19"/>
      <c r="Y205" s="19"/>
      <c r="AB205" s="19"/>
      <c r="AE205" s="19"/>
      <c r="AH205" s="19"/>
      <c r="AK205" s="19"/>
      <c r="AN205" s="19"/>
      <c r="AQ205" s="19"/>
      <c r="AT205" s="19"/>
    </row>
    <row r="206" spans="1:46" s="3" customFormat="1" x14ac:dyDescent="0.3">
      <c r="A206" s="15"/>
      <c r="B206" s="19"/>
      <c r="C206" s="19"/>
      <c r="D206" s="19"/>
      <c r="E206" s="19"/>
      <c r="F206" s="19"/>
      <c r="G206" s="19"/>
      <c r="H206" s="19"/>
      <c r="I206" s="1"/>
      <c r="J206" s="19"/>
      <c r="K206" s="1"/>
      <c r="L206" s="1"/>
      <c r="M206" s="19"/>
      <c r="N206" s="1"/>
      <c r="O206" s="1"/>
      <c r="P206" s="19"/>
      <c r="Q206" s="1"/>
      <c r="R206" s="1"/>
      <c r="S206" s="19"/>
      <c r="T206" s="1"/>
      <c r="V206" s="19"/>
      <c r="Y206" s="19"/>
      <c r="AB206" s="19"/>
      <c r="AE206" s="19"/>
      <c r="AH206" s="19"/>
      <c r="AK206" s="19"/>
      <c r="AN206" s="19"/>
      <c r="AQ206" s="19"/>
      <c r="AT206" s="19"/>
    </row>
    <row r="207" spans="1:46" s="3" customFormat="1" x14ac:dyDescent="0.3">
      <c r="A207" s="15"/>
      <c r="B207" s="19"/>
      <c r="C207" s="19"/>
      <c r="D207" s="19"/>
      <c r="E207" s="19"/>
      <c r="F207" s="19"/>
      <c r="G207" s="19"/>
      <c r="H207" s="19"/>
      <c r="I207" s="1"/>
      <c r="J207" s="19"/>
      <c r="K207" s="1"/>
      <c r="L207" s="1"/>
      <c r="M207" s="19"/>
      <c r="N207" s="1"/>
      <c r="O207" s="1"/>
      <c r="P207" s="19"/>
      <c r="Q207" s="1"/>
      <c r="R207" s="1"/>
      <c r="S207" s="19"/>
      <c r="T207" s="1"/>
      <c r="V207" s="19"/>
      <c r="Y207" s="19"/>
      <c r="AB207" s="19"/>
      <c r="AE207" s="19"/>
      <c r="AH207" s="19"/>
      <c r="AK207" s="19"/>
      <c r="AN207" s="19"/>
      <c r="AQ207" s="19"/>
      <c r="AT207" s="19"/>
    </row>
    <row r="208" spans="1:46" s="3" customFormat="1" x14ac:dyDescent="0.3">
      <c r="A208" s="15"/>
      <c r="B208" s="19"/>
      <c r="C208" s="19"/>
      <c r="D208" s="19"/>
      <c r="E208" s="19"/>
      <c r="F208" s="19"/>
      <c r="G208" s="19"/>
      <c r="H208" s="19"/>
      <c r="I208" s="1"/>
      <c r="J208" s="19"/>
      <c r="K208" s="1"/>
      <c r="L208" s="1"/>
      <c r="M208" s="19"/>
      <c r="N208" s="1"/>
      <c r="O208" s="1"/>
      <c r="P208" s="19"/>
      <c r="Q208" s="1"/>
      <c r="R208" s="1"/>
      <c r="S208" s="19"/>
      <c r="T208" s="1"/>
      <c r="V208" s="19"/>
      <c r="Y208" s="19"/>
      <c r="AB208" s="19"/>
      <c r="AE208" s="19"/>
      <c r="AH208" s="19"/>
      <c r="AK208" s="19"/>
      <c r="AN208" s="19"/>
      <c r="AQ208" s="19"/>
      <c r="AT208" s="19"/>
    </row>
    <row r="209" spans="1:46" s="3" customFormat="1" x14ac:dyDescent="0.3">
      <c r="A209" s="15"/>
      <c r="B209" s="19"/>
      <c r="C209" s="19"/>
      <c r="D209" s="19"/>
      <c r="E209" s="19"/>
      <c r="F209" s="19"/>
      <c r="G209" s="19"/>
      <c r="H209" s="19"/>
      <c r="I209" s="1"/>
      <c r="J209" s="19"/>
      <c r="K209" s="1"/>
      <c r="L209" s="1"/>
      <c r="M209" s="19"/>
      <c r="N209" s="1"/>
      <c r="O209" s="1"/>
      <c r="P209" s="19"/>
      <c r="Q209" s="1"/>
      <c r="R209" s="1"/>
      <c r="S209" s="19"/>
      <c r="T209" s="1"/>
      <c r="V209" s="19"/>
      <c r="Y209" s="19"/>
      <c r="AB209" s="19"/>
      <c r="AE209" s="19"/>
      <c r="AH209" s="19"/>
      <c r="AK209" s="19"/>
      <c r="AN209" s="19"/>
      <c r="AQ209" s="19"/>
      <c r="AT209" s="19"/>
    </row>
    <row r="210" spans="1:46" s="3" customFormat="1" x14ac:dyDescent="0.3">
      <c r="A210" s="15"/>
      <c r="B210" s="19"/>
      <c r="C210" s="19"/>
      <c r="D210" s="19"/>
      <c r="E210" s="19"/>
      <c r="F210" s="19"/>
      <c r="G210" s="19"/>
      <c r="H210" s="19"/>
      <c r="I210" s="1"/>
      <c r="J210" s="19"/>
      <c r="K210" s="1"/>
      <c r="L210" s="1"/>
      <c r="M210" s="19"/>
      <c r="N210" s="1"/>
      <c r="O210" s="1"/>
      <c r="P210" s="19"/>
      <c r="Q210" s="1"/>
      <c r="R210" s="1"/>
      <c r="S210" s="19"/>
      <c r="T210" s="1"/>
      <c r="V210" s="19"/>
      <c r="Y210" s="19"/>
      <c r="AB210" s="19"/>
      <c r="AE210" s="19"/>
      <c r="AH210" s="19"/>
      <c r="AK210" s="19"/>
      <c r="AN210" s="19"/>
      <c r="AQ210" s="19"/>
      <c r="AT210" s="19"/>
    </row>
    <row r="211" spans="1:46" s="3" customFormat="1" x14ac:dyDescent="0.3">
      <c r="A211" s="15"/>
      <c r="B211" s="19"/>
      <c r="C211" s="19"/>
      <c r="D211" s="19"/>
      <c r="E211" s="19"/>
      <c r="F211" s="19"/>
      <c r="G211" s="19"/>
      <c r="H211" s="19"/>
      <c r="I211" s="1"/>
      <c r="J211" s="19"/>
      <c r="K211" s="1"/>
      <c r="L211" s="1"/>
      <c r="M211" s="19"/>
      <c r="N211" s="1"/>
      <c r="O211" s="1"/>
      <c r="P211" s="19"/>
      <c r="Q211" s="1"/>
      <c r="R211" s="1"/>
      <c r="S211" s="19"/>
      <c r="T211" s="1"/>
      <c r="V211" s="19"/>
      <c r="Y211" s="19"/>
      <c r="AB211" s="19"/>
      <c r="AE211" s="19"/>
      <c r="AH211" s="19"/>
      <c r="AK211" s="19"/>
      <c r="AN211" s="19"/>
      <c r="AQ211" s="19"/>
      <c r="AT211" s="19"/>
    </row>
    <row r="212" spans="1:46" s="3" customFormat="1" x14ac:dyDescent="0.3">
      <c r="A212" s="15"/>
      <c r="B212" s="19"/>
      <c r="C212" s="19"/>
      <c r="D212" s="19"/>
      <c r="E212" s="19"/>
      <c r="F212" s="19"/>
      <c r="G212" s="19"/>
      <c r="H212" s="19"/>
      <c r="I212" s="1"/>
      <c r="J212" s="19"/>
      <c r="K212" s="1"/>
      <c r="L212" s="1"/>
      <c r="M212" s="19"/>
      <c r="N212" s="1"/>
      <c r="O212" s="1"/>
      <c r="P212" s="19"/>
      <c r="Q212" s="1"/>
      <c r="R212" s="1"/>
      <c r="S212" s="19"/>
      <c r="T212" s="1"/>
      <c r="V212" s="19"/>
      <c r="Y212" s="19"/>
      <c r="AB212" s="19"/>
      <c r="AE212" s="19"/>
      <c r="AH212" s="19"/>
      <c r="AK212" s="19"/>
      <c r="AN212" s="19"/>
      <c r="AQ212" s="19"/>
      <c r="AT212" s="19"/>
    </row>
    <row r="213" spans="1:46" s="3" customFormat="1" x14ac:dyDescent="0.3">
      <c r="A213" s="15"/>
      <c r="B213" s="19"/>
      <c r="C213" s="19"/>
      <c r="D213" s="19"/>
      <c r="E213" s="19"/>
      <c r="F213" s="19"/>
      <c r="G213" s="19"/>
      <c r="H213" s="19"/>
      <c r="I213" s="1"/>
      <c r="J213" s="19"/>
      <c r="K213" s="1"/>
      <c r="L213" s="1"/>
      <c r="M213" s="19"/>
      <c r="N213" s="1"/>
      <c r="O213" s="1"/>
      <c r="P213" s="19"/>
      <c r="Q213" s="1"/>
      <c r="R213" s="1"/>
      <c r="S213" s="19"/>
      <c r="T213" s="1"/>
      <c r="V213" s="19"/>
      <c r="Y213" s="19"/>
      <c r="AB213" s="19"/>
      <c r="AE213" s="19"/>
      <c r="AH213" s="19"/>
      <c r="AK213" s="19"/>
      <c r="AN213" s="19"/>
      <c r="AQ213" s="19"/>
      <c r="AT213" s="19"/>
    </row>
    <row r="214" spans="1:46" s="3" customFormat="1" x14ac:dyDescent="0.3">
      <c r="A214" s="15"/>
      <c r="B214" s="19"/>
      <c r="C214" s="19"/>
      <c r="D214" s="19"/>
      <c r="E214" s="19"/>
      <c r="F214" s="19"/>
      <c r="G214" s="19"/>
      <c r="H214" s="19"/>
      <c r="I214" s="1"/>
      <c r="J214" s="19"/>
      <c r="K214" s="1"/>
      <c r="L214" s="1"/>
      <c r="M214" s="19"/>
      <c r="N214" s="1"/>
      <c r="O214" s="1"/>
      <c r="P214" s="19"/>
      <c r="Q214" s="1"/>
      <c r="R214" s="1"/>
      <c r="S214" s="19"/>
      <c r="T214" s="1"/>
      <c r="V214" s="19"/>
      <c r="Y214" s="19"/>
      <c r="AB214" s="19"/>
      <c r="AE214" s="19"/>
      <c r="AH214" s="19"/>
      <c r="AK214" s="19"/>
      <c r="AN214" s="19"/>
      <c r="AQ214" s="19"/>
      <c r="AT214" s="19"/>
    </row>
    <row r="215" spans="1:46" s="3" customFormat="1" x14ac:dyDescent="0.3">
      <c r="A215" s="15"/>
      <c r="B215" s="19"/>
      <c r="C215" s="19"/>
      <c r="D215" s="19"/>
      <c r="E215" s="19"/>
      <c r="F215" s="19"/>
      <c r="G215" s="19"/>
      <c r="H215" s="19"/>
      <c r="I215" s="1"/>
      <c r="J215" s="19"/>
      <c r="K215" s="1"/>
      <c r="L215" s="1"/>
      <c r="M215" s="19"/>
      <c r="N215" s="1"/>
      <c r="O215" s="1"/>
      <c r="P215" s="19"/>
      <c r="Q215" s="1"/>
      <c r="R215" s="1"/>
      <c r="S215" s="19"/>
      <c r="T215" s="1"/>
      <c r="V215" s="19"/>
      <c r="Y215" s="19"/>
      <c r="AB215" s="19"/>
      <c r="AE215" s="19"/>
      <c r="AH215" s="19"/>
      <c r="AK215" s="19"/>
      <c r="AN215" s="19"/>
      <c r="AQ215" s="19"/>
      <c r="AT215" s="19"/>
    </row>
    <row r="216" spans="1:46" s="3" customFormat="1" x14ac:dyDescent="0.3">
      <c r="A216" s="15"/>
      <c r="B216" s="19"/>
      <c r="C216" s="19"/>
      <c r="D216" s="19"/>
      <c r="E216" s="19"/>
      <c r="F216" s="19"/>
      <c r="G216" s="19"/>
      <c r="H216" s="19"/>
      <c r="I216" s="1"/>
      <c r="J216" s="19"/>
      <c r="K216" s="1"/>
      <c r="L216" s="1"/>
      <c r="M216" s="19"/>
      <c r="N216" s="1"/>
      <c r="O216" s="1"/>
      <c r="P216" s="19"/>
      <c r="Q216" s="1"/>
      <c r="R216" s="1"/>
      <c r="S216" s="19"/>
      <c r="T216" s="1"/>
      <c r="V216" s="19"/>
      <c r="Y216" s="19"/>
      <c r="AB216" s="19"/>
      <c r="AE216" s="19"/>
      <c r="AH216" s="19"/>
      <c r="AK216" s="19"/>
      <c r="AN216" s="19"/>
      <c r="AQ216" s="19"/>
      <c r="AT216" s="19"/>
    </row>
    <row r="217" spans="1:46" s="3" customFormat="1" x14ac:dyDescent="0.3">
      <c r="A217" s="15"/>
      <c r="B217" s="19"/>
      <c r="C217" s="19"/>
      <c r="D217" s="19"/>
      <c r="E217" s="19"/>
      <c r="F217" s="19"/>
      <c r="G217" s="19"/>
      <c r="H217" s="19"/>
      <c r="I217" s="1"/>
      <c r="J217" s="19"/>
      <c r="K217" s="1"/>
      <c r="L217" s="1"/>
      <c r="M217" s="19"/>
      <c r="N217" s="1"/>
      <c r="O217" s="1"/>
      <c r="P217" s="19"/>
      <c r="Q217" s="1"/>
      <c r="R217" s="1"/>
      <c r="S217" s="19"/>
      <c r="T217" s="1"/>
      <c r="V217" s="19"/>
      <c r="Y217" s="19"/>
      <c r="AB217" s="19"/>
      <c r="AE217" s="19"/>
      <c r="AH217" s="19"/>
      <c r="AK217" s="19"/>
      <c r="AN217" s="19"/>
      <c r="AQ217" s="19"/>
      <c r="AT217" s="19"/>
    </row>
    <row r="218" spans="1:46" s="3" customFormat="1" x14ac:dyDescent="0.3">
      <c r="A218" s="15"/>
      <c r="B218" s="19"/>
      <c r="C218" s="19"/>
      <c r="D218" s="19"/>
      <c r="E218" s="19"/>
      <c r="F218" s="19"/>
      <c r="G218" s="19"/>
      <c r="H218" s="19"/>
      <c r="I218" s="1"/>
      <c r="J218" s="19"/>
      <c r="K218" s="1"/>
      <c r="L218" s="1"/>
      <c r="M218" s="19"/>
      <c r="N218" s="1"/>
      <c r="O218" s="1"/>
      <c r="P218" s="19"/>
      <c r="Q218" s="1"/>
      <c r="R218" s="1"/>
      <c r="S218" s="19"/>
      <c r="T218" s="1"/>
      <c r="V218" s="19"/>
      <c r="Y218" s="19"/>
      <c r="AB218" s="19"/>
      <c r="AE218" s="19"/>
      <c r="AH218" s="19"/>
      <c r="AK218" s="19"/>
      <c r="AN218" s="19"/>
      <c r="AQ218" s="19"/>
      <c r="AT218" s="19"/>
    </row>
    <row r="219" spans="1:46" s="3" customFormat="1" x14ac:dyDescent="0.3">
      <c r="A219" s="15"/>
      <c r="B219" s="19"/>
      <c r="C219" s="19"/>
      <c r="D219" s="19"/>
      <c r="E219" s="19"/>
      <c r="F219" s="19"/>
      <c r="G219" s="19"/>
      <c r="H219" s="19"/>
      <c r="I219" s="1"/>
      <c r="J219" s="19"/>
      <c r="K219" s="1"/>
      <c r="L219" s="1"/>
      <c r="M219" s="19"/>
      <c r="N219" s="1"/>
      <c r="O219" s="1"/>
      <c r="P219" s="19"/>
      <c r="Q219" s="1"/>
      <c r="R219" s="1"/>
      <c r="S219" s="19"/>
      <c r="T219" s="1"/>
      <c r="V219" s="19"/>
      <c r="Y219" s="19"/>
      <c r="AB219" s="19"/>
      <c r="AE219" s="19"/>
      <c r="AH219" s="19"/>
      <c r="AK219" s="19"/>
      <c r="AN219" s="19"/>
      <c r="AQ219" s="19"/>
      <c r="AT219" s="19"/>
    </row>
    <row r="220" spans="1:46" s="3" customFormat="1" x14ac:dyDescent="0.3">
      <c r="A220" s="15"/>
      <c r="B220" s="19"/>
      <c r="C220" s="19"/>
      <c r="D220" s="19"/>
      <c r="E220" s="19"/>
      <c r="F220" s="19"/>
      <c r="G220" s="19"/>
      <c r="H220" s="19"/>
      <c r="I220" s="1"/>
      <c r="J220" s="19"/>
      <c r="K220" s="1"/>
      <c r="L220" s="1"/>
      <c r="M220" s="19"/>
      <c r="N220" s="1"/>
      <c r="O220" s="1"/>
      <c r="P220" s="19"/>
      <c r="Q220" s="1"/>
      <c r="R220" s="1"/>
      <c r="S220" s="19"/>
      <c r="T220" s="1"/>
      <c r="V220" s="19"/>
      <c r="Y220" s="19"/>
      <c r="AB220" s="19"/>
      <c r="AE220" s="19"/>
      <c r="AH220" s="19"/>
      <c r="AK220" s="19"/>
      <c r="AN220" s="19"/>
      <c r="AQ220" s="19"/>
      <c r="AT220" s="19"/>
    </row>
    <row r="221" spans="1:46" s="3" customFormat="1" x14ac:dyDescent="0.3">
      <c r="A221" s="15"/>
      <c r="B221" s="19"/>
      <c r="C221" s="19"/>
      <c r="D221" s="19"/>
      <c r="E221" s="19"/>
      <c r="F221" s="19"/>
      <c r="G221" s="19"/>
      <c r="H221" s="19"/>
      <c r="I221" s="1"/>
      <c r="J221" s="19"/>
      <c r="K221" s="1"/>
      <c r="L221" s="1"/>
      <c r="M221" s="19"/>
      <c r="N221" s="1"/>
      <c r="O221" s="1"/>
      <c r="P221" s="19"/>
      <c r="Q221" s="1"/>
      <c r="R221" s="1"/>
      <c r="S221" s="19"/>
      <c r="T221" s="1"/>
      <c r="V221" s="19"/>
      <c r="Y221" s="19"/>
      <c r="AB221" s="19"/>
      <c r="AE221" s="19"/>
      <c r="AH221" s="19"/>
      <c r="AK221" s="19"/>
      <c r="AN221" s="19"/>
      <c r="AQ221" s="19"/>
      <c r="AT221" s="19"/>
    </row>
    <row r="222" spans="1:46" s="3" customFormat="1" x14ac:dyDescent="0.3">
      <c r="A222" s="15"/>
      <c r="B222" s="19"/>
      <c r="C222" s="19"/>
      <c r="D222" s="19"/>
      <c r="E222" s="19"/>
      <c r="F222" s="19"/>
      <c r="G222" s="19"/>
      <c r="H222" s="19"/>
      <c r="I222" s="1"/>
      <c r="J222" s="19"/>
      <c r="K222" s="1"/>
      <c r="L222" s="1"/>
      <c r="M222" s="19"/>
      <c r="N222" s="1"/>
      <c r="O222" s="1"/>
      <c r="P222" s="19"/>
      <c r="Q222" s="1"/>
      <c r="R222" s="1"/>
      <c r="S222" s="19"/>
      <c r="T222" s="1"/>
      <c r="V222" s="19"/>
      <c r="Y222" s="19"/>
      <c r="AB222" s="19"/>
      <c r="AE222" s="19"/>
      <c r="AH222" s="19"/>
      <c r="AK222" s="19"/>
      <c r="AN222" s="19"/>
      <c r="AQ222" s="19"/>
      <c r="AT222" s="19"/>
    </row>
    <row r="223" spans="1:46" s="3" customFormat="1" x14ac:dyDescent="0.3">
      <c r="A223" s="15"/>
      <c r="B223" s="19"/>
      <c r="C223" s="19"/>
      <c r="D223" s="19"/>
      <c r="E223" s="19"/>
      <c r="F223" s="19"/>
      <c r="G223" s="19"/>
      <c r="H223" s="19"/>
      <c r="I223" s="1"/>
      <c r="J223" s="19"/>
      <c r="K223" s="1"/>
      <c r="L223" s="1"/>
      <c r="M223" s="19"/>
      <c r="N223" s="1"/>
      <c r="O223" s="1"/>
      <c r="P223" s="19"/>
      <c r="Q223" s="1"/>
      <c r="R223" s="1"/>
      <c r="S223" s="19"/>
      <c r="T223" s="1"/>
      <c r="V223" s="19"/>
      <c r="Y223" s="19"/>
      <c r="AB223" s="19"/>
      <c r="AE223" s="19"/>
      <c r="AH223" s="19"/>
      <c r="AK223" s="19"/>
      <c r="AN223" s="19"/>
      <c r="AQ223" s="19"/>
      <c r="AT223" s="19"/>
    </row>
    <row r="224" spans="1:46" s="3" customFormat="1" x14ac:dyDescent="0.3">
      <c r="A224" s="15"/>
      <c r="B224" s="19"/>
      <c r="C224" s="19"/>
      <c r="D224" s="19"/>
      <c r="E224" s="19"/>
      <c r="F224" s="19"/>
      <c r="G224" s="19"/>
      <c r="H224" s="19"/>
      <c r="I224" s="1"/>
      <c r="J224" s="19"/>
      <c r="K224" s="1"/>
      <c r="L224" s="1"/>
      <c r="M224" s="19"/>
      <c r="N224" s="1"/>
      <c r="O224" s="1"/>
      <c r="P224" s="19"/>
      <c r="Q224" s="1"/>
      <c r="R224" s="1"/>
      <c r="S224" s="19"/>
      <c r="T224" s="1"/>
      <c r="V224" s="19"/>
      <c r="Y224" s="19"/>
      <c r="AB224" s="19"/>
      <c r="AE224" s="19"/>
      <c r="AH224" s="19"/>
      <c r="AK224" s="19"/>
      <c r="AN224" s="19"/>
      <c r="AQ224" s="19"/>
      <c r="AT224" s="19"/>
    </row>
    <row r="225" spans="1:46" s="3" customFormat="1" x14ac:dyDescent="0.3">
      <c r="A225" s="15"/>
      <c r="B225" s="19"/>
      <c r="C225" s="19"/>
      <c r="D225" s="19"/>
      <c r="E225" s="19"/>
      <c r="F225" s="19"/>
      <c r="G225" s="19"/>
      <c r="H225" s="19"/>
      <c r="I225" s="1"/>
      <c r="J225" s="19"/>
      <c r="K225" s="1"/>
      <c r="L225" s="1"/>
      <c r="M225" s="19"/>
      <c r="N225" s="1"/>
      <c r="O225" s="1"/>
      <c r="P225" s="19"/>
      <c r="Q225" s="1"/>
      <c r="R225" s="1"/>
      <c r="S225" s="19"/>
      <c r="T225" s="1"/>
      <c r="V225" s="19"/>
      <c r="Y225" s="19"/>
      <c r="AB225" s="19"/>
      <c r="AE225" s="19"/>
      <c r="AH225" s="19"/>
      <c r="AK225" s="19"/>
      <c r="AN225" s="19"/>
      <c r="AQ225" s="19"/>
      <c r="AT225" s="19"/>
    </row>
    <row r="226" spans="1:46" s="3" customFormat="1" x14ac:dyDescent="0.3">
      <c r="A226" s="15"/>
      <c r="B226" s="19"/>
      <c r="C226" s="19"/>
      <c r="D226" s="19"/>
      <c r="E226" s="19"/>
      <c r="F226" s="19"/>
      <c r="G226" s="19"/>
      <c r="H226" s="19"/>
      <c r="I226" s="1"/>
      <c r="J226" s="19"/>
      <c r="K226" s="1"/>
      <c r="L226" s="1"/>
      <c r="M226" s="19"/>
      <c r="N226" s="1"/>
      <c r="O226" s="1"/>
      <c r="P226" s="19"/>
      <c r="Q226" s="1"/>
      <c r="R226" s="1"/>
      <c r="S226" s="19"/>
      <c r="T226" s="1"/>
      <c r="V226" s="19"/>
      <c r="Y226" s="19"/>
      <c r="AB226" s="19"/>
      <c r="AE226" s="19"/>
      <c r="AH226" s="19"/>
      <c r="AK226" s="19"/>
      <c r="AN226" s="19"/>
      <c r="AQ226" s="19"/>
      <c r="AT226" s="19"/>
    </row>
    <row r="227" spans="1:46" s="3" customFormat="1" x14ac:dyDescent="0.3">
      <c r="A227" s="15"/>
      <c r="B227" s="19"/>
      <c r="C227" s="19"/>
      <c r="D227" s="19"/>
      <c r="E227" s="19"/>
      <c r="F227" s="19"/>
      <c r="G227" s="19"/>
      <c r="H227" s="19"/>
      <c r="I227" s="1"/>
      <c r="J227" s="19"/>
      <c r="K227" s="1"/>
      <c r="L227" s="1"/>
      <c r="M227" s="19"/>
      <c r="N227" s="1"/>
      <c r="O227" s="1"/>
      <c r="P227" s="19"/>
      <c r="Q227" s="1"/>
      <c r="R227" s="1"/>
      <c r="S227" s="19"/>
      <c r="T227" s="1"/>
      <c r="V227" s="19"/>
      <c r="Y227" s="19"/>
      <c r="AB227" s="19"/>
      <c r="AE227" s="19"/>
      <c r="AH227" s="19"/>
      <c r="AK227" s="19"/>
      <c r="AN227" s="19"/>
      <c r="AQ227" s="19"/>
      <c r="AT227" s="19"/>
    </row>
    <row r="228" spans="1:46" s="3" customFormat="1" x14ac:dyDescent="0.3">
      <c r="A228" s="15"/>
      <c r="B228" s="19"/>
      <c r="C228" s="19"/>
      <c r="D228" s="19"/>
      <c r="E228" s="19"/>
      <c r="F228" s="19"/>
      <c r="G228" s="19"/>
      <c r="H228" s="19"/>
      <c r="I228" s="1"/>
      <c r="J228" s="19"/>
      <c r="K228" s="1"/>
      <c r="L228" s="1"/>
      <c r="M228" s="19"/>
      <c r="N228" s="1"/>
      <c r="O228" s="1"/>
      <c r="P228" s="19"/>
      <c r="Q228" s="1"/>
      <c r="R228" s="1"/>
      <c r="S228" s="19"/>
      <c r="T228" s="1"/>
      <c r="V228" s="19"/>
      <c r="Y228" s="19"/>
      <c r="AB228" s="19"/>
      <c r="AE228" s="19"/>
      <c r="AH228" s="19"/>
      <c r="AK228" s="19"/>
      <c r="AN228" s="19"/>
      <c r="AQ228" s="19"/>
      <c r="AT228" s="19"/>
    </row>
    <row r="229" spans="1:46" s="3" customFormat="1" x14ac:dyDescent="0.3">
      <c r="A229" s="15"/>
      <c r="B229" s="19"/>
      <c r="C229" s="19"/>
      <c r="D229" s="19"/>
      <c r="E229" s="19"/>
      <c r="F229" s="19"/>
      <c r="G229" s="19"/>
      <c r="H229" s="19"/>
      <c r="I229" s="1"/>
      <c r="J229" s="19"/>
      <c r="K229" s="1"/>
      <c r="L229" s="1"/>
      <c r="M229" s="19"/>
      <c r="N229" s="1"/>
      <c r="O229" s="1"/>
      <c r="P229" s="19"/>
      <c r="Q229" s="1"/>
      <c r="R229" s="1"/>
      <c r="S229" s="19"/>
      <c r="T229" s="1"/>
      <c r="V229" s="19"/>
      <c r="Y229" s="19"/>
      <c r="AB229" s="19"/>
      <c r="AE229" s="19"/>
      <c r="AH229" s="19"/>
      <c r="AK229" s="19"/>
      <c r="AN229" s="19"/>
      <c r="AQ229" s="19"/>
      <c r="AT229" s="19"/>
    </row>
    <row r="230" spans="1:46" s="3" customFormat="1" x14ac:dyDescent="0.3">
      <c r="A230" s="15"/>
      <c r="B230" s="19"/>
      <c r="C230" s="19"/>
      <c r="D230" s="19"/>
      <c r="E230" s="19"/>
      <c r="F230" s="19"/>
      <c r="G230" s="19"/>
      <c r="H230" s="19"/>
      <c r="I230" s="1"/>
      <c r="J230" s="19"/>
      <c r="K230" s="1"/>
      <c r="L230" s="1"/>
      <c r="M230" s="19"/>
      <c r="N230" s="1"/>
      <c r="O230" s="1"/>
      <c r="P230" s="19"/>
      <c r="Q230" s="1"/>
      <c r="R230" s="1"/>
      <c r="S230" s="19"/>
      <c r="T230" s="1"/>
      <c r="V230" s="19"/>
      <c r="Y230" s="19"/>
      <c r="AB230" s="19"/>
      <c r="AE230" s="19"/>
      <c r="AH230" s="19"/>
      <c r="AK230" s="19"/>
      <c r="AN230" s="19"/>
      <c r="AQ230" s="19"/>
      <c r="AT230" s="19"/>
    </row>
    <row r="231" spans="1:46" s="3" customFormat="1" x14ac:dyDescent="0.3">
      <c r="A231" s="15"/>
      <c r="B231" s="19"/>
      <c r="C231" s="19"/>
      <c r="D231" s="19"/>
      <c r="E231" s="19"/>
      <c r="F231" s="19"/>
      <c r="G231" s="19"/>
      <c r="H231" s="19"/>
      <c r="I231" s="1"/>
      <c r="J231" s="19"/>
      <c r="K231" s="1"/>
      <c r="L231" s="1"/>
      <c r="M231" s="19"/>
      <c r="N231" s="1"/>
      <c r="O231" s="1"/>
      <c r="P231" s="19"/>
      <c r="Q231" s="1"/>
      <c r="R231" s="1"/>
      <c r="S231" s="19"/>
      <c r="T231" s="1"/>
      <c r="V231" s="19"/>
      <c r="Y231" s="19"/>
      <c r="AB231" s="19"/>
      <c r="AE231" s="19"/>
      <c r="AH231" s="19"/>
      <c r="AK231" s="19"/>
      <c r="AN231" s="19"/>
      <c r="AQ231" s="19"/>
      <c r="AT231" s="19"/>
    </row>
    <row r="232" spans="1:46" s="3" customFormat="1" x14ac:dyDescent="0.3">
      <c r="A232" s="15"/>
      <c r="B232" s="19"/>
      <c r="C232" s="19"/>
      <c r="D232" s="19"/>
      <c r="E232" s="19"/>
      <c r="F232" s="19"/>
      <c r="G232" s="19"/>
      <c r="H232" s="19"/>
      <c r="I232" s="1"/>
      <c r="J232" s="19"/>
      <c r="K232" s="1"/>
      <c r="L232" s="1"/>
      <c r="M232" s="19"/>
      <c r="N232" s="1"/>
      <c r="O232" s="1"/>
      <c r="P232" s="19"/>
      <c r="Q232" s="1"/>
      <c r="R232" s="1"/>
      <c r="S232" s="19"/>
      <c r="T232" s="1"/>
      <c r="V232" s="19"/>
      <c r="Y232" s="19"/>
      <c r="AB232" s="19"/>
      <c r="AE232" s="19"/>
      <c r="AH232" s="19"/>
      <c r="AK232" s="19"/>
      <c r="AN232" s="19"/>
      <c r="AQ232" s="19"/>
      <c r="AT232" s="19"/>
    </row>
    <row r="233" spans="1:46" x14ac:dyDescent="0.3">
      <c r="I233" s="1"/>
      <c r="K233" s="1"/>
      <c r="L233" s="1"/>
      <c r="N233" s="1"/>
      <c r="O233" s="1"/>
      <c r="Q233" s="1"/>
      <c r="R233" s="1"/>
      <c r="T233" s="1"/>
    </row>
    <row r="234" spans="1:46" x14ac:dyDescent="0.3">
      <c r="I234" s="1"/>
      <c r="K234" s="1"/>
      <c r="L234" s="1"/>
      <c r="N234" s="1"/>
      <c r="O234" s="1"/>
      <c r="Q234" s="1"/>
      <c r="R234" s="1"/>
      <c r="T234" s="1"/>
    </row>
    <row r="235" spans="1:46" x14ac:dyDescent="0.3">
      <c r="I235" s="1"/>
      <c r="K235" s="1"/>
      <c r="L235" s="1"/>
      <c r="N235" s="1"/>
      <c r="O235" s="1"/>
      <c r="Q235" s="1"/>
      <c r="R235" s="1"/>
      <c r="T235" s="1"/>
    </row>
    <row r="236" spans="1:46" x14ac:dyDescent="0.3">
      <c r="I236" s="1"/>
      <c r="K236" s="1"/>
      <c r="L236" s="1"/>
      <c r="N236" s="1"/>
      <c r="O236" s="1"/>
      <c r="Q236" s="1"/>
      <c r="R236" s="1"/>
      <c r="T236" s="1"/>
    </row>
    <row r="237" spans="1:46" x14ac:dyDescent="0.3">
      <c r="I237" s="1"/>
      <c r="K237" s="1"/>
      <c r="L237" s="1"/>
      <c r="N237" s="1"/>
      <c r="O237" s="1"/>
      <c r="Q237" s="1"/>
      <c r="R237" s="1"/>
      <c r="T237" s="1"/>
    </row>
    <row r="238" spans="1:46" x14ac:dyDescent="0.3">
      <c r="I238" s="1"/>
      <c r="K238" s="1"/>
      <c r="L238" s="1"/>
      <c r="N238" s="1"/>
      <c r="O238" s="1"/>
      <c r="Q238" s="1"/>
      <c r="R238" s="1"/>
      <c r="T238" s="1"/>
    </row>
    <row r="239" spans="1:46" x14ac:dyDescent="0.3">
      <c r="I239" s="1"/>
      <c r="K239" s="1"/>
      <c r="L239" s="1"/>
      <c r="N239" s="1"/>
      <c r="O239" s="1"/>
      <c r="Q239" s="1"/>
      <c r="R239" s="1"/>
      <c r="T239" s="1"/>
    </row>
    <row r="240" spans="1:46" x14ac:dyDescent="0.3">
      <c r="I240" s="1"/>
      <c r="K240" s="1"/>
      <c r="L240" s="1"/>
      <c r="N240" s="1"/>
      <c r="O240" s="1"/>
      <c r="Q240" s="1"/>
      <c r="R240" s="1"/>
      <c r="T240" s="1"/>
    </row>
    <row r="241" spans="9:20" x14ac:dyDescent="0.3">
      <c r="I241" s="1"/>
      <c r="K241" s="1"/>
      <c r="L241" s="1"/>
      <c r="N241" s="1"/>
      <c r="O241" s="1"/>
      <c r="Q241" s="1"/>
      <c r="R241" s="1"/>
      <c r="T241" s="1"/>
    </row>
    <row r="242" spans="9:20" x14ac:dyDescent="0.3">
      <c r="I242" s="1"/>
      <c r="K242" s="1"/>
      <c r="L242" s="1"/>
      <c r="N242" s="1"/>
      <c r="O242" s="1"/>
      <c r="Q242" s="1"/>
      <c r="R242" s="1"/>
      <c r="T242" s="1"/>
    </row>
    <row r="243" spans="9:20" x14ac:dyDescent="0.3">
      <c r="I243" s="1"/>
      <c r="K243" s="1"/>
      <c r="L243" s="1"/>
      <c r="N243" s="1"/>
      <c r="O243" s="1"/>
      <c r="Q243" s="1"/>
      <c r="R243" s="1"/>
      <c r="T243" s="1"/>
    </row>
    <row r="244" spans="9:20" x14ac:dyDescent="0.3">
      <c r="I244" s="1"/>
      <c r="K244" s="1"/>
      <c r="L244" s="1"/>
      <c r="N244" s="1"/>
      <c r="O244" s="1"/>
      <c r="Q244" s="1"/>
      <c r="R244" s="1"/>
      <c r="T244" s="1"/>
    </row>
    <row r="245" spans="9:20" x14ac:dyDescent="0.3">
      <c r="I245" s="1"/>
      <c r="K245" s="1"/>
      <c r="L245" s="1"/>
      <c r="N245" s="1"/>
      <c r="O245" s="1"/>
      <c r="Q245" s="1"/>
      <c r="R245" s="1"/>
      <c r="T245" s="1"/>
    </row>
    <row r="246" spans="9:20" x14ac:dyDescent="0.3">
      <c r="I246" s="1"/>
      <c r="K246" s="1"/>
      <c r="L246" s="1"/>
      <c r="N246" s="1"/>
      <c r="O246" s="1"/>
      <c r="Q246" s="1"/>
      <c r="R246" s="1"/>
      <c r="T246" s="1"/>
    </row>
    <row r="247" spans="9:20" x14ac:dyDescent="0.3">
      <c r="I247" s="1"/>
      <c r="K247" s="1"/>
      <c r="L247" s="1"/>
      <c r="N247" s="1"/>
      <c r="O247" s="1"/>
      <c r="Q247" s="1"/>
      <c r="R247" s="1"/>
      <c r="T247" s="1"/>
    </row>
    <row r="248" spans="9:20" x14ac:dyDescent="0.3">
      <c r="I248" s="1"/>
      <c r="K248" s="1"/>
      <c r="L248" s="1"/>
      <c r="N248" s="1"/>
      <c r="O248" s="1"/>
      <c r="Q248" s="1"/>
      <c r="R248" s="1"/>
      <c r="T248" s="1"/>
    </row>
    <row r="249" spans="9:20" x14ac:dyDescent="0.3">
      <c r="I249" s="1"/>
      <c r="K249" s="1"/>
      <c r="L249" s="1"/>
      <c r="N249" s="1"/>
      <c r="O249" s="1"/>
      <c r="Q249" s="1"/>
      <c r="R249" s="1"/>
      <c r="T249" s="1"/>
    </row>
    <row r="250" spans="9:20" x14ac:dyDescent="0.3">
      <c r="I250" s="1"/>
      <c r="K250" s="1"/>
      <c r="L250" s="1"/>
      <c r="N250" s="1"/>
      <c r="O250" s="1"/>
      <c r="Q250" s="1"/>
      <c r="R250" s="1"/>
      <c r="T250" s="1"/>
    </row>
    <row r="251" spans="9:20" x14ac:dyDescent="0.3">
      <c r="I251" s="1"/>
      <c r="K251" s="1"/>
      <c r="L251" s="1"/>
      <c r="N251" s="1"/>
      <c r="O251" s="1"/>
      <c r="Q251" s="1"/>
      <c r="R251" s="1"/>
      <c r="T251" s="1"/>
    </row>
    <row r="252" spans="9:20" x14ac:dyDescent="0.3">
      <c r="I252" s="1"/>
      <c r="K252" s="1"/>
      <c r="L252" s="1"/>
      <c r="N252" s="1"/>
      <c r="O252" s="1"/>
      <c r="Q252" s="1"/>
      <c r="R252" s="1"/>
      <c r="T252" s="1"/>
    </row>
    <row r="253" spans="9:20" x14ac:dyDescent="0.3">
      <c r="I253" s="1"/>
      <c r="K253" s="1"/>
      <c r="L253" s="1"/>
      <c r="N253" s="1"/>
      <c r="O253" s="1"/>
      <c r="Q253" s="1"/>
      <c r="R253" s="1"/>
      <c r="T253" s="1"/>
    </row>
    <row r="254" spans="9:20" x14ac:dyDescent="0.3">
      <c r="I254" s="1"/>
      <c r="K254" s="1"/>
      <c r="L254" s="1"/>
      <c r="N254" s="1"/>
      <c r="O254" s="1"/>
      <c r="Q254" s="1"/>
      <c r="R254" s="1"/>
      <c r="T254" s="1"/>
    </row>
    <row r="255" spans="9:20" x14ac:dyDescent="0.3">
      <c r="I255" s="1"/>
      <c r="K255" s="1"/>
      <c r="L255" s="1"/>
      <c r="N255" s="1"/>
      <c r="O255" s="1"/>
      <c r="Q255" s="1"/>
      <c r="R255" s="1"/>
      <c r="T255" s="1"/>
    </row>
    <row r="256" spans="9:20" x14ac:dyDescent="0.3">
      <c r="I256" s="1"/>
      <c r="K256" s="1"/>
      <c r="L256" s="1"/>
      <c r="N256" s="1"/>
      <c r="O256" s="1"/>
      <c r="Q256" s="1"/>
      <c r="R256" s="1"/>
      <c r="T256" s="1"/>
    </row>
    <row r="257" spans="9:20" x14ac:dyDescent="0.3">
      <c r="I257" s="1"/>
      <c r="K257" s="1"/>
      <c r="L257" s="1"/>
      <c r="N257" s="1"/>
      <c r="O257" s="1"/>
      <c r="Q257" s="1"/>
      <c r="R257" s="1"/>
      <c r="T257" s="1"/>
    </row>
    <row r="258" spans="9:20" x14ac:dyDescent="0.3">
      <c r="I258" s="1"/>
      <c r="K258" s="1"/>
      <c r="L258" s="1"/>
      <c r="N258" s="1"/>
      <c r="O258" s="1"/>
      <c r="Q258" s="1"/>
      <c r="R258" s="1"/>
      <c r="T258" s="1"/>
    </row>
    <row r="259" spans="9:20" x14ac:dyDescent="0.3">
      <c r="I259" s="1"/>
      <c r="K259" s="1"/>
      <c r="L259" s="1"/>
      <c r="N259" s="1"/>
      <c r="O259" s="1"/>
      <c r="Q259" s="1"/>
      <c r="R259" s="1"/>
      <c r="T259" s="1"/>
    </row>
    <row r="260" spans="9:20" x14ac:dyDescent="0.3">
      <c r="I260" s="1"/>
      <c r="K260" s="1"/>
      <c r="L260" s="1"/>
      <c r="N260" s="1"/>
      <c r="O260" s="1"/>
      <c r="Q260" s="1"/>
      <c r="R260" s="1"/>
      <c r="T260" s="1"/>
    </row>
    <row r="261" spans="9:20" x14ac:dyDescent="0.3">
      <c r="I261" s="1"/>
      <c r="K261" s="1"/>
      <c r="L261" s="1"/>
      <c r="N261" s="1"/>
      <c r="O261" s="1"/>
      <c r="Q261" s="1"/>
      <c r="R261" s="1"/>
      <c r="T261" s="1"/>
    </row>
    <row r="262" spans="9:20" x14ac:dyDescent="0.3">
      <c r="I262" s="1"/>
      <c r="K262" s="1"/>
      <c r="L262" s="1"/>
      <c r="N262" s="1"/>
      <c r="O262" s="1"/>
      <c r="Q262" s="1"/>
      <c r="R262" s="1"/>
      <c r="T262" s="1"/>
    </row>
    <row r="263" spans="9:20" x14ac:dyDescent="0.3">
      <c r="I263" s="1"/>
      <c r="K263" s="1"/>
      <c r="L263" s="1"/>
      <c r="N263" s="1"/>
      <c r="O263" s="1"/>
      <c r="Q263" s="1"/>
      <c r="R263" s="1"/>
      <c r="T263" s="1"/>
    </row>
    <row r="264" spans="9:20" x14ac:dyDescent="0.3">
      <c r="I264" s="1"/>
      <c r="K264" s="1"/>
      <c r="L264" s="1"/>
      <c r="N264" s="1"/>
      <c r="O264" s="1"/>
      <c r="Q264" s="1"/>
      <c r="R264" s="1"/>
      <c r="T264" s="1"/>
    </row>
    <row r="265" spans="9:20" x14ac:dyDescent="0.3">
      <c r="I265" s="1"/>
      <c r="K265" s="1"/>
      <c r="L265" s="1"/>
      <c r="N265" s="1"/>
      <c r="O265" s="1"/>
      <c r="Q265" s="1"/>
      <c r="R265" s="1"/>
      <c r="T265" s="1"/>
    </row>
    <row r="266" spans="9:20" x14ac:dyDescent="0.3">
      <c r="I266" s="1"/>
      <c r="K266" s="1"/>
      <c r="L266" s="1"/>
      <c r="N266" s="1"/>
      <c r="O266" s="1"/>
      <c r="Q266" s="1"/>
      <c r="R266" s="1"/>
      <c r="T266" s="1"/>
    </row>
    <row r="267" spans="9:20" x14ac:dyDescent="0.3">
      <c r="I267" s="1"/>
      <c r="K267" s="1"/>
      <c r="L267" s="1"/>
      <c r="N267" s="1"/>
      <c r="O267" s="1"/>
      <c r="Q267" s="1"/>
      <c r="R267" s="1"/>
      <c r="T267" s="1"/>
    </row>
    <row r="268" spans="9:20" x14ac:dyDescent="0.3">
      <c r="I268" s="1"/>
      <c r="K268" s="1"/>
      <c r="L268" s="1"/>
      <c r="N268" s="1"/>
      <c r="O268" s="1"/>
      <c r="Q268" s="1"/>
      <c r="R268" s="1"/>
      <c r="T268" s="1"/>
    </row>
    <row r="269" spans="9:20" x14ac:dyDescent="0.3">
      <c r="I269" s="1"/>
      <c r="K269" s="1"/>
      <c r="L269" s="1"/>
      <c r="N269" s="1"/>
      <c r="O269" s="1"/>
      <c r="Q269" s="1"/>
      <c r="R269" s="1"/>
      <c r="T269" s="1"/>
    </row>
    <row r="270" spans="9:20" x14ac:dyDescent="0.3">
      <c r="I270" s="1"/>
      <c r="K270" s="1"/>
      <c r="L270" s="1"/>
      <c r="N270" s="1"/>
      <c r="O270" s="1"/>
      <c r="Q270" s="1"/>
      <c r="R270" s="1"/>
      <c r="T270" s="1"/>
    </row>
  </sheetData>
  <mergeCells count="42">
    <mergeCell ref="AR2:AT2"/>
    <mergeCell ref="G2:G3"/>
    <mergeCell ref="AC2:AE2"/>
    <mergeCell ref="AF2:AH2"/>
    <mergeCell ref="AI2:AK2"/>
    <mergeCell ref="AL2:AN2"/>
    <mergeCell ref="AO2:AQ2"/>
    <mergeCell ref="N2:P2"/>
    <mergeCell ref="Q2:S2"/>
    <mergeCell ref="T2:V2"/>
    <mergeCell ref="W2:Y2"/>
    <mergeCell ref="Z2:AB2"/>
    <mergeCell ref="B55:B56"/>
    <mergeCell ref="B2:B3"/>
    <mergeCell ref="C2:E2"/>
    <mergeCell ref="H2:J2"/>
    <mergeCell ref="K2:M2"/>
    <mergeCell ref="D55:D56"/>
    <mergeCell ref="E55:E56"/>
    <mergeCell ref="F2:F3"/>
    <mergeCell ref="C55:C56"/>
    <mergeCell ref="B65:B66"/>
    <mergeCell ref="C65:C66"/>
    <mergeCell ref="D65:D66"/>
    <mergeCell ref="F65:F66"/>
    <mergeCell ref="B75:B76"/>
    <mergeCell ref="C75:C76"/>
    <mergeCell ref="D75:D76"/>
    <mergeCell ref="E75:E76"/>
    <mergeCell ref="A100:A101"/>
    <mergeCell ref="A102:A103"/>
    <mergeCell ref="A104:A105"/>
    <mergeCell ref="A106:A107"/>
    <mergeCell ref="A108:A109"/>
    <mergeCell ref="D135:D136"/>
    <mergeCell ref="E135:E136"/>
    <mergeCell ref="A142:A144"/>
    <mergeCell ref="A110:A111"/>
    <mergeCell ref="A117:A118"/>
    <mergeCell ref="A123:A124"/>
    <mergeCell ref="B135:B136"/>
    <mergeCell ref="C135:C136"/>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5"/>
  <sheetViews>
    <sheetView topLeftCell="A22" zoomScale="80" zoomScaleNormal="80" workbookViewId="0">
      <selection activeCell="D48" sqref="D48"/>
    </sheetView>
  </sheetViews>
  <sheetFormatPr defaultRowHeight="14.4" x14ac:dyDescent="0.3"/>
  <cols>
    <col min="1" max="1" width="34.33203125" style="3" bestFit="1" customWidth="1"/>
    <col min="2" max="2" width="13.5546875" customWidth="1"/>
    <col min="3" max="3" width="21.44140625" customWidth="1"/>
    <col min="4" max="5" width="18.33203125" customWidth="1"/>
    <col min="6" max="7" width="18.33203125" bestFit="1" customWidth="1"/>
    <col min="8" max="8" width="16.21875" customWidth="1"/>
    <col min="9" max="9" width="14.109375" customWidth="1"/>
    <col min="10" max="11" width="16.5546875" customWidth="1"/>
  </cols>
  <sheetData>
    <row r="1" spans="1:8" ht="15.6" customHeight="1" x14ac:dyDescent="0.3">
      <c r="A1" s="12"/>
      <c r="C1" s="23" t="s">
        <v>148</v>
      </c>
      <c r="D1" s="23"/>
      <c r="E1" s="23"/>
      <c r="F1" s="23" t="s">
        <v>117</v>
      </c>
      <c r="G1" s="23"/>
      <c r="H1" s="23"/>
    </row>
    <row r="2" spans="1:8" ht="15.6" x14ac:dyDescent="0.3">
      <c r="A2" s="24" t="s">
        <v>0</v>
      </c>
      <c r="B2" s="24" t="s">
        <v>10</v>
      </c>
      <c r="C2" s="10" t="s">
        <v>9</v>
      </c>
      <c r="D2" t="s">
        <v>138</v>
      </c>
      <c r="E2" t="s">
        <v>139</v>
      </c>
      <c r="F2" s="10" t="s">
        <v>9</v>
      </c>
      <c r="G2" t="s">
        <v>138</v>
      </c>
      <c r="H2" t="s">
        <v>139</v>
      </c>
    </row>
    <row r="3" spans="1:8" x14ac:dyDescent="0.3">
      <c r="A3" s="13" t="s">
        <v>119</v>
      </c>
      <c r="B3" s="13" t="s">
        <v>118</v>
      </c>
      <c r="C3" s="42">
        <f>AVERAGE(D3:E3)/$D$39*$D$54</f>
        <v>0.10181704260651629</v>
      </c>
      <c r="D3" s="43">
        <v>2</v>
      </c>
      <c r="E3" s="43">
        <v>3</v>
      </c>
      <c r="F3" s="42">
        <f>AVERAGE(G3:H3)/$D$38*$D$54</f>
        <v>0.124499057048562</v>
      </c>
      <c r="G3" s="43">
        <v>2.5</v>
      </c>
      <c r="H3" s="43">
        <v>4</v>
      </c>
    </row>
    <row r="4" spans="1:8" x14ac:dyDescent="0.3">
      <c r="A4" s="13" t="s">
        <v>24</v>
      </c>
      <c r="B4" s="13" t="s">
        <v>118</v>
      </c>
      <c r="C4" s="42">
        <f>AVERAGE(D4:E4)/$D$39*$D$54</f>
        <v>0.13236215538847118</v>
      </c>
      <c r="D4" s="43">
        <v>2.5</v>
      </c>
      <c r="E4" s="43">
        <v>4</v>
      </c>
      <c r="F4" s="42">
        <f>AVERAGE(G4:H4)/$D$38*$D$54</f>
        <v>0.15322960867515323</v>
      </c>
      <c r="G4" s="43">
        <v>3</v>
      </c>
      <c r="H4" s="43">
        <v>5</v>
      </c>
    </row>
    <row r="5" spans="1:8" x14ac:dyDescent="0.3">
      <c r="A5" s="13" t="s">
        <v>120</v>
      </c>
      <c r="B5" s="13" t="s">
        <v>118</v>
      </c>
      <c r="C5" s="42">
        <f t="shared" ref="C5:C10" si="0">AVERAGE(D5:E5)/$D$39*$D$48</f>
        <v>0.71794871794871784</v>
      </c>
      <c r="D5" s="43">
        <v>2.25</v>
      </c>
      <c r="E5" s="43">
        <v>2.5</v>
      </c>
      <c r="F5" s="42">
        <f t="shared" ref="F5:F10" si="1">AVERAGE(G5:H5)/$D$38*$D$48</f>
        <v>0.78192434628078189</v>
      </c>
      <c r="G5" s="43">
        <v>2.5</v>
      </c>
      <c r="H5" s="43">
        <v>3</v>
      </c>
    </row>
    <row r="6" spans="1:8" x14ac:dyDescent="0.3">
      <c r="A6" s="13" t="s">
        <v>121</v>
      </c>
      <c r="B6" s="13" t="s">
        <v>118</v>
      </c>
      <c r="C6" s="42">
        <f t="shared" si="0"/>
        <v>0.15114709851551955</v>
      </c>
      <c r="D6" s="43">
        <v>0.5</v>
      </c>
      <c r="E6" s="43">
        <v>0.5</v>
      </c>
      <c r="F6" s="42">
        <f t="shared" si="1"/>
        <v>0.28433612592028429</v>
      </c>
      <c r="G6" s="43">
        <v>0.5</v>
      </c>
      <c r="H6" s="43">
        <v>1.5</v>
      </c>
    </row>
    <row r="7" spans="1:8" x14ac:dyDescent="0.3">
      <c r="A7" s="13" t="s">
        <v>122</v>
      </c>
      <c r="B7" s="13" t="s">
        <v>118</v>
      </c>
      <c r="C7" s="42">
        <f t="shared" si="0"/>
        <v>0.86153846153846148</v>
      </c>
      <c r="D7" s="43">
        <v>2.4</v>
      </c>
      <c r="E7" s="43">
        <v>3.3</v>
      </c>
      <c r="F7" s="42">
        <f t="shared" si="1"/>
        <v>0.99517644072099509</v>
      </c>
      <c r="G7" s="43">
        <v>3</v>
      </c>
      <c r="H7" s="43">
        <v>4</v>
      </c>
    </row>
    <row r="8" spans="1:8" x14ac:dyDescent="0.3">
      <c r="A8" s="13" t="s">
        <v>123</v>
      </c>
      <c r="B8" s="13" t="s">
        <v>118</v>
      </c>
      <c r="C8" s="42">
        <f t="shared" si="0"/>
        <v>7.5573549257759776E-2</v>
      </c>
      <c r="D8" s="43">
        <v>0.25</v>
      </c>
      <c r="E8" s="43">
        <v>0.25</v>
      </c>
      <c r="F8" s="42">
        <f t="shared" si="1"/>
        <v>0.12795125666412793</v>
      </c>
      <c r="G8" s="43">
        <v>0.3</v>
      </c>
      <c r="H8" s="43">
        <v>0.6</v>
      </c>
    </row>
    <row r="9" spans="1:8" x14ac:dyDescent="0.3">
      <c r="A9" s="13" t="s">
        <v>124</v>
      </c>
      <c r="B9" s="13" t="s">
        <v>118</v>
      </c>
      <c r="C9" s="42">
        <f t="shared" si="0"/>
        <v>0.75573549257759776</v>
      </c>
      <c r="D9" s="43">
        <v>2</v>
      </c>
      <c r="E9" s="43">
        <v>3</v>
      </c>
      <c r="F9" s="42">
        <f t="shared" si="1"/>
        <v>0.85300837776085292</v>
      </c>
      <c r="G9" s="43">
        <v>3</v>
      </c>
      <c r="H9" s="43">
        <v>3</v>
      </c>
    </row>
    <row r="10" spans="1:8" x14ac:dyDescent="0.3">
      <c r="A10" s="13" t="s">
        <v>125</v>
      </c>
      <c r="B10" s="13" t="s">
        <v>118</v>
      </c>
      <c r="C10" s="42">
        <f t="shared" si="0"/>
        <v>5.2901484480431846E-2</v>
      </c>
      <c r="D10" s="43">
        <v>0.1</v>
      </c>
      <c r="E10" s="43">
        <v>0.25</v>
      </c>
      <c r="F10" s="42">
        <f t="shared" si="1"/>
        <v>0.10662604722010662</v>
      </c>
      <c r="G10" s="43">
        <v>0.25</v>
      </c>
      <c r="H10" s="43">
        <v>0.5</v>
      </c>
    </row>
    <row r="11" spans="1:8" x14ac:dyDescent="0.3">
      <c r="A11" s="13" t="s">
        <v>30</v>
      </c>
      <c r="B11" s="13" t="s">
        <v>118</v>
      </c>
      <c r="C11" s="42">
        <f>AVERAGE(D11:E11)/$D$39/$D$49</f>
        <v>0.22672064777327935</v>
      </c>
      <c r="D11" s="43">
        <v>50</v>
      </c>
      <c r="E11" s="43">
        <v>100</v>
      </c>
      <c r="F11" s="42">
        <f>AVERAGE(G11:H11)/$D$38/$D$49</f>
        <v>0.22746890073622747</v>
      </c>
      <c r="G11" s="43">
        <v>60</v>
      </c>
      <c r="H11" s="43">
        <v>100</v>
      </c>
    </row>
    <row r="12" spans="1:8" x14ac:dyDescent="0.3">
      <c r="A12" s="13" t="s">
        <v>126</v>
      </c>
      <c r="B12" s="13" t="s">
        <v>118</v>
      </c>
      <c r="C12" s="42">
        <f t="shared" ref="C12:C22" si="2">AVERAGE(D12:E12)/$D$39*$D$48</f>
        <v>2.5695006747638325</v>
      </c>
      <c r="D12" s="43">
        <v>6</v>
      </c>
      <c r="E12" s="43">
        <v>11</v>
      </c>
      <c r="F12" s="42">
        <f t="shared" ref="F12:F22" si="3">AVERAGE(G12:H12)/$D$38*$D$48</f>
        <v>3.1276973851231276</v>
      </c>
      <c r="G12" s="43">
        <v>10</v>
      </c>
      <c r="H12" s="43">
        <v>12</v>
      </c>
    </row>
    <row r="13" spans="1:8" x14ac:dyDescent="0.3">
      <c r="A13" s="13" t="s">
        <v>127</v>
      </c>
      <c r="B13" s="13" t="s">
        <v>118</v>
      </c>
      <c r="C13" s="42">
        <f t="shared" si="2"/>
        <v>1.2091767881241564</v>
      </c>
      <c r="D13" s="43">
        <v>4</v>
      </c>
      <c r="E13" s="43">
        <v>4</v>
      </c>
      <c r="F13" s="42">
        <f t="shared" si="3"/>
        <v>1.4216806296014215</v>
      </c>
      <c r="G13" s="43">
        <v>5</v>
      </c>
      <c r="H13" s="43">
        <v>5</v>
      </c>
    </row>
    <row r="14" spans="1:8" x14ac:dyDescent="0.3">
      <c r="A14" s="13" t="s">
        <v>128</v>
      </c>
      <c r="B14" s="13" t="s">
        <v>118</v>
      </c>
      <c r="C14" s="42">
        <f t="shared" si="2"/>
        <v>0.64237516869095812</v>
      </c>
      <c r="D14" s="43">
        <v>1.75</v>
      </c>
      <c r="E14" s="43">
        <v>2.5</v>
      </c>
      <c r="F14" s="42">
        <f t="shared" si="3"/>
        <v>0.49758822036049755</v>
      </c>
      <c r="G14" s="43">
        <v>1.5</v>
      </c>
      <c r="H14" s="43">
        <v>2</v>
      </c>
    </row>
    <row r="15" spans="1:8" x14ac:dyDescent="0.3">
      <c r="A15" s="13" t="s">
        <v>129</v>
      </c>
      <c r="B15" s="13" t="s">
        <v>118</v>
      </c>
      <c r="C15" s="42">
        <f t="shared" si="2"/>
        <v>0.68016194331983804</v>
      </c>
      <c r="D15" s="43">
        <v>2</v>
      </c>
      <c r="E15" s="43">
        <v>2.5</v>
      </c>
      <c r="F15" s="42">
        <f t="shared" si="3"/>
        <v>0.17771007870017769</v>
      </c>
      <c r="G15" s="43">
        <v>0.5</v>
      </c>
      <c r="H15" s="43">
        <v>0.75</v>
      </c>
    </row>
    <row r="16" spans="1:8" x14ac:dyDescent="0.3">
      <c r="A16" s="13" t="s">
        <v>130</v>
      </c>
      <c r="B16" s="13" t="s">
        <v>118</v>
      </c>
      <c r="C16" s="42">
        <f t="shared" si="2"/>
        <v>1.3603238866396761</v>
      </c>
      <c r="D16" s="43">
        <v>4.25</v>
      </c>
      <c r="E16" s="43">
        <v>4.75</v>
      </c>
      <c r="F16" s="42">
        <f t="shared" si="3"/>
        <v>1.9192688499619193</v>
      </c>
      <c r="G16" s="43">
        <v>5</v>
      </c>
      <c r="H16" s="43">
        <v>8.5</v>
      </c>
    </row>
    <row r="17" spans="1:8" x14ac:dyDescent="0.3">
      <c r="A17" s="13" t="s">
        <v>13</v>
      </c>
      <c r="B17" s="13" t="s">
        <v>118</v>
      </c>
      <c r="C17" s="42">
        <f t="shared" si="2"/>
        <v>0.98245614035087714</v>
      </c>
      <c r="D17" s="43">
        <v>3</v>
      </c>
      <c r="E17" s="43">
        <v>3.5</v>
      </c>
      <c r="F17" s="42">
        <f t="shared" si="3"/>
        <v>1.4216806296014215</v>
      </c>
      <c r="G17" s="43">
        <v>4</v>
      </c>
      <c r="H17" s="43">
        <v>6</v>
      </c>
    </row>
    <row r="18" spans="1:8" x14ac:dyDescent="0.3">
      <c r="A18" s="13" t="s">
        <v>46</v>
      </c>
      <c r="B18" s="13" t="s">
        <v>118</v>
      </c>
      <c r="C18" s="42">
        <f t="shared" si="2"/>
        <v>5.4412955465587043</v>
      </c>
      <c r="D18" s="43">
        <v>14</v>
      </c>
      <c r="E18" s="43">
        <v>22</v>
      </c>
      <c r="F18" s="42">
        <f t="shared" si="3"/>
        <v>6.2553947702462551</v>
      </c>
      <c r="G18" s="43">
        <v>21.5</v>
      </c>
      <c r="H18" s="43">
        <v>22.5</v>
      </c>
    </row>
    <row r="19" spans="1:8" x14ac:dyDescent="0.3">
      <c r="A19" s="13" t="s">
        <v>131</v>
      </c>
      <c r="B19" s="13" t="s">
        <v>118</v>
      </c>
      <c r="C19" s="42">
        <f t="shared" si="2"/>
        <v>0.22672064777327933</v>
      </c>
      <c r="D19" s="43">
        <v>0.5</v>
      </c>
      <c r="E19" s="43">
        <v>1</v>
      </c>
      <c r="F19" s="42">
        <f t="shared" si="3"/>
        <v>0.21325209444021323</v>
      </c>
      <c r="G19" s="43">
        <v>0.5</v>
      </c>
      <c r="H19" s="43">
        <v>1</v>
      </c>
    </row>
    <row r="20" spans="1:8" x14ac:dyDescent="0.3">
      <c r="A20" s="13" t="s">
        <v>44</v>
      </c>
      <c r="B20" s="13" t="s">
        <v>118</v>
      </c>
      <c r="C20" s="42">
        <f t="shared" si="2"/>
        <v>2.1160593792172739</v>
      </c>
      <c r="D20" s="43">
        <v>6</v>
      </c>
      <c r="E20" s="43">
        <v>8</v>
      </c>
      <c r="F20" s="42">
        <f t="shared" si="3"/>
        <v>2.5590251332825589</v>
      </c>
      <c r="G20" s="43">
        <v>8</v>
      </c>
      <c r="H20" s="43">
        <v>10</v>
      </c>
    </row>
    <row r="21" spans="1:8" ht="15" x14ac:dyDescent="0.3">
      <c r="A21" s="13" t="s">
        <v>132</v>
      </c>
      <c r="B21" s="13" t="s">
        <v>118</v>
      </c>
      <c r="C21" s="42">
        <f t="shared" si="2"/>
        <v>1.6626180836707152</v>
      </c>
      <c r="D21" s="43">
        <v>4</v>
      </c>
      <c r="E21" s="43">
        <v>7</v>
      </c>
      <c r="F21" s="42">
        <f t="shared" si="3"/>
        <v>1.5638486925615638</v>
      </c>
      <c r="G21" s="43">
        <v>4</v>
      </c>
      <c r="H21" s="43">
        <v>7</v>
      </c>
    </row>
    <row r="22" spans="1:8" x14ac:dyDescent="0.3">
      <c r="A22" s="13" t="s">
        <v>133</v>
      </c>
      <c r="B22" s="13" t="s">
        <v>118</v>
      </c>
      <c r="C22" s="42">
        <f t="shared" si="2"/>
        <v>0.52901484480431848</v>
      </c>
      <c r="D22" s="43">
        <v>1.5</v>
      </c>
      <c r="E22" s="43">
        <v>2</v>
      </c>
      <c r="F22" s="42">
        <f t="shared" si="3"/>
        <v>0.49758822036049755</v>
      </c>
      <c r="G22" s="43">
        <v>1.5</v>
      </c>
      <c r="H22" s="43">
        <v>2</v>
      </c>
    </row>
    <row r="23" spans="1:8" x14ac:dyDescent="0.3">
      <c r="A23" s="13" t="s">
        <v>43</v>
      </c>
      <c r="B23" s="13" t="s">
        <v>141</v>
      </c>
      <c r="C23" s="42">
        <f>AVERAGE(D23:E23)/$D$39/$D$55</f>
        <v>5.1169590643274851E-3</v>
      </c>
      <c r="D23" s="43">
        <v>1.5</v>
      </c>
      <c r="E23" s="43">
        <v>2</v>
      </c>
      <c r="F23" s="42">
        <f>AVERAGE(G23:H23)/$D$38/$D$55</f>
        <v>4.8129812981298125E-3</v>
      </c>
      <c r="G23" s="43">
        <v>1.5</v>
      </c>
      <c r="H23" s="43">
        <v>2</v>
      </c>
    </row>
    <row r="24" spans="1:8" x14ac:dyDescent="0.3">
      <c r="A24" s="13" t="s">
        <v>6</v>
      </c>
      <c r="B24" s="13" t="s">
        <v>118</v>
      </c>
      <c r="C24" s="42">
        <f>AVERAGE(D24:E24)/$D$39/$D$49</f>
        <v>4.2321187584345478E-2</v>
      </c>
      <c r="D24" s="43">
        <v>10</v>
      </c>
      <c r="E24" s="43">
        <v>18</v>
      </c>
      <c r="F24" s="42">
        <f>AVERAGE(G24:H24)/$D$38/$D$49</f>
        <v>0.19903528814419902</v>
      </c>
      <c r="G24" s="43">
        <v>40</v>
      </c>
      <c r="H24" s="43">
        <v>100</v>
      </c>
    </row>
    <row r="25" spans="1:8" x14ac:dyDescent="0.3">
      <c r="A25" s="13" t="s">
        <v>7</v>
      </c>
      <c r="B25" s="13" t="s">
        <v>118</v>
      </c>
      <c r="C25" s="42">
        <f>AVERAGE(D25:E25)/$D$39/$D$49</f>
        <v>5.1390013495276651E-2</v>
      </c>
      <c r="D25" s="43">
        <v>16</v>
      </c>
      <c r="E25" s="43">
        <v>18</v>
      </c>
      <c r="F25" s="42">
        <f>AVERAGE(G25:H25)/$D$38/$D$49</f>
        <v>0.17913175932977912</v>
      </c>
      <c r="G25" s="43">
        <v>36</v>
      </c>
      <c r="H25" s="43">
        <v>90</v>
      </c>
    </row>
    <row r="26" spans="1:8" x14ac:dyDescent="0.3">
      <c r="A26" s="13" t="s">
        <v>134</v>
      </c>
      <c r="B26" s="13" t="s">
        <v>118</v>
      </c>
      <c r="C26" s="42">
        <f>AVERAGE(D26:E26)/$D$39/$D$49</f>
        <v>0.11789473684210526</v>
      </c>
      <c r="D26" s="43">
        <v>28</v>
      </c>
      <c r="E26" s="43">
        <v>50</v>
      </c>
      <c r="F26" s="42">
        <f>AVERAGE(G26:H26)/$D$38/$D$49</f>
        <v>0.1706016755521706</v>
      </c>
      <c r="G26" s="43">
        <v>40</v>
      </c>
      <c r="H26" s="43">
        <v>80</v>
      </c>
    </row>
    <row r="27" spans="1:8" x14ac:dyDescent="0.3">
      <c r="A27" s="13" t="s">
        <v>29</v>
      </c>
      <c r="B27" s="13" t="s">
        <v>140</v>
      </c>
      <c r="C27" s="42">
        <f>AVERAGE(D27:E27)/$D$39</f>
        <v>1.9736842105263157E-2</v>
      </c>
      <c r="D27" s="43">
        <v>1</v>
      </c>
      <c r="E27" s="43">
        <v>1.25</v>
      </c>
      <c r="F27" s="42">
        <f>AVERAGE(G27:H27)/$D$38</f>
        <v>4.5379537953795381E-2</v>
      </c>
      <c r="G27" s="43">
        <v>1.5</v>
      </c>
      <c r="H27" s="43">
        <v>4</v>
      </c>
    </row>
    <row r="28" spans="1:8" x14ac:dyDescent="0.3">
      <c r="A28" s="13" t="s">
        <v>135</v>
      </c>
      <c r="B28" s="13" t="s">
        <v>141</v>
      </c>
      <c r="C28" s="42">
        <f>AVERAGE(D28:E28)/$D$39</f>
        <v>1.7543859649122806E-2</v>
      </c>
      <c r="D28" s="43">
        <v>1</v>
      </c>
      <c r="E28" s="43">
        <v>1</v>
      </c>
      <c r="F28" s="42">
        <f>AVERAGE(G28:H28)/$D$38</f>
        <v>2.475247524752475E-2</v>
      </c>
      <c r="G28" s="43">
        <v>1</v>
      </c>
      <c r="H28" s="43">
        <v>2</v>
      </c>
    </row>
    <row r="29" spans="1:8" x14ac:dyDescent="0.3">
      <c r="A29" s="13" t="s">
        <v>25</v>
      </c>
      <c r="B29" s="13" t="s">
        <v>141</v>
      </c>
      <c r="C29" s="42">
        <f>AVERAGE(D29:E29)/$D$39/20</f>
        <v>7.2368421052631583E-4</v>
      </c>
      <c r="D29" s="43">
        <v>0.65</v>
      </c>
      <c r="E29" s="43">
        <v>1</v>
      </c>
      <c r="F29" s="42"/>
      <c r="G29" s="43"/>
      <c r="H29" s="43"/>
    </row>
    <row r="30" spans="1:8" x14ac:dyDescent="0.3">
      <c r="A30" s="13" t="s">
        <v>75</v>
      </c>
      <c r="B30" s="13" t="s">
        <v>118</v>
      </c>
      <c r="C30" s="42">
        <f>AVERAGE(D30:E30)/$D$39/$D$49</f>
        <v>0.4987854251012146</v>
      </c>
      <c r="D30" s="43">
        <v>110</v>
      </c>
      <c r="E30" s="43">
        <v>220</v>
      </c>
      <c r="F30" s="42">
        <f>AVERAGE(G30:H30)/$D$38/$D$49</f>
        <v>0.2701193196242701</v>
      </c>
      <c r="G30" s="43">
        <v>80</v>
      </c>
      <c r="H30" s="43">
        <v>110</v>
      </c>
    </row>
    <row r="31" spans="1:8" x14ac:dyDescent="0.3">
      <c r="A31" s="13" t="s">
        <v>136</v>
      </c>
      <c r="B31" s="13" t="s">
        <v>118</v>
      </c>
      <c r="C31" s="42">
        <f>AVERAGE(D31:E31)/$D$39/$D$49</f>
        <v>0.4836707152496626</v>
      </c>
      <c r="D31" s="43">
        <v>120</v>
      </c>
      <c r="E31" s="43">
        <v>200</v>
      </c>
      <c r="F31" s="42">
        <f>AVERAGE(G31:H31)/$D$38/$D$49</f>
        <v>0.45493780147245494</v>
      </c>
      <c r="G31" s="43">
        <v>120</v>
      </c>
      <c r="H31" s="43">
        <v>200</v>
      </c>
    </row>
    <row r="32" spans="1:8" x14ac:dyDescent="0.3">
      <c r="A32" s="13" t="s">
        <v>137</v>
      </c>
      <c r="B32" s="13" t="s">
        <v>118</v>
      </c>
      <c r="C32" s="42">
        <f>AVERAGE(D32:E32)/$D$39*$D$48</f>
        <v>0.22672064777327933</v>
      </c>
      <c r="D32" s="43">
        <v>0.5</v>
      </c>
      <c r="E32" s="43">
        <v>1</v>
      </c>
      <c r="F32" s="42">
        <f>AVERAGE(G32:H32)/$D$38*$D$48</f>
        <v>0.21325209444021323</v>
      </c>
      <c r="G32" s="43">
        <v>0.5</v>
      </c>
      <c r="H32" s="43">
        <v>1</v>
      </c>
    </row>
    <row r="33" spans="1:10" x14ac:dyDescent="0.3">
      <c r="A33" s="13" t="s">
        <v>87</v>
      </c>
      <c r="B33" s="13" t="s">
        <v>118</v>
      </c>
      <c r="C33" s="42">
        <f>AVERAGE(D33:E33)/$D$39*$D$48</f>
        <v>2.5695006747638325</v>
      </c>
      <c r="D33" s="43">
        <v>5</v>
      </c>
      <c r="E33" s="43">
        <v>12</v>
      </c>
      <c r="F33" s="42">
        <f>AVERAGE(G33:H33)/$D$38*$D$48</f>
        <v>2.416857070322417</v>
      </c>
      <c r="G33" s="43">
        <v>5</v>
      </c>
      <c r="H33" s="43">
        <v>12</v>
      </c>
    </row>
    <row r="34" spans="1:10" x14ac:dyDescent="0.3">
      <c r="A34" s="13" t="s">
        <v>276</v>
      </c>
      <c r="B34" s="13" t="s">
        <v>118</v>
      </c>
      <c r="C34" s="42">
        <f>AVERAGE(D34:E34)/$D$39*$D$48</f>
        <v>3.1740890688259107</v>
      </c>
      <c r="D34" s="43">
        <v>6</v>
      </c>
      <c r="E34" s="43">
        <v>15</v>
      </c>
      <c r="F34" s="42">
        <f>AVERAGE(G34:H34)/$D$38*$D$48</f>
        <v>2.9855293221629853</v>
      </c>
      <c r="G34" s="43">
        <v>6</v>
      </c>
      <c r="H34" s="43">
        <v>15</v>
      </c>
    </row>
    <row r="35" spans="1:10" x14ac:dyDescent="0.3">
      <c r="A35" s="13" t="s">
        <v>31</v>
      </c>
      <c r="B35" s="13" t="s">
        <v>118</v>
      </c>
      <c r="C35" s="42">
        <f>AVERAGE(D35:E35)/$D$39*$D$48</f>
        <v>0.26450742240215924</v>
      </c>
      <c r="D35" s="43">
        <v>0.75</v>
      </c>
      <c r="E35" s="43">
        <v>1</v>
      </c>
      <c r="F35" s="42">
        <f>AVERAGE(G35:H35)/$D$38*$D$48</f>
        <v>0.24879411018024877</v>
      </c>
      <c r="G35" s="43">
        <v>0.75</v>
      </c>
      <c r="H35" s="43">
        <v>1</v>
      </c>
    </row>
    <row r="36" spans="1:10" x14ac:dyDescent="0.3">
      <c r="A36" s="27"/>
    </row>
    <row r="37" spans="1:10" x14ac:dyDescent="0.3">
      <c r="A37" s="25" t="s">
        <v>14</v>
      </c>
    </row>
    <row r="38" spans="1:10" x14ac:dyDescent="0.3">
      <c r="A38" s="3" t="s">
        <v>34</v>
      </c>
      <c r="B38" s="3">
        <v>1</v>
      </c>
      <c r="C38" s="4" t="s">
        <v>15</v>
      </c>
      <c r="D38" s="6">
        <v>60.6</v>
      </c>
      <c r="E38" s="4" t="s">
        <v>16</v>
      </c>
    </row>
    <row r="39" spans="1:10" x14ac:dyDescent="0.3">
      <c r="A39" s="3" t="s">
        <v>20</v>
      </c>
      <c r="B39" s="3">
        <v>1</v>
      </c>
      <c r="C39" s="4" t="s">
        <v>15</v>
      </c>
      <c r="D39" s="6">
        <v>57</v>
      </c>
      <c r="E39" s="4" t="s">
        <v>16</v>
      </c>
      <c r="H39" s="3"/>
      <c r="J39" s="3"/>
    </row>
    <row r="40" spans="1:10" x14ac:dyDescent="0.3">
      <c r="B40">
        <v>1</v>
      </c>
      <c r="C40" s="4" t="s">
        <v>26</v>
      </c>
      <c r="D40">
        <v>13</v>
      </c>
      <c r="E40" s="4" t="s">
        <v>18</v>
      </c>
    </row>
    <row r="41" spans="1:10" x14ac:dyDescent="0.3">
      <c r="B41">
        <v>1</v>
      </c>
      <c r="C41" s="4" t="s">
        <v>27</v>
      </c>
      <c r="D41" s="6">
        <v>7.5</v>
      </c>
      <c r="E41" s="4" t="s">
        <v>18</v>
      </c>
    </row>
    <row r="42" spans="1:10" x14ac:dyDescent="0.3">
      <c r="B42">
        <v>1</v>
      </c>
      <c r="C42" t="s">
        <v>281</v>
      </c>
      <c r="D42">
        <v>2204.6</v>
      </c>
      <c r="E42" s="4" t="s">
        <v>18</v>
      </c>
    </row>
    <row r="43" spans="1:10" x14ac:dyDescent="0.3">
      <c r="B43">
        <v>1</v>
      </c>
      <c r="C43" s="4" t="s">
        <v>280</v>
      </c>
      <c r="D43" s="102">
        <v>2240</v>
      </c>
      <c r="E43" s="4" t="s">
        <v>18</v>
      </c>
    </row>
    <row r="44" spans="1:10" x14ac:dyDescent="0.3">
      <c r="B44">
        <v>1</v>
      </c>
      <c r="C44" s="4" t="s">
        <v>21</v>
      </c>
      <c r="D44" s="26">
        <v>20</v>
      </c>
      <c r="E44" s="4" t="s">
        <v>22</v>
      </c>
    </row>
    <row r="45" spans="1:10" x14ac:dyDescent="0.3">
      <c r="B45">
        <v>1</v>
      </c>
      <c r="C45" s="4" t="s">
        <v>17</v>
      </c>
      <c r="D45">
        <v>6.5</v>
      </c>
      <c r="E45" s="4" t="s">
        <v>18</v>
      </c>
    </row>
    <row r="46" spans="1:10" x14ac:dyDescent="0.3">
      <c r="B46">
        <v>1</v>
      </c>
      <c r="C46" s="4" t="s">
        <v>32</v>
      </c>
      <c r="D46">
        <v>100</v>
      </c>
      <c r="E46" s="4" t="s">
        <v>17</v>
      </c>
    </row>
    <row r="47" spans="1:10" x14ac:dyDescent="0.3">
      <c r="B47" s="3">
        <v>1</v>
      </c>
      <c r="C47" s="4" t="s">
        <v>104</v>
      </c>
      <c r="D47" s="20">
        <v>112</v>
      </c>
      <c r="E47" s="4" t="s">
        <v>18</v>
      </c>
    </row>
    <row r="48" spans="1:10" x14ac:dyDescent="0.3">
      <c r="B48" s="3">
        <v>1</v>
      </c>
      <c r="C48" s="4" t="s">
        <v>104</v>
      </c>
      <c r="D48" s="6">
        <f>$D$47/$D$45</f>
        <v>17.23076923076923</v>
      </c>
      <c r="E48" s="4" t="s">
        <v>17</v>
      </c>
    </row>
    <row r="49" spans="1:5" x14ac:dyDescent="0.3">
      <c r="B49" s="3">
        <v>1</v>
      </c>
      <c r="C49" s="4" t="s">
        <v>32</v>
      </c>
      <c r="D49" s="6">
        <f>$D$46/$D$48</f>
        <v>5.8035714285714288</v>
      </c>
      <c r="E49" s="4" t="s">
        <v>104</v>
      </c>
    </row>
    <row r="51" spans="1:5" x14ac:dyDescent="0.3">
      <c r="B51" s="113">
        <v>1</v>
      </c>
      <c r="C51" s="110" t="s">
        <v>153</v>
      </c>
      <c r="D51" s="111">
        <v>130</v>
      </c>
      <c r="E51" s="112" t="s">
        <v>18</v>
      </c>
    </row>
    <row r="52" spans="1:5" x14ac:dyDescent="0.3">
      <c r="B52" s="113"/>
      <c r="C52" s="110"/>
      <c r="D52" s="111"/>
      <c r="E52" s="112"/>
    </row>
    <row r="53" spans="1:5" x14ac:dyDescent="0.3">
      <c r="B53" s="38">
        <v>1</v>
      </c>
      <c r="C53" s="4" t="s">
        <v>154</v>
      </c>
      <c r="D53" s="6">
        <v>260</v>
      </c>
      <c r="E53" s="4" t="s">
        <v>18</v>
      </c>
    </row>
    <row r="54" spans="1:5" x14ac:dyDescent="0.3">
      <c r="B54" s="38">
        <v>1</v>
      </c>
      <c r="C54" s="4" t="s">
        <v>154</v>
      </c>
      <c r="D54" s="6">
        <f>D53/D47</f>
        <v>2.3214285714285716</v>
      </c>
      <c r="E54" s="4" t="s">
        <v>104</v>
      </c>
    </row>
    <row r="55" spans="1:5" x14ac:dyDescent="0.3">
      <c r="A55" s="3" t="s">
        <v>43</v>
      </c>
      <c r="B55" s="38">
        <v>1</v>
      </c>
      <c r="C55" s="4" t="s">
        <v>253</v>
      </c>
      <c r="D55">
        <v>6</v>
      </c>
      <c r="E55" s="4" t="s">
        <v>254</v>
      </c>
    </row>
  </sheetData>
  <mergeCells count="4">
    <mergeCell ref="B51:B52"/>
    <mergeCell ref="C51:C52"/>
    <mergeCell ref="D51:D52"/>
    <mergeCell ref="E51:E52"/>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5"/>
  <sheetViews>
    <sheetView workbookViewId="0">
      <selection activeCell="B6" sqref="B6"/>
    </sheetView>
  </sheetViews>
  <sheetFormatPr defaultRowHeight="14.4" x14ac:dyDescent="0.3"/>
  <sheetData>
    <row r="3" spans="1:2" x14ac:dyDescent="0.3">
      <c r="A3" s="95"/>
      <c r="B3" s="4" t="s">
        <v>258</v>
      </c>
    </row>
    <row r="5" spans="1:2" x14ac:dyDescent="0.3">
      <c r="A5" s="96"/>
      <c r="B5" s="4" t="s">
        <v>261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Intro</vt:lpstr>
      <vt:lpstr>Kermanshah - Prices (Imports)</vt:lpstr>
      <vt:lpstr>Kermanshah - Prices (Exports)</vt:lpstr>
      <vt:lpstr>Kermanshah-Prices(Bazaar-Local)</vt:lpstr>
      <vt:lpstr>Imports - Data (Raw &amp; Adjusted)</vt:lpstr>
      <vt:lpstr>Exports - Data (Raw &amp; Adjusted)</vt:lpstr>
      <vt:lpstr>Bazaar(Local) - Prices(Raw&amp;Adj)</vt:lpstr>
      <vt:lpstr>Color Legend</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2018-11-08T20:22:49Z</dcterms:modified>
</cp:coreProperties>
</file>