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20" tabRatio="821"/>
  </bookViews>
  <sheets>
    <sheet name="Intro" sheetId="27" r:id="rId1"/>
    <sheet name="Kerman - Prices (Imports)" sheetId="24" r:id="rId2"/>
    <sheet name="Kerman - Prices (Exports)" sheetId="25" r:id="rId3"/>
    <sheet name="Kerman - Bazaar (Local) Prices" sheetId="26" r:id="rId4"/>
    <sheet name="Imports - Data (Raw&amp;Adjusted)" sheetId="1" r:id="rId5"/>
    <sheet name="Exports - Data (Raw&amp;Adjusted)" sheetId="20" r:id="rId6"/>
    <sheet name="Bazaar(Local)- Prices (Raw&amp;Adj)" sheetId="22" r:id="rId7"/>
    <sheet name="Exports - Prices (Raw&amp;Adjusted)" sheetId="21" r:id="rId8"/>
    <sheet name="Color Legend" sheetId="28" r:id="rId9"/>
  </sheets>
  <calcPr calcId="152511"/>
</workbook>
</file>

<file path=xl/calcChain.xml><?xml version="1.0" encoding="utf-8"?>
<calcChain xmlns="http://schemas.openxmlformats.org/spreadsheetml/2006/main">
  <c r="AF52" i="1" l="1"/>
  <c r="AC52" i="1"/>
  <c r="Z52" i="1"/>
  <c r="V52" i="1"/>
  <c r="D24" i="1"/>
  <c r="AF24" i="1"/>
  <c r="AC24" i="1"/>
  <c r="Z24" i="1"/>
  <c r="V24" i="1"/>
  <c r="R24" i="1"/>
  <c r="O24" i="1"/>
  <c r="K24" i="1"/>
  <c r="H24" i="1"/>
  <c r="R6" i="1" l="1"/>
  <c r="O6" i="1"/>
  <c r="F93" i="1"/>
  <c r="F97" i="1" l="1"/>
  <c r="AH28" i="1" l="1"/>
  <c r="AE28" i="1"/>
  <c r="AB28" i="1"/>
  <c r="X27" i="1"/>
  <c r="AH27" i="1"/>
  <c r="AE27" i="1"/>
  <c r="AB27" i="1"/>
  <c r="E14" i="22"/>
  <c r="E13" i="22"/>
  <c r="E11" i="22"/>
  <c r="E10" i="22"/>
  <c r="E9" i="22"/>
  <c r="E8" i="22"/>
  <c r="E7" i="22"/>
  <c r="E6" i="22"/>
  <c r="E5" i="22"/>
  <c r="E4" i="22"/>
  <c r="E3" i="22"/>
  <c r="R51" i="1"/>
  <c r="O51" i="1"/>
  <c r="H51" i="1"/>
  <c r="R50" i="1"/>
  <c r="O50" i="1"/>
  <c r="K50" i="1"/>
  <c r="H50" i="1"/>
  <c r="F88" i="1"/>
  <c r="D50" i="1" l="1"/>
  <c r="D51" i="1"/>
  <c r="Z48" i="1"/>
  <c r="V48" i="1"/>
  <c r="D48" i="1"/>
  <c r="H43" i="1"/>
  <c r="R46" i="1"/>
  <c r="AF43" i="1"/>
  <c r="AC43" i="1"/>
  <c r="Z43" i="1"/>
  <c r="V43" i="1"/>
  <c r="R43" i="1"/>
  <c r="O43" i="1"/>
  <c r="K43" i="1"/>
  <c r="F116" i="1"/>
  <c r="F115" i="1"/>
  <c r="F114" i="1"/>
  <c r="F113" i="1"/>
  <c r="F112" i="1"/>
  <c r="F111" i="1"/>
  <c r="F110" i="1"/>
  <c r="F108" i="1"/>
  <c r="F107" i="1"/>
  <c r="F105" i="1"/>
  <c r="F103" i="1"/>
  <c r="F104" i="1" s="1"/>
  <c r="D102" i="1"/>
  <c r="F102" i="1" s="1"/>
  <c r="D101" i="1"/>
  <c r="F101" i="1" s="1"/>
  <c r="F100" i="1" s="1"/>
  <c r="F98" i="1"/>
  <c r="D89" i="1"/>
  <c r="D83" i="1"/>
  <c r="F76" i="1"/>
  <c r="D74" i="1"/>
  <c r="D73" i="1"/>
  <c r="X7" i="1" l="1"/>
  <c r="AH17" i="1" l="1"/>
  <c r="AH52" i="1"/>
  <c r="AH24" i="1"/>
  <c r="AH15" i="1"/>
  <c r="AH51" i="1"/>
  <c r="AH50" i="1"/>
  <c r="AH47" i="1"/>
  <c r="AH13" i="1"/>
  <c r="AH45" i="1"/>
  <c r="AH44" i="1"/>
  <c r="AH20" i="1"/>
  <c r="AH11" i="1"/>
  <c r="AH43" i="1"/>
  <c r="AH41" i="1"/>
  <c r="AH10" i="1"/>
  <c r="AH9" i="1"/>
  <c r="AH8" i="1"/>
  <c r="AH38" i="1"/>
  <c r="AH7" i="1"/>
  <c r="AH6" i="1"/>
  <c r="AH37" i="1"/>
  <c r="AH5" i="1"/>
  <c r="AH35" i="1"/>
  <c r="AH33" i="1"/>
  <c r="AH34" i="1"/>
  <c r="AH31" i="1"/>
  <c r="AH30" i="1"/>
  <c r="AE31" i="1"/>
  <c r="AE30" i="1"/>
  <c r="AE29" i="1"/>
  <c r="AE35" i="1"/>
  <c r="AE33" i="1"/>
  <c r="AE34" i="1"/>
  <c r="AE7" i="1"/>
  <c r="AE38" i="1"/>
  <c r="AE39" i="1"/>
  <c r="AE9" i="1"/>
  <c r="AE41" i="1"/>
  <c r="AE44" i="1"/>
  <c r="AE45" i="1"/>
  <c r="AE47" i="1"/>
  <c r="AE14" i="1"/>
  <c r="AE52" i="1"/>
  <c r="AB52" i="1"/>
  <c r="AB14" i="1"/>
  <c r="AB48" i="1"/>
  <c r="AB47" i="1"/>
  <c r="AB45" i="1"/>
  <c r="AB44" i="1"/>
  <c r="AB41" i="1"/>
  <c r="AB9" i="1"/>
  <c r="AB39" i="1"/>
  <c r="AB38" i="1"/>
  <c r="AB7" i="1"/>
  <c r="AB34" i="1"/>
  <c r="AB33" i="1"/>
  <c r="AB31" i="1"/>
  <c r="AB30" i="1"/>
  <c r="AB29" i="1"/>
  <c r="X30" i="1"/>
  <c r="X31" i="1"/>
  <c r="X33" i="1"/>
  <c r="X34" i="1"/>
  <c r="X35" i="1"/>
  <c r="X38" i="1"/>
  <c r="X9" i="1"/>
  <c r="X41" i="1"/>
  <c r="X48" i="1"/>
  <c r="X49" i="1"/>
  <c r="X52" i="1"/>
  <c r="T17" i="1"/>
  <c r="T23" i="1"/>
  <c r="T15" i="1"/>
  <c r="T14" i="1"/>
  <c r="T46" i="1"/>
  <c r="T44" i="1"/>
  <c r="T22" i="1"/>
  <c r="T9" i="1"/>
  <c r="T7" i="1"/>
  <c r="T31" i="1"/>
  <c r="T28" i="1"/>
  <c r="T27" i="1"/>
  <c r="Q17" i="1"/>
  <c r="Q23" i="1"/>
  <c r="Q44" i="1"/>
  <c r="Q22" i="1"/>
  <c r="Q9" i="1"/>
  <c r="Q7" i="1"/>
  <c r="Q31" i="1"/>
  <c r="Q27" i="1"/>
  <c r="Q4" i="1"/>
  <c r="AH26" i="1"/>
  <c r="AH4" i="1"/>
  <c r="AE53" i="1"/>
  <c r="AE24" i="1"/>
  <c r="AE15" i="1"/>
  <c r="AE51" i="1"/>
  <c r="AE50" i="1"/>
  <c r="AE13" i="1"/>
  <c r="AE20" i="1"/>
  <c r="AE11" i="1"/>
  <c r="AE43" i="1"/>
  <c r="AE10" i="1"/>
  <c r="AE8" i="1"/>
  <c r="AE6" i="1"/>
  <c r="AE37" i="1"/>
  <c r="AE5" i="1"/>
  <c r="AE26" i="1"/>
  <c r="AE4" i="1"/>
  <c r="AB53" i="1"/>
  <c r="AB24" i="1"/>
  <c r="AB15" i="1"/>
  <c r="AB51" i="1"/>
  <c r="AB50" i="1"/>
  <c r="AB13" i="1"/>
  <c r="AB20" i="1"/>
  <c r="AB11" i="1"/>
  <c r="AB43" i="1"/>
  <c r="AB10" i="1"/>
  <c r="AB8" i="1"/>
  <c r="AB6" i="1"/>
  <c r="AB37" i="1"/>
  <c r="AB5" i="1"/>
  <c r="AB26" i="1"/>
  <c r="AB4" i="1"/>
  <c r="X53" i="1"/>
  <c r="X24" i="1"/>
  <c r="X15" i="1"/>
  <c r="X51" i="1"/>
  <c r="X50" i="1"/>
  <c r="X13" i="1"/>
  <c r="X20" i="1"/>
  <c r="X43" i="1"/>
  <c r="X10" i="1"/>
  <c r="X40" i="1"/>
  <c r="X8" i="1"/>
  <c r="X6" i="1"/>
  <c r="X37" i="1"/>
  <c r="X5" i="1"/>
  <c r="X26" i="1"/>
  <c r="X4" i="1"/>
  <c r="T25" i="1"/>
  <c r="T53" i="1"/>
  <c r="T16" i="1"/>
  <c r="T24" i="1"/>
  <c r="T51" i="1"/>
  <c r="T50" i="1"/>
  <c r="T13" i="1"/>
  <c r="T21" i="1"/>
  <c r="T20" i="1"/>
  <c r="T11" i="1"/>
  <c r="T43" i="1"/>
  <c r="T10" i="1"/>
  <c r="T40" i="1"/>
  <c r="T8" i="1"/>
  <c r="T19" i="1"/>
  <c r="T6" i="1"/>
  <c r="T18" i="1"/>
  <c r="T37" i="1"/>
  <c r="T5" i="1"/>
  <c r="T32" i="1"/>
  <c r="T26" i="1"/>
  <c r="T4" i="1"/>
  <c r="Q25" i="1"/>
  <c r="Q53" i="1"/>
  <c r="Q16" i="1"/>
  <c r="Q24" i="1"/>
  <c r="Q15" i="1"/>
  <c r="Q51" i="1"/>
  <c r="Q50" i="1"/>
  <c r="Q13" i="1"/>
  <c r="Q21" i="1"/>
  <c r="Q20" i="1"/>
  <c r="Q11" i="1"/>
  <c r="Q43" i="1"/>
  <c r="Q10" i="1"/>
  <c r="Q40" i="1"/>
  <c r="Q8" i="1"/>
  <c r="Q6" i="1"/>
  <c r="Q18" i="1"/>
  <c r="Q37" i="1"/>
  <c r="Q5" i="1"/>
  <c r="Q32" i="1"/>
  <c r="Q26" i="1"/>
  <c r="M6" i="1"/>
  <c r="M25" i="1"/>
  <c r="M53" i="1"/>
  <c r="M16" i="1"/>
  <c r="M24" i="1"/>
  <c r="M15" i="1"/>
  <c r="M51" i="1"/>
  <c r="M50" i="1"/>
  <c r="M13" i="1"/>
  <c r="M12" i="1"/>
  <c r="M21" i="1"/>
  <c r="M20" i="1"/>
  <c r="M11" i="1"/>
  <c r="M43" i="1"/>
  <c r="M10" i="1"/>
  <c r="M40" i="1"/>
  <c r="M8" i="1"/>
  <c r="M19" i="1"/>
  <c r="M18" i="1"/>
  <c r="M37" i="1"/>
  <c r="M5" i="1"/>
  <c r="M32" i="1"/>
  <c r="M26" i="1"/>
  <c r="M4" i="1"/>
  <c r="J25" i="1"/>
  <c r="J15" i="1"/>
  <c r="J44" i="1"/>
  <c r="J21" i="1"/>
  <c r="J43" i="1"/>
  <c r="J19" i="1"/>
  <c r="J18" i="1"/>
  <c r="J32" i="1"/>
  <c r="J53" i="1"/>
  <c r="J16" i="1"/>
  <c r="J24" i="1"/>
  <c r="J51" i="1"/>
  <c r="J50" i="1"/>
  <c r="J13" i="1"/>
  <c r="J12" i="1"/>
  <c r="J20" i="1"/>
  <c r="J11" i="1"/>
  <c r="J10" i="1"/>
  <c r="J40" i="1"/>
  <c r="J8" i="1"/>
  <c r="J37" i="1"/>
  <c r="J5" i="1"/>
  <c r="J26" i="1"/>
  <c r="J4" i="1"/>
  <c r="F16" i="1"/>
  <c r="F48" i="1"/>
  <c r="F20" i="1"/>
  <c r="F30" i="1"/>
  <c r="AD15" i="20"/>
  <c r="AD12" i="20"/>
  <c r="AD4" i="20"/>
  <c r="AA21" i="20"/>
  <c r="AA15" i="20"/>
  <c r="AA12" i="20"/>
  <c r="AA4" i="20"/>
  <c r="X21" i="20"/>
  <c r="X15" i="20"/>
  <c r="X12" i="20"/>
  <c r="X9" i="20"/>
  <c r="X4" i="20"/>
  <c r="U15" i="20"/>
  <c r="U12" i="20"/>
  <c r="U9" i="20"/>
  <c r="U4" i="20"/>
  <c r="R20" i="20"/>
  <c r="R16" i="20"/>
  <c r="R15" i="20"/>
  <c r="R14" i="20"/>
  <c r="R13" i="20"/>
  <c r="R12" i="20"/>
  <c r="R9" i="20"/>
  <c r="R8" i="20"/>
  <c r="R7" i="20"/>
  <c r="R4" i="20"/>
  <c r="O20" i="20"/>
  <c r="O18" i="20"/>
  <c r="O16" i="20"/>
  <c r="O15" i="20"/>
  <c r="O14" i="20"/>
  <c r="O13" i="20"/>
  <c r="O12" i="20"/>
  <c r="O9" i="20"/>
  <c r="O8" i="20"/>
  <c r="O7" i="20"/>
  <c r="O4" i="20"/>
  <c r="L18" i="20"/>
  <c r="L16" i="20"/>
  <c r="L15" i="20"/>
  <c r="L14" i="20"/>
  <c r="L13" i="20"/>
  <c r="L12" i="20"/>
  <c r="L8" i="20"/>
  <c r="L4" i="20"/>
  <c r="I16" i="20"/>
  <c r="I15" i="20"/>
  <c r="I14" i="20"/>
  <c r="I13" i="20"/>
  <c r="I12" i="20"/>
  <c r="I7" i="20"/>
  <c r="I4" i="20"/>
  <c r="F6" i="20"/>
  <c r="F10" i="20"/>
  <c r="F21" i="20"/>
  <c r="D11" i="20" l="1"/>
  <c r="F11" i="20" s="1"/>
  <c r="D5" i="20"/>
  <c r="F5" i="20" s="1"/>
  <c r="D19" i="20"/>
  <c r="F19" i="20" s="1"/>
  <c r="D17" i="20"/>
  <c r="F17" i="20" s="1"/>
  <c r="D15" i="20"/>
  <c r="F15" i="20" s="1"/>
  <c r="D14" i="20"/>
  <c r="F14" i="20" s="1"/>
  <c r="E20" i="20"/>
  <c r="D20" i="20"/>
  <c r="D12" i="20"/>
  <c r="F12" i="20" s="1"/>
  <c r="D9" i="20"/>
  <c r="F9" i="20" s="1"/>
  <c r="D4" i="20"/>
  <c r="F4" i="20" s="1"/>
  <c r="F24" i="1"/>
  <c r="F51" i="1"/>
  <c r="F50" i="1"/>
  <c r="D13" i="1"/>
  <c r="F13" i="1" s="1"/>
  <c r="D12" i="1"/>
  <c r="F12" i="1" s="1"/>
  <c r="D11" i="1"/>
  <c r="F11" i="1" s="1"/>
  <c r="D41" i="1"/>
  <c r="F41" i="1" s="1"/>
  <c r="D10" i="1"/>
  <c r="F10" i="1" s="1"/>
  <c r="D40" i="1"/>
  <c r="F40" i="1" s="1"/>
  <c r="D8" i="1"/>
  <c r="F8" i="1" s="1"/>
  <c r="D6" i="1"/>
  <c r="F6" i="1" s="1"/>
  <c r="D37" i="1"/>
  <c r="F37" i="1" s="1"/>
  <c r="D26" i="1"/>
  <c r="F26" i="1" s="1"/>
  <c r="D4" i="1"/>
  <c r="F4" i="1" s="1"/>
  <c r="C4" i="21"/>
  <c r="D4" i="21"/>
  <c r="D31" i="21"/>
  <c r="D30" i="21"/>
  <c r="D24" i="21"/>
  <c r="D23" i="21"/>
  <c r="D22" i="21"/>
  <c r="E4" i="21" s="1"/>
  <c r="Q22" i="20"/>
  <c r="N22" i="20"/>
  <c r="K22" i="20"/>
  <c r="H22" i="20"/>
  <c r="F20" i="20" l="1"/>
  <c r="D32" i="21"/>
  <c r="E3" i="21"/>
  <c r="W54" i="1"/>
  <c r="Z36" i="1"/>
  <c r="AB36" i="1" s="1"/>
  <c r="AF27" i="1"/>
  <c r="AC27" i="1"/>
  <c r="Z27" i="1"/>
  <c r="V27" i="1"/>
  <c r="C5" i="22"/>
  <c r="C4" i="22"/>
  <c r="C3" i="22"/>
  <c r="C6" i="22"/>
  <c r="AA49" i="1"/>
  <c r="Z49" i="1"/>
  <c r="AA54" i="1"/>
  <c r="D4" i="22"/>
  <c r="D5" i="22"/>
  <c r="D6" i="22"/>
  <c r="D3" i="22"/>
  <c r="AB49" i="1" l="1"/>
  <c r="AG54" i="1"/>
  <c r="AD54" i="1"/>
  <c r="AF36" i="1"/>
  <c r="AH36" i="1" s="1"/>
  <c r="AC36" i="1"/>
  <c r="AE36" i="1" s="1"/>
  <c r="AG49" i="1"/>
  <c r="AF49" i="1"/>
  <c r="AD49" i="1"/>
  <c r="AC49" i="1"/>
  <c r="AE49" i="1" l="1"/>
  <c r="AH49" i="1"/>
  <c r="E12" i="22"/>
  <c r="D26" i="22"/>
  <c r="D27" i="22"/>
</calcChain>
</file>

<file path=xl/comments1.xml><?xml version="1.0" encoding="utf-8"?>
<comments xmlns="http://schemas.openxmlformats.org/spreadsheetml/2006/main">
  <authors>
    <author>Author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Reconfirmed, but suspectedly a different unit of lbs. per bag.</t>
        </r>
      </text>
    </comment>
    <comment ref="AH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These are small drums.</t>
        </r>
      </text>
    </comment>
    <comment ref="AG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These cases are small compared to the following year's cases.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V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trade from Russia via Tehran and Meshed, major products include Kerosene Oil, Piece-goods, Cigarettes (second figures in the sum correspond to their values).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trade from Russia via Tehran and Meshed, major products include Kerosene Oil, Piece-goods, Cigarettes (second figures in the sum correspond to their values).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trade from Russia via Tehran and Meshed, major products include Kerosene Oil, Piece-goods, Cigarettes (second figures in the sum correspond to their values).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trade from Russia via Tehran and Meshed, major products include Kerosene Oil, Piece-goods, Cigarettes (second figures in the sum correspond to their values).</t>
        </r>
      </text>
    </comment>
    <comment ref="V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Adjusted by adding a suspectedly missing zero.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Added a missing digit at the end taking into account following values.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These are small drums.</t>
        </r>
      </text>
    </comment>
    <comment ref="R3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Added a zero at the end to make it coherent with preceding values.</t>
        </r>
      </text>
    </comment>
    <comment ref="AA4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One ending zero removed adjusting for taking into account following year's values.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Originally quoted per drum of almost 110 lbs. from 1909-10 and onward.
Quoted per case before that.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were suspected to be mistakenly given in Lbs., hence have been converted to Mans.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were suspected to be mistakenly given in Lbs., hence have been converted to Mans.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were suspected to be mistakenly given in Lbs., hence have been taken as Bags.</t>
        </r>
      </text>
    </comment>
    <comment ref="N5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were suspected to be mistakenly given in Lbs., hence have been converted to Mans.</t>
        </r>
      </text>
    </comment>
    <comment ref="AF5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These are double cases.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Wheat is quoted per 100 man.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Barley is quoted per 100 man.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Straw is quoted per 100 man.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Lucerne is quoted per 100 man.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Eggs are quoted per 17 (on average).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Firewood is quoted per 100 man.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Charcoal is quoted per 100 man.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Using the same as 1902-03 due to no-mention.
</t>
        </r>
      </text>
    </comment>
  </commentList>
</comments>
</file>

<file path=xl/sharedStrings.xml><?xml version="1.0" encoding="utf-8"?>
<sst xmlns="http://schemas.openxmlformats.org/spreadsheetml/2006/main" count="1101" uniqueCount="288">
  <si>
    <t>Articles</t>
  </si>
  <si>
    <t>Units</t>
  </si>
  <si>
    <t>Quantity</t>
  </si>
  <si>
    <t>Number</t>
  </si>
  <si>
    <t>Cotton</t>
  </si>
  <si>
    <t>Total (from regions)</t>
  </si>
  <si>
    <t>Coffee</t>
  </si>
  <si>
    <t>Wheat</t>
  </si>
  <si>
    <t>Barley</t>
  </si>
  <si>
    <t>Opium</t>
  </si>
  <si>
    <t>Bundles</t>
  </si>
  <si>
    <t>Ghee</t>
  </si>
  <si>
    <t>Value (Sterling)</t>
  </si>
  <si>
    <t>Price (Sterling)</t>
  </si>
  <si>
    <t>Units (Price)</t>
  </si>
  <si>
    <t>Lbs</t>
  </si>
  <si>
    <t>Matches</t>
  </si>
  <si>
    <t>Sugar, loaf</t>
  </si>
  <si>
    <t>Sugar, moist</t>
  </si>
  <si>
    <t>Almonds</t>
  </si>
  <si>
    <t>Pieces</t>
  </si>
  <si>
    <t>£/Lbs</t>
  </si>
  <si>
    <t>Units of conversion</t>
  </si>
  <si>
    <t>ForEx - 1912-13</t>
  </si>
  <si>
    <t>l.</t>
  </si>
  <si>
    <t>krans</t>
  </si>
  <si>
    <t>ForEx - 1906-07</t>
  </si>
  <si>
    <t>ForEx - 1905-06</t>
  </si>
  <si>
    <t>man</t>
  </si>
  <si>
    <t>lbs.</t>
  </si>
  <si>
    <t>ForEx - 1901-02</t>
  </si>
  <si>
    <t>ForEx - 1902-03</t>
  </si>
  <si>
    <t>ForEx - 1898-99</t>
  </si>
  <si>
    <t>kran</t>
  </si>
  <si>
    <t>shahi</t>
  </si>
  <si>
    <t>Pistachios</t>
  </si>
  <si>
    <t>Soap</t>
  </si>
  <si>
    <t>Charcoal</t>
  </si>
  <si>
    <t>Eggs</t>
  </si>
  <si>
    <t>ForEx - 1895-96</t>
  </si>
  <si>
    <t>shah man</t>
  </si>
  <si>
    <t>shiraz man</t>
  </si>
  <si>
    <t>ForEx - 1896-97</t>
  </si>
  <si>
    <t>£/Piece</t>
  </si>
  <si>
    <t>ForEx - 1893-94</t>
  </si>
  <si>
    <t>ForEx - 1892-93</t>
  </si>
  <si>
    <t>Kerman, 1912-13</t>
  </si>
  <si>
    <t>Straw</t>
  </si>
  <si>
    <t>Lucerne</t>
  </si>
  <si>
    <t>Mutton</t>
  </si>
  <si>
    <t>Fowls, small</t>
  </si>
  <si>
    <t>Potatoes</t>
  </si>
  <si>
    <t>Milk</t>
  </si>
  <si>
    <t>Firewood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</si>
  <si>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Kerman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1912-13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</si>
  <si>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Kerman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1911-12</t>
    </r>
  </si>
  <si>
    <t>Alum</t>
  </si>
  <si>
    <t>Boots and shoes, British</t>
  </si>
  <si>
    <t>Boots and shoes, Cawnpore</t>
  </si>
  <si>
    <t>Candles, Belgian</t>
  </si>
  <si>
    <t xml:space="preserve">Candles, Burmese </t>
  </si>
  <si>
    <t>Tea, Ceylon</t>
  </si>
  <si>
    <t>Pepper</t>
  </si>
  <si>
    <t>Cinnamon</t>
  </si>
  <si>
    <t>Cases</t>
  </si>
  <si>
    <t>Cochineal</t>
  </si>
  <si>
    <t>Iron, thick bars</t>
  </si>
  <si>
    <t>Iron, thin bars</t>
  </si>
  <si>
    <t>Steel</t>
  </si>
  <si>
    <t>Copper, in sheets</t>
  </si>
  <si>
    <t>Tin, in sheets and tin foil</t>
  </si>
  <si>
    <t>Tinning metal</t>
  </si>
  <si>
    <t>Indigo, Multan</t>
  </si>
  <si>
    <t>Indigo, Calcutta and Madras</t>
  </si>
  <si>
    <t>Chilwari, unbleached</t>
  </si>
  <si>
    <t>Chilwari, bleached</t>
  </si>
  <si>
    <t>Muslin</t>
  </si>
  <si>
    <t>Chintz</t>
  </si>
  <si>
    <t>Sal ammoniac</t>
  </si>
  <si>
    <t>Bars</t>
  </si>
  <si>
    <t>Peppermint</t>
  </si>
  <si>
    <t>Oxalic acid</t>
  </si>
  <si>
    <t>Jars</t>
  </si>
  <si>
    <t>Ginger</t>
  </si>
  <si>
    <r>
      <rPr>
        <sz val="11"/>
        <rFont val="Calibri"/>
        <family val="2"/>
        <scheme val="minor"/>
      </rPr>
      <t xml:space="preserve">Limes, dried </t>
    </r>
  </si>
  <si>
    <t>Ciggarettes</t>
  </si>
  <si>
    <t>Kerman, 1911-12</t>
  </si>
  <si>
    <t>Gum, tragaeanth</t>
  </si>
  <si>
    <t>ForEx - 1911-12</t>
  </si>
  <si>
    <t>kharvar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</si>
  <si>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Kerman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1910-11</t>
    </r>
  </si>
  <si>
    <t>Brass and Bronze</t>
  </si>
  <si>
    <t>Kerman, 1910-11</t>
  </si>
  <si>
    <t>Carpets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</si>
  <si>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Kerman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1909-10</t>
    </r>
  </si>
  <si>
    <t>Petroleum</t>
  </si>
  <si>
    <t>Iron</t>
  </si>
  <si>
    <t>Kerman, 1909-10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</si>
  <si>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Kerman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1905-06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</si>
  <si>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Kerman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1906-07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</si>
  <si>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Kerman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1907-08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</si>
  <si>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Kerman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1908-09</t>
    </r>
  </si>
  <si>
    <t>Bags</t>
  </si>
  <si>
    <t>Cardamoms</t>
  </si>
  <si>
    <t>Cocoanut</t>
  </si>
  <si>
    <t>Mercury</t>
  </si>
  <si>
    <t>Drums</t>
  </si>
  <si>
    <t>Medicines</t>
  </si>
  <si>
    <t>Boxes</t>
  </si>
  <si>
    <t>Nutmeg</t>
  </si>
  <si>
    <t>Rice</t>
  </si>
  <si>
    <t>Spices</t>
  </si>
  <si>
    <t>Tamarind</t>
  </si>
  <si>
    <t>Turmeric</t>
  </si>
  <si>
    <t>Sacks</t>
  </si>
  <si>
    <t>Candles, British</t>
  </si>
  <si>
    <t>Kerman, 1905-06</t>
  </si>
  <si>
    <t>Kerman, 1906-07</t>
  </si>
  <si>
    <t>Kerman, 1907-08</t>
  </si>
  <si>
    <t>Kerman, 1908-09</t>
  </si>
  <si>
    <t>Caraway seeds</t>
  </si>
  <si>
    <t>Cummin seeds</t>
  </si>
  <si>
    <t>Madder</t>
  </si>
  <si>
    <t>Saffron</t>
  </si>
  <si>
    <t>Silk</t>
  </si>
  <si>
    <t>Wool</t>
  </si>
  <si>
    <t>Kerman, 1904-05</t>
  </si>
  <si>
    <t>Tabriz man</t>
  </si>
  <si>
    <t>ForEx - 1904-05</t>
  </si>
  <si>
    <t>£/Yard</t>
  </si>
  <si>
    <t>Kerman, 1903-04</t>
  </si>
  <si>
    <t>box</t>
  </si>
  <si>
    <t>Oil</t>
  </si>
  <si>
    <t>tin</t>
  </si>
  <si>
    <t>ForEx - 1903-04</t>
  </si>
  <si>
    <t>yard</t>
  </si>
  <si>
    <t>sq inches</t>
  </si>
  <si>
    <t>zar</t>
  </si>
  <si>
    <t>ForEx - 1894-95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</si>
  <si>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Kerman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1894-95</t>
    </r>
  </si>
  <si>
    <t>Kerman, 1894-95</t>
  </si>
  <si>
    <t>Animals, horses</t>
  </si>
  <si>
    <t>Sal-ammoniac</t>
  </si>
  <si>
    <t>Walnuts</t>
  </si>
  <si>
    <t>Assafoetida</t>
  </si>
  <si>
    <t>Dyes</t>
  </si>
  <si>
    <t>Prices and Wages in London &amp; Southern England, 1259-1914</t>
  </si>
  <si>
    <t>A1) Original Prices</t>
  </si>
  <si>
    <t>Source</t>
  </si>
  <si>
    <t>Currency/units</t>
  </si>
  <si>
    <t>£/Cwt</t>
  </si>
  <si>
    <t>£/Gallon</t>
  </si>
  <si>
    <t>£/Number</t>
  </si>
  <si>
    <t>Comment</t>
  </si>
  <si>
    <t>Good</t>
  </si>
  <si>
    <t>Tea</t>
  </si>
  <si>
    <t>Indigo</t>
  </si>
  <si>
    <t>Candles</t>
  </si>
  <si>
    <t>Year</t>
  </si>
  <si>
    <t>1910-11</t>
  </si>
  <si>
    <t>1911-12</t>
  </si>
  <si>
    <t>1912-13</t>
  </si>
  <si>
    <t>1894-95</t>
  </si>
  <si>
    <t>1902-03</t>
  </si>
  <si>
    <t>1905-06</t>
  </si>
  <si>
    <t>Price (Units)</t>
  </si>
  <si>
    <t>1906-07</t>
  </si>
  <si>
    <t>1907-08</t>
  </si>
  <si>
    <t>1908-09</t>
  </si>
  <si>
    <t>1909-10</t>
  </si>
  <si>
    <t>Kerman, 1902-03</t>
  </si>
  <si>
    <t>1903-04</t>
  </si>
  <si>
    <t>1904-05</t>
  </si>
  <si>
    <t>Place of Origin</t>
  </si>
  <si>
    <t>Boots and shoes</t>
  </si>
  <si>
    <t>Belgium</t>
  </si>
  <si>
    <t>Burma</t>
  </si>
  <si>
    <t>Britain</t>
  </si>
  <si>
    <t>Cloves</t>
  </si>
  <si>
    <t>Multan</t>
  </si>
  <si>
    <t>Calcutta and Madras</t>
  </si>
  <si>
    <t>Limes, dried</t>
  </si>
  <si>
    <t>£/Bar</t>
  </si>
  <si>
    <t>£/Case</t>
  </si>
  <si>
    <t>£/Bag</t>
  </si>
  <si>
    <t>£/Bundle</t>
  </si>
  <si>
    <t>£/Jar</t>
  </si>
  <si>
    <t>Gallon</t>
  </si>
  <si>
    <t>£/Box</t>
  </si>
  <si>
    <t>£/Sack</t>
  </si>
  <si>
    <t>£/Drum</t>
  </si>
  <si>
    <t>Tin, in sheets and foil</t>
  </si>
  <si>
    <t xml:space="preserve"> Cawnpore</t>
  </si>
  <si>
    <t>Ceylon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</si>
  <si>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</si>
  <si>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</si>
  <si>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</si>
  <si>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</si>
  <si>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</si>
  <si>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</si>
  <si>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</si>
  <si>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</si>
  <si>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- rearranges the adjusted data on bazaar (local) prices in single series for each commodity.</t>
  </si>
  <si>
    <t>Imports - Data (Raw &amp; Adjusted)</t>
  </si>
  <si>
    <t>Exports - Data (Raw &amp; Adjusted)</t>
  </si>
  <si>
    <t>- contains the raw and adjusted data on prices of exports taken directly from the sources described below.</t>
  </si>
  <si>
    <t>- contains the raw and adjusted data on prices from bazaar (local) taken directly from the sources described below.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</si>
  <si>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</si>
  <si>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</si>
  <si>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</si>
  <si>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</si>
  <si>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</si>
  <si>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</si>
  <si>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 xml:space="preserve">Kerman - Prices (Imports) </t>
  </si>
  <si>
    <t xml:space="preserve">Kerman - Prices (Exports) </t>
  </si>
  <si>
    <t>Kerman - Bazaar (Local) Prices</t>
  </si>
  <si>
    <t>Change in unit of quantity</t>
  </si>
  <si>
    <t>cwt</t>
  </si>
  <si>
    <t>lbs</t>
  </si>
  <si>
    <t>box, bale, halfload</t>
  </si>
  <si>
    <t>load</t>
  </si>
  <si>
    <t>Skins</t>
  </si>
  <si>
    <t>bundle</t>
  </si>
  <si>
    <t>bale</t>
  </si>
  <si>
    <t>cwt.</t>
  </si>
  <si>
    <t>piece</t>
  </si>
  <si>
    <t>Arms and ammunition</t>
  </si>
  <si>
    <t>case</t>
  </si>
  <si>
    <t>bag</t>
  </si>
  <si>
    <t>Date</t>
  </si>
  <si>
    <t>Salt</t>
  </si>
  <si>
    <t>bahr</t>
  </si>
  <si>
    <t>Cloth</t>
  </si>
  <si>
    <t>Box/Dubba/Tin</t>
  </si>
  <si>
    <t>gallon</t>
  </si>
  <si>
    <t>Oil of all kinds</t>
  </si>
  <si>
    <t>Box/Dubba</t>
  </si>
  <si>
    <t>Sugar</t>
  </si>
  <si>
    <t>Gunpowder</t>
  </si>
  <si>
    <t>Maund</t>
  </si>
  <si>
    <t>Grain, Flour</t>
  </si>
  <si>
    <t>Oil seeds</t>
  </si>
  <si>
    <t>Wine</t>
  </si>
  <si>
    <t>Case/Cask</t>
  </si>
  <si>
    <t>Twist and yarn</t>
  </si>
  <si>
    <t>Bale</t>
  </si>
  <si>
    <t>Package</t>
  </si>
  <si>
    <t>Gum</t>
  </si>
  <si>
    <t>Bundle</t>
  </si>
  <si>
    <t>chest</t>
  </si>
  <si>
    <t>Seeds</t>
  </si>
  <si>
    <t>Silk (all relevant)</t>
  </si>
  <si>
    <t>Silk, goods</t>
  </si>
  <si>
    <t>package</t>
  </si>
  <si>
    <t>Tobacco</t>
  </si>
  <si>
    <t>Cotton, piece-goods</t>
  </si>
  <si>
    <t>Glass and wares</t>
  </si>
  <si>
    <t>Forex</t>
  </si>
  <si>
    <t>Sterling</t>
  </si>
  <si>
    <t>Rupee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</si>
  <si>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>in the city of Kerman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1894-95 to 1912-13</t>
    </r>
    <r>
      <rPr>
        <sz val="10"/>
        <rFont val="Arial"/>
        <family val="2"/>
      </rPr>
      <t>.  The data were compiled by British consuls.</t>
    </r>
  </si>
  <si>
    <t>£/Bags</t>
  </si>
  <si>
    <t>£/Cases</t>
  </si>
  <si>
    <t>£/Drums</t>
  </si>
  <si>
    <t>£/Boxes</t>
  </si>
  <si>
    <t>£/Bars</t>
  </si>
  <si>
    <t>£/Pieces</t>
  </si>
  <si>
    <t>£/Bundles</t>
  </si>
  <si>
    <t>£/Jars</t>
  </si>
  <si>
    <t>£/Cwt.</t>
  </si>
  <si>
    <t>Cwts.</t>
  </si>
  <si>
    <t>Tea, java</t>
  </si>
  <si>
    <t>=$D$65*9800+700*Boxes</t>
  </si>
  <si>
    <t>Piece</t>
  </si>
  <si>
    <t>Exports - Prices (Raw &amp; Adjusted)</t>
  </si>
  <si>
    <t>Bazaar (Local) - Prices (Raw &amp; Adjusted)</t>
  </si>
  <si>
    <t>- contains the raw and adjusted units for commodities and currencies of prices, quantities and values of imports taken from the sources described below.</t>
  </si>
  <si>
    <t>- contains the raw and adjusted units for commodities and currencies of prices, quantities and values of exports taken from the sources described below.</t>
  </si>
  <si>
    <t>Cotton, yarns</t>
  </si>
  <si>
    <t>Cotton, raw</t>
  </si>
  <si>
    <t>Piece-goods, all sorts</t>
  </si>
  <si>
    <t>Kerosene oil</t>
  </si>
  <si>
    <t>Skins, raw, goat and sheep</t>
  </si>
  <si>
    <t>Wool, raw</t>
  </si>
  <si>
    <t>half load</t>
  </si>
  <si>
    <t>long ton</t>
  </si>
  <si>
    <t>metric ton</t>
  </si>
  <si>
    <t>£/Cwts.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</si>
</sst>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0.0000"/>
    <numFmt numFmtId="168" formatCode="#,##0.0000"/>
    <numFmt numFmtId="169" formatCode="0.0000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.5"/>
      <name val="Times New Roman"/>
      <family val="1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color theme="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58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8" fillId="0" borderId="0">
      <alignment vertical="top"/>
    </xf>
    <xf numFmtId="0" fontId="28" fillId="0" borderId="0">
      <alignment vertical="top"/>
    </xf>
  </cellStyleXfs>
  <cellXfs count="117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0" fontId="3" fillId="0" borderId="0" xfId="0" applyFont="1"/>
    <xf numFmtId="0" fontId="0" fillId="0" borderId="0" xfId="0" applyFont="1"/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1" fillId="0" borderId="0" xfId="1" applyNumberFormat="1" applyFont="1" applyFill="1" applyBorder="1"/>
    <xf numFmtId="164" fontId="6" fillId="0" borderId="0" xfId="1" applyNumberFormat="1" applyFont="1" applyFill="1" applyAlignment="1">
      <alignment horizontal="center"/>
    </xf>
    <xf numFmtId="164" fontId="5" fillId="0" borderId="0" xfId="1" applyNumberFormat="1" applyFont="1" applyFill="1"/>
    <xf numFmtId="165" fontId="0" fillId="0" borderId="0" xfId="1" applyNumberFormat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64" fontId="4" fillId="0" borderId="0" xfId="1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/>
    </xf>
    <xf numFmtId="0" fontId="8" fillId="0" borderId="0" xfId="0" applyFont="1" applyAlignment="1"/>
    <xf numFmtId="164" fontId="8" fillId="0" borderId="0" xfId="1" applyNumberFormat="1" applyFont="1" applyAlignment="1"/>
    <xf numFmtId="164" fontId="15" fillId="0" borderId="0" xfId="1" applyNumberFormat="1" applyFont="1" applyFill="1" applyBorder="1" applyAlignment="1">
      <alignment horizontal="left" vertical="center"/>
    </xf>
    <xf numFmtId="164" fontId="8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Alignment="1">
      <alignment horizontal="left"/>
    </xf>
    <xf numFmtId="164" fontId="16" fillId="0" borderId="0" xfId="1" applyNumberFormat="1" applyFont="1" applyFill="1" applyAlignment="1">
      <alignment horizontal="left"/>
    </xf>
    <xf numFmtId="1" fontId="0" fillId="0" borderId="0" xfId="0" applyNumberFormat="1"/>
    <xf numFmtId="164" fontId="7" fillId="0" borderId="0" xfId="1" applyNumberFormat="1" applyFont="1" applyFill="1" applyBorder="1" applyAlignment="1">
      <alignment vertical="center" wrapText="1"/>
    </xf>
    <xf numFmtId="164" fontId="0" fillId="0" borderId="0" xfId="1" applyNumberFormat="1" applyFont="1" applyFill="1" applyBorder="1" applyAlignment="1">
      <alignment vertical="center" wrapText="1"/>
    </xf>
    <xf numFmtId="166" fontId="5" fillId="0" borderId="0" xfId="1" applyNumberFormat="1" applyFont="1" applyFill="1"/>
    <xf numFmtId="0" fontId="4" fillId="0" borderId="0" xfId="0" applyFont="1" applyFill="1"/>
    <xf numFmtId="3" fontId="0" fillId="0" borderId="0" xfId="0" applyNumberFormat="1" applyFont="1" applyFill="1"/>
    <xf numFmtId="0" fontId="0" fillId="2" borderId="0" xfId="0" applyFont="1" applyFill="1"/>
    <xf numFmtId="0" fontId="8" fillId="0" borderId="0" xfId="0" applyFont="1" applyFill="1" applyBorder="1" applyAlignment="1">
      <alignment vertical="center"/>
    </xf>
    <xf numFmtId="1" fontId="11" fillId="0" borderId="0" xfId="0" applyNumberFormat="1" applyFont="1" applyBorder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9" fillId="0" borderId="0" xfId="3" applyFont="1" applyBorder="1" applyAlignment="1">
      <alignment horizontal="left" vertical="center"/>
    </xf>
    <xf numFmtId="0" fontId="18" fillId="0" borderId="0" xfId="3" applyAlignment="1"/>
    <xf numFmtId="0" fontId="20" fillId="0" borderId="0" xfId="3" applyFont="1" applyAlignment="1"/>
    <xf numFmtId="0" fontId="21" fillId="0" borderId="0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right"/>
    </xf>
    <xf numFmtId="0" fontId="23" fillId="3" borderId="0" xfId="3" applyFont="1" applyFill="1" applyBorder="1" applyAlignment="1">
      <alignment horizontal="left"/>
    </xf>
    <xf numFmtId="0" fontId="22" fillId="3" borderId="0" xfId="3" applyFont="1" applyFill="1" applyBorder="1" applyAlignment="1">
      <alignment horizontal="center"/>
    </xf>
    <xf numFmtId="0" fontId="22" fillId="0" borderId="0" xfId="3" applyFont="1" applyBorder="1" applyAlignment="1">
      <alignment horizontal="center"/>
    </xf>
    <xf numFmtId="0" fontId="23" fillId="3" borderId="0" xfId="3" applyFont="1" applyFill="1" applyBorder="1" applyAlignment="1">
      <alignment horizontal="left" wrapText="1"/>
    </xf>
    <xf numFmtId="0" fontId="23" fillId="0" borderId="0" xfId="3" applyFont="1" applyBorder="1" applyAlignment="1">
      <alignment horizontal="right"/>
    </xf>
    <xf numFmtId="0" fontId="24" fillId="3" borderId="0" xfId="3" applyFont="1" applyFill="1" applyBorder="1" applyAlignment="1">
      <alignment horizontal="center"/>
    </xf>
    <xf numFmtId="0" fontId="24" fillId="0" borderId="0" xfId="3" applyFont="1" applyBorder="1" applyAlignment="1">
      <alignment horizontal="center"/>
    </xf>
    <xf numFmtId="0" fontId="23" fillId="0" borderId="0" xfId="3" applyFont="1" applyBorder="1" applyAlignment="1">
      <alignment horizontal="center"/>
    </xf>
    <xf numFmtId="0" fontId="23" fillId="0" borderId="0" xfId="3" applyFont="1" applyAlignment="1"/>
    <xf numFmtId="0" fontId="23" fillId="3" borderId="0" xfId="3" applyFont="1" applyFill="1" applyBorder="1" applyAlignment="1">
      <alignment horizontal="right"/>
    </xf>
    <xf numFmtId="0" fontId="25" fillId="0" borderId="0" xfId="3" applyFont="1" applyBorder="1" applyAlignment="1">
      <alignment horizontal="right"/>
    </xf>
    <xf numFmtId="0" fontId="26" fillId="0" borderId="0" xfId="3" applyFont="1" applyBorder="1" applyAlignment="1">
      <alignment horizontal="center"/>
    </xf>
    <xf numFmtId="0" fontId="22" fillId="3" borderId="0" xfId="3" applyFont="1" applyFill="1" applyBorder="1" applyAlignment="1" applyProtection="1">
      <alignment horizontal="right"/>
    </xf>
    <xf numFmtId="0" fontId="26" fillId="0" borderId="0" xfId="3" applyFont="1" applyBorder="1" applyAlignment="1" applyProtection="1">
      <alignment horizontal="center"/>
    </xf>
    <xf numFmtId="2" fontId="26" fillId="0" borderId="0" xfId="3" applyNumberFormat="1" applyFont="1" applyBorder="1" applyAlignment="1" applyProtection="1">
      <alignment horizontal="center"/>
    </xf>
    <xf numFmtId="0" fontId="18" fillId="0" borderId="0" xfId="3" applyAlignment="1" applyProtection="1"/>
    <xf numFmtId="2" fontId="26" fillId="0" borderId="0" xfId="3" applyNumberFormat="1" applyFont="1" applyAlignment="1"/>
    <xf numFmtId="0" fontId="27" fillId="3" borderId="0" xfId="3" applyFont="1" applyFill="1" applyBorder="1" applyAlignment="1">
      <alignment horizontal="left"/>
    </xf>
    <xf numFmtId="167" fontId="26" fillId="0" borderId="0" xfId="3" applyNumberFormat="1" applyFont="1" applyBorder="1" applyAlignment="1" applyProtection="1">
      <alignment horizontal="center"/>
    </xf>
    <xf numFmtId="166" fontId="4" fillId="0" borderId="0" xfId="1" applyNumberFormat="1" applyFont="1" applyBorder="1" applyAlignment="1">
      <alignment horizontal="left" vertical="center" wrapText="1"/>
    </xf>
    <xf numFmtId="168" fontId="0" fillId="0" borderId="0" xfId="0" applyNumberFormat="1" applyFont="1" applyFill="1"/>
    <xf numFmtId="167" fontId="0" fillId="0" borderId="0" xfId="0" applyNumberFormat="1"/>
    <xf numFmtId="0" fontId="22" fillId="0" borderId="0" xfId="3" applyFont="1" applyBorder="1" applyAlignment="1">
      <alignment horizontal="left"/>
    </xf>
    <xf numFmtId="0" fontId="22" fillId="3" borderId="0" xfId="3" applyFont="1" applyFill="1" applyBorder="1" applyAlignment="1">
      <alignment horizontal="left"/>
    </xf>
    <xf numFmtId="0" fontId="20" fillId="0" borderId="0" xfId="3" applyFont="1" applyAlignment="1">
      <alignment horizontal="left"/>
    </xf>
    <xf numFmtId="0" fontId="28" fillId="0" borderId="0" xfId="4" applyFont="1" applyAlignment="1"/>
    <xf numFmtId="0" fontId="28" fillId="0" borderId="0" xfId="4" applyAlignment="1"/>
    <xf numFmtId="0" fontId="28" fillId="0" borderId="0" xfId="4" applyFont="1" applyBorder="1" applyAlignment="1"/>
    <xf numFmtId="0" fontId="28" fillId="0" borderId="0" xfId="4" applyBorder="1" applyAlignment="1"/>
    <xf numFmtId="0" fontId="30" fillId="0" borderId="0" xfId="4" applyFont="1" applyAlignment="1"/>
    <xf numFmtId="0" fontId="28" fillId="0" borderId="0" xfId="4" quotePrefix="1" applyFont="1" applyAlignment="1"/>
    <xf numFmtId="0" fontId="28" fillId="0" borderId="0" xfId="4" applyFont="1" applyAlignment="1">
      <alignment horizontal="left"/>
    </xf>
    <xf numFmtId="0" fontId="4" fillId="4" borderId="0" xfId="0" applyFont="1" applyFill="1" applyBorder="1" applyAlignment="1">
      <alignment horizontal="left" vertical="top"/>
    </xf>
    <xf numFmtId="2" fontId="0" fillId="0" borderId="0" xfId="0" applyNumberFormat="1" applyFill="1"/>
    <xf numFmtId="0" fontId="0" fillId="0" borderId="0" xfId="0" applyFill="1" applyAlignment="1">
      <alignment vertical="center"/>
    </xf>
    <xf numFmtId="2" fontId="0" fillId="0" borderId="0" xfId="0" applyNumberFormat="1" applyFill="1" applyAlignment="1">
      <alignment horizontal="right"/>
    </xf>
    <xf numFmtId="0" fontId="9" fillId="0" borderId="0" xfId="0" applyFont="1" applyFill="1"/>
    <xf numFmtId="3" fontId="11" fillId="0" borderId="0" xfId="0" applyNumberFormat="1" applyFont="1" applyFill="1" applyBorder="1" applyAlignment="1">
      <alignment horizontal="left" vertical="top"/>
    </xf>
    <xf numFmtId="1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7" fontId="0" fillId="0" borderId="0" xfId="0" applyNumberFormat="1" applyFill="1"/>
    <xf numFmtId="0" fontId="23" fillId="3" borderId="0" xfId="3" applyFont="1" applyFill="1" applyBorder="1" applyAlignment="1">
      <alignment horizontal="left" vertical="center" wrapText="1"/>
    </xf>
    <xf numFmtId="0" fontId="23" fillId="0" borderId="0" xfId="3" applyFont="1" applyBorder="1" applyAlignment="1">
      <alignment horizontal="left" vertical="center" wrapText="1"/>
    </xf>
    <xf numFmtId="0" fontId="24" fillId="3" borderId="0" xfId="3" applyFont="1" applyFill="1" applyBorder="1" applyAlignment="1">
      <alignment horizontal="left" vertical="center" wrapText="1"/>
    </xf>
    <xf numFmtId="0" fontId="24" fillId="0" borderId="0" xfId="3" applyFont="1" applyBorder="1" applyAlignment="1">
      <alignment horizontal="left" vertical="center" wrapText="1"/>
    </xf>
    <xf numFmtId="0" fontId="23" fillId="0" borderId="0" xfId="3" applyFont="1" applyAlignment="1">
      <alignment horizontal="left" vertical="center" wrapText="1"/>
    </xf>
    <xf numFmtId="169" fontId="26" fillId="0" borderId="0" xfId="3" applyNumberFormat="1" applyFont="1" applyBorder="1" applyAlignment="1" applyProtection="1">
      <alignment horizontal="center"/>
    </xf>
    <xf numFmtId="0" fontId="0" fillId="4" borderId="0" xfId="0" applyFont="1" applyFill="1"/>
    <xf numFmtId="0" fontId="0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3" fontId="0" fillId="5" borderId="0" xfId="0" quotePrefix="1" applyNumberFormat="1" applyFont="1" applyFill="1"/>
    <xf numFmtId="0" fontId="23" fillId="0" borderId="0" xfId="3" applyFont="1" applyBorder="1" applyAlignment="1">
      <alignment horizontal="right" wrapText="1"/>
    </xf>
    <xf numFmtId="0" fontId="23" fillId="3" borderId="0" xfId="3" applyFont="1" applyFill="1" applyBorder="1" applyAlignment="1">
      <alignment horizontal="center" wrapText="1"/>
    </xf>
    <xf numFmtId="0" fontId="24" fillId="3" borderId="0" xfId="3" applyFont="1" applyFill="1" applyBorder="1" applyAlignment="1">
      <alignment horizontal="center" wrapText="1"/>
    </xf>
    <xf numFmtId="0" fontId="24" fillId="0" borderId="0" xfId="3" applyFont="1" applyBorder="1" applyAlignment="1">
      <alignment horizontal="center" wrapText="1"/>
    </xf>
    <xf numFmtId="0" fontId="23" fillId="0" borderId="0" xfId="3" applyFont="1" applyBorder="1" applyAlignment="1">
      <alignment horizontal="center" wrapText="1"/>
    </xf>
    <xf numFmtId="0" fontId="23" fillId="0" borderId="0" xfId="3" applyFont="1" applyAlignment="1">
      <alignment wrapText="1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2" fontId="0" fillId="0" borderId="0" xfId="0" applyNumberForma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1">
    <dxf>
      <fill>
        <patternFill patternType="solid">
          <fgColor rgb="FF9BBB59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D16" sqref="D16"/>
    </sheetView>
  </sheetViews>
  <sheetFormatPr defaultRowHeight="13.2" x14ac:dyDescent="0.25"/>
  <cols>
    <col min="1" max="2" width="8.88671875" style="72"/>
    <col min="3" max="3" width="17.33203125" style="72" customWidth="1"/>
    <col min="4" max="16384" width="8.88671875" style="72"/>
  </cols>
  <sheetData>
    <row r="1" spans="1:4" x14ac:dyDescent="0.25">
      <c r="A1" s="71" t="s">
        <v>194</v>
      </c>
    </row>
    <row r="2" spans="1:4" x14ac:dyDescent="0.25">
      <c r="A2" s="71" t="s">
        <v>195</v>
      </c>
    </row>
    <row r="4" spans="1:4" x14ac:dyDescent="0.25">
      <c r="A4" s="71" t="s">
        <v>260</v>
      </c>
    </row>
    <row r="5" spans="1:4" x14ac:dyDescent="0.25">
      <c r="A5" s="71" t="s">
        <v>196</v>
      </c>
    </row>
    <row r="6" spans="1:4" s="74" customFormat="1" x14ac:dyDescent="0.25">
      <c r="A6" s="73"/>
    </row>
    <row r="7" spans="1:4" x14ac:dyDescent="0.25">
      <c r="A7" s="71" t="s">
        <v>197</v>
      </c>
    </row>
    <row r="8" spans="1:4" x14ac:dyDescent="0.25">
      <c r="A8" s="71" t="s">
        <v>198</v>
      </c>
    </row>
    <row r="9" spans="1:4" x14ac:dyDescent="0.25">
      <c r="A9" s="71"/>
    </row>
    <row r="10" spans="1:4" x14ac:dyDescent="0.25">
      <c r="A10" s="75" t="s">
        <v>199</v>
      </c>
    </row>
    <row r="11" spans="1:4" x14ac:dyDescent="0.25">
      <c r="A11" s="104" t="s">
        <v>213</v>
      </c>
      <c r="B11" s="104"/>
      <c r="C11" s="104"/>
      <c r="D11" s="76" t="s">
        <v>200</v>
      </c>
    </row>
    <row r="12" spans="1:4" x14ac:dyDescent="0.25">
      <c r="A12" s="104" t="s">
        <v>214</v>
      </c>
      <c r="B12" s="104"/>
      <c r="C12" s="104"/>
      <c r="D12" s="76" t="s">
        <v>201</v>
      </c>
    </row>
    <row r="13" spans="1:4" x14ac:dyDescent="0.25">
      <c r="A13" s="104" t="s">
        <v>215</v>
      </c>
      <c r="B13" s="104"/>
      <c r="C13" s="104"/>
      <c r="D13" s="76" t="s">
        <v>202</v>
      </c>
    </row>
    <row r="14" spans="1:4" x14ac:dyDescent="0.25">
      <c r="A14" s="104" t="s">
        <v>203</v>
      </c>
      <c r="B14" s="104"/>
      <c r="C14" s="104"/>
      <c r="D14" s="76" t="s">
        <v>276</v>
      </c>
    </row>
    <row r="15" spans="1:4" x14ac:dyDescent="0.25">
      <c r="A15" s="104" t="s">
        <v>204</v>
      </c>
      <c r="B15" s="104"/>
      <c r="C15" s="104"/>
      <c r="D15" s="76" t="s">
        <v>277</v>
      </c>
    </row>
    <row r="16" spans="1:4" x14ac:dyDescent="0.25">
      <c r="A16" s="104" t="s">
        <v>274</v>
      </c>
      <c r="B16" s="104"/>
      <c r="C16" s="104"/>
      <c r="D16" s="76" t="s">
        <v>205</v>
      </c>
    </row>
    <row r="17" spans="1:16" x14ac:dyDescent="0.25">
      <c r="A17" s="77" t="s">
        <v>275</v>
      </c>
      <c r="B17" s="77"/>
      <c r="C17" s="77"/>
      <c r="D17" s="76" t="s">
        <v>206</v>
      </c>
    </row>
    <row r="18" spans="1:16" x14ac:dyDescent="0.25">
      <c r="A18" s="77" t="s">
        <v>207</v>
      </c>
      <c r="B18" s="77"/>
      <c r="C18" s="77"/>
      <c r="D18" s="76" t="s">
        <v>208</v>
      </c>
    </row>
    <row r="20" spans="1:16" x14ac:dyDescent="0.25">
      <c r="A20" s="75" t="s">
        <v>209</v>
      </c>
    </row>
    <row r="21" spans="1:16" x14ac:dyDescent="0.25">
      <c r="A21" s="105" t="s">
        <v>210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</row>
    <row r="22" spans="1:16" x14ac:dyDescent="0.25">
      <c r="A22" s="72" t="s">
        <v>211</v>
      </c>
    </row>
    <row r="23" spans="1:16" x14ac:dyDescent="0.25">
      <c r="C23" s="71" t="s">
        <v>212</v>
      </c>
    </row>
  </sheetData>
  <mergeCells count="7">
    <mergeCell ref="A16:C16"/>
    <mergeCell ref="A21:P21"/>
    <mergeCell ref="A11:C11"/>
    <mergeCell ref="A12:C12"/>
    <mergeCell ref="A13:C13"/>
    <mergeCell ref="A14:C14"/>
    <mergeCell ref="A15:C15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Q23"/>
  <sheetViews>
    <sheetView workbookViewId="0">
      <pane xSplit="2" ySplit="8" topLeftCell="AF9" activePane="bottomRight" state="frozenSplit"/>
      <selection activeCell="C8" sqref="C8:Y11"/>
      <selection pane="topRight" activeCell="C8" sqref="C8:Y11"/>
      <selection pane="bottomLeft" activeCell="C8" sqref="C8:Y11"/>
      <selection pane="bottomRight" activeCell="AK21" sqref="AK21"/>
    </sheetView>
  </sheetViews>
  <sheetFormatPr defaultColWidth="9.6640625" defaultRowHeight="12" x14ac:dyDescent="0.2"/>
  <cols>
    <col min="1" max="1" width="6.44140625" style="43" customWidth="1"/>
    <col min="2" max="2" width="13.88671875" style="42" customWidth="1"/>
    <col min="3" max="3" width="7.44140625" style="42" customWidth="1"/>
    <col min="4" max="4" width="12.5546875" style="42" customWidth="1"/>
    <col min="5" max="5" width="12.109375" style="42" customWidth="1"/>
    <col min="6" max="6" width="10.33203125" style="42" customWidth="1"/>
    <col min="7" max="7" width="9.88671875" style="42" customWidth="1"/>
    <col min="8" max="8" width="12.109375" style="42" bestFit="1" customWidth="1"/>
    <col min="9" max="9" width="8.21875" style="42" customWidth="1"/>
    <col min="10" max="10" width="11.44140625" style="42" customWidth="1"/>
    <col min="11" max="11" width="12.88671875" style="42" customWidth="1"/>
    <col min="12" max="12" width="14" style="42" customWidth="1"/>
    <col min="13" max="15" width="9.6640625" style="42"/>
    <col min="16" max="16" width="12.109375" style="42" customWidth="1"/>
    <col min="17" max="20" width="9.6640625" style="42"/>
    <col min="21" max="21" width="12" style="42" customWidth="1"/>
    <col min="22" max="22" width="12.77734375" style="42" customWidth="1"/>
    <col min="23" max="23" width="11.109375" style="42" customWidth="1"/>
    <col min="24" max="24" width="12" style="42" customWidth="1"/>
    <col min="25" max="25" width="9.6640625" style="42"/>
    <col min="26" max="26" width="15.33203125" style="42" customWidth="1"/>
    <col min="27" max="27" width="15.21875" style="42" customWidth="1"/>
    <col min="28" max="28" width="13.77734375" style="42" customWidth="1"/>
    <col min="29" max="31" width="9.6640625" style="42"/>
    <col min="32" max="32" width="13.109375" style="42" customWidth="1"/>
    <col min="33" max="33" width="13.88671875" style="42" customWidth="1"/>
    <col min="34" max="35" width="9.6640625" style="42"/>
    <col min="36" max="36" width="13" style="42" customWidth="1"/>
    <col min="37" max="37" width="10.44140625" style="42" customWidth="1"/>
    <col min="38" max="40" width="9.6640625" style="42"/>
    <col min="41" max="41" width="11.44140625" style="42" customWidth="1"/>
    <col min="42" max="44" width="11.109375" style="42" customWidth="1"/>
    <col min="45" max="47" width="9.6640625" style="42"/>
    <col min="48" max="48" width="6.6640625" style="42" customWidth="1"/>
    <col min="49" max="49" width="9.109375" style="42" customWidth="1"/>
    <col min="50" max="50" width="13.33203125" style="42" customWidth="1"/>
    <col min="51" max="51" width="13.88671875" style="42" customWidth="1"/>
    <col min="52" max="52" width="12.33203125" style="42" customWidth="1"/>
    <col min="53" max="53" width="11.5546875" style="42" customWidth="1"/>
    <col min="54" max="54" width="10.21875" style="42" customWidth="1"/>
    <col min="55" max="55" width="15.21875" style="42" customWidth="1"/>
    <col min="56" max="56" width="11.21875" style="42" customWidth="1"/>
    <col min="57" max="57" width="18.33203125" style="42" customWidth="1"/>
    <col min="58" max="58" width="12.88671875" style="42" customWidth="1"/>
    <col min="59" max="60" width="13.21875" style="42" customWidth="1"/>
    <col min="61" max="61" width="10.88671875" style="42" customWidth="1"/>
    <col min="62" max="62" width="11.109375" style="42" customWidth="1"/>
    <col min="63" max="63" width="15.21875" style="42" customWidth="1"/>
    <col min="64" max="64" width="9.6640625" style="42"/>
    <col min="65" max="65" width="11" style="42" customWidth="1"/>
    <col min="66" max="67" width="10.77734375" style="42" customWidth="1"/>
    <col min="68" max="69" width="11.44140625" style="42" customWidth="1"/>
    <col min="70" max="70" width="15.33203125" style="42" customWidth="1"/>
    <col min="71" max="260" width="9.6640625" style="42"/>
    <col min="261" max="261" width="6.44140625" style="42" customWidth="1"/>
    <col min="262" max="262" width="13.88671875" style="42" customWidth="1"/>
    <col min="263" max="263" width="14.33203125" style="42" customWidth="1"/>
    <col min="264" max="280" width="9.6640625" style="42"/>
    <col min="281" max="281" width="12" style="42" customWidth="1"/>
    <col min="282" max="282" width="12.77734375" style="42" customWidth="1"/>
    <col min="283" max="283" width="11.109375" style="42" customWidth="1"/>
    <col min="284" max="284" width="12" style="42" customWidth="1"/>
    <col min="285" max="285" width="9.6640625" style="42"/>
    <col min="286" max="286" width="15.33203125" style="42" customWidth="1"/>
    <col min="287" max="287" width="15.21875" style="42" customWidth="1"/>
    <col min="288" max="288" width="21.44140625" style="42" customWidth="1"/>
    <col min="289" max="304" width="9.6640625" style="42"/>
    <col min="305" max="306" width="13.44140625" style="42" customWidth="1"/>
    <col min="307" max="307" width="9.6640625" style="42"/>
    <col min="308" max="308" width="13.88671875" style="42" customWidth="1"/>
    <col min="309" max="309" width="10.6640625" style="42" customWidth="1"/>
    <col min="310" max="310" width="17.33203125" style="42" customWidth="1"/>
    <col min="311" max="312" width="12.6640625" style="42" customWidth="1"/>
    <col min="313" max="313" width="11.21875" style="42" customWidth="1"/>
    <col min="314" max="314" width="18.33203125" style="42" customWidth="1"/>
    <col min="315" max="315" width="12.88671875" style="42" customWidth="1"/>
    <col min="316" max="317" width="13.21875" style="42" customWidth="1"/>
    <col min="318" max="318" width="10.88671875" style="42" customWidth="1"/>
    <col min="319" max="319" width="11.109375" style="42" customWidth="1"/>
    <col min="320" max="320" width="15.21875" style="42" customWidth="1"/>
    <col min="321" max="321" width="9.6640625" style="42"/>
    <col min="322" max="322" width="11" style="42" customWidth="1"/>
    <col min="323" max="323" width="10.77734375" style="42" customWidth="1"/>
    <col min="324" max="324" width="11.44140625" style="42" customWidth="1"/>
    <col min="325" max="325" width="4" style="42" customWidth="1"/>
    <col min="326" max="516" width="9.6640625" style="42"/>
    <col min="517" max="517" width="6.44140625" style="42" customWidth="1"/>
    <col min="518" max="518" width="13.88671875" style="42" customWidth="1"/>
    <col min="519" max="519" width="14.33203125" style="42" customWidth="1"/>
    <col min="520" max="536" width="9.6640625" style="42"/>
    <col min="537" max="537" width="12" style="42" customWidth="1"/>
    <col min="538" max="538" width="12.77734375" style="42" customWidth="1"/>
    <col min="539" max="539" width="11.109375" style="42" customWidth="1"/>
    <col min="540" max="540" width="12" style="42" customWidth="1"/>
    <col min="541" max="541" width="9.6640625" style="42"/>
    <col min="542" max="542" width="15.33203125" style="42" customWidth="1"/>
    <col min="543" max="543" width="15.21875" style="42" customWidth="1"/>
    <col min="544" max="544" width="21.44140625" style="42" customWidth="1"/>
    <col min="545" max="560" width="9.6640625" style="42"/>
    <col min="561" max="562" width="13.44140625" style="42" customWidth="1"/>
    <col min="563" max="563" width="9.6640625" style="42"/>
    <col min="564" max="564" width="13.88671875" style="42" customWidth="1"/>
    <col min="565" max="565" width="10.6640625" style="42" customWidth="1"/>
    <col min="566" max="566" width="17.33203125" style="42" customWidth="1"/>
    <col min="567" max="568" width="12.6640625" style="42" customWidth="1"/>
    <col min="569" max="569" width="11.21875" style="42" customWidth="1"/>
    <col min="570" max="570" width="18.33203125" style="42" customWidth="1"/>
    <col min="571" max="571" width="12.88671875" style="42" customWidth="1"/>
    <col min="572" max="573" width="13.21875" style="42" customWidth="1"/>
    <col min="574" max="574" width="10.88671875" style="42" customWidth="1"/>
    <col min="575" max="575" width="11.109375" style="42" customWidth="1"/>
    <col min="576" max="576" width="15.21875" style="42" customWidth="1"/>
    <col min="577" max="577" width="9.6640625" style="42"/>
    <col min="578" max="578" width="11" style="42" customWidth="1"/>
    <col min="579" max="579" width="10.77734375" style="42" customWidth="1"/>
    <col min="580" max="580" width="11.44140625" style="42" customWidth="1"/>
    <col min="581" max="581" width="4" style="42" customWidth="1"/>
    <col min="582" max="772" width="9.6640625" style="42"/>
    <col min="773" max="773" width="6.44140625" style="42" customWidth="1"/>
    <col min="774" max="774" width="13.88671875" style="42" customWidth="1"/>
    <col min="775" max="775" width="14.33203125" style="42" customWidth="1"/>
    <col min="776" max="792" width="9.6640625" style="42"/>
    <col min="793" max="793" width="12" style="42" customWidth="1"/>
    <col min="794" max="794" width="12.77734375" style="42" customWidth="1"/>
    <col min="795" max="795" width="11.109375" style="42" customWidth="1"/>
    <col min="796" max="796" width="12" style="42" customWidth="1"/>
    <col min="797" max="797" width="9.6640625" style="42"/>
    <col min="798" max="798" width="15.33203125" style="42" customWidth="1"/>
    <col min="799" max="799" width="15.21875" style="42" customWidth="1"/>
    <col min="800" max="800" width="21.44140625" style="42" customWidth="1"/>
    <col min="801" max="816" width="9.6640625" style="42"/>
    <col min="817" max="818" width="13.44140625" style="42" customWidth="1"/>
    <col min="819" max="819" width="9.6640625" style="42"/>
    <col min="820" max="820" width="13.88671875" style="42" customWidth="1"/>
    <col min="821" max="821" width="10.6640625" style="42" customWidth="1"/>
    <col min="822" max="822" width="17.33203125" style="42" customWidth="1"/>
    <col min="823" max="824" width="12.6640625" style="42" customWidth="1"/>
    <col min="825" max="825" width="11.21875" style="42" customWidth="1"/>
    <col min="826" max="826" width="18.33203125" style="42" customWidth="1"/>
    <col min="827" max="827" width="12.88671875" style="42" customWidth="1"/>
    <col min="828" max="829" width="13.21875" style="42" customWidth="1"/>
    <col min="830" max="830" width="10.88671875" style="42" customWidth="1"/>
    <col min="831" max="831" width="11.109375" style="42" customWidth="1"/>
    <col min="832" max="832" width="15.21875" style="42" customWidth="1"/>
    <col min="833" max="833" width="9.6640625" style="42"/>
    <col min="834" max="834" width="11" style="42" customWidth="1"/>
    <col min="835" max="835" width="10.77734375" style="42" customWidth="1"/>
    <col min="836" max="836" width="11.44140625" style="42" customWidth="1"/>
    <col min="837" max="837" width="4" style="42" customWidth="1"/>
    <col min="838" max="1028" width="9.6640625" style="42"/>
    <col min="1029" max="1029" width="6.44140625" style="42" customWidth="1"/>
    <col min="1030" max="1030" width="13.88671875" style="42" customWidth="1"/>
    <col min="1031" max="1031" width="14.33203125" style="42" customWidth="1"/>
    <col min="1032" max="1048" width="9.6640625" style="42"/>
    <col min="1049" max="1049" width="12" style="42" customWidth="1"/>
    <col min="1050" max="1050" width="12.77734375" style="42" customWidth="1"/>
    <col min="1051" max="1051" width="11.109375" style="42" customWidth="1"/>
    <col min="1052" max="1052" width="12" style="42" customWidth="1"/>
    <col min="1053" max="1053" width="9.6640625" style="42"/>
    <col min="1054" max="1054" width="15.33203125" style="42" customWidth="1"/>
    <col min="1055" max="1055" width="15.21875" style="42" customWidth="1"/>
    <col min="1056" max="1056" width="21.44140625" style="42" customWidth="1"/>
    <col min="1057" max="1072" width="9.6640625" style="42"/>
    <col min="1073" max="1074" width="13.44140625" style="42" customWidth="1"/>
    <col min="1075" max="1075" width="9.6640625" style="42"/>
    <col min="1076" max="1076" width="13.88671875" style="42" customWidth="1"/>
    <col min="1077" max="1077" width="10.6640625" style="42" customWidth="1"/>
    <col min="1078" max="1078" width="17.33203125" style="42" customWidth="1"/>
    <col min="1079" max="1080" width="12.6640625" style="42" customWidth="1"/>
    <col min="1081" max="1081" width="11.21875" style="42" customWidth="1"/>
    <col min="1082" max="1082" width="18.33203125" style="42" customWidth="1"/>
    <col min="1083" max="1083" width="12.88671875" style="42" customWidth="1"/>
    <col min="1084" max="1085" width="13.21875" style="42" customWidth="1"/>
    <col min="1086" max="1086" width="10.88671875" style="42" customWidth="1"/>
    <col min="1087" max="1087" width="11.109375" style="42" customWidth="1"/>
    <col min="1088" max="1088" width="15.21875" style="42" customWidth="1"/>
    <col min="1089" max="1089" width="9.6640625" style="42"/>
    <col min="1090" max="1090" width="11" style="42" customWidth="1"/>
    <col min="1091" max="1091" width="10.77734375" style="42" customWidth="1"/>
    <col min="1092" max="1092" width="11.44140625" style="42" customWidth="1"/>
    <col min="1093" max="1093" width="4" style="42" customWidth="1"/>
    <col min="1094" max="1284" width="9.6640625" style="42"/>
    <col min="1285" max="1285" width="6.44140625" style="42" customWidth="1"/>
    <col min="1286" max="1286" width="13.88671875" style="42" customWidth="1"/>
    <col min="1287" max="1287" width="14.33203125" style="42" customWidth="1"/>
    <col min="1288" max="1304" width="9.6640625" style="42"/>
    <col min="1305" max="1305" width="12" style="42" customWidth="1"/>
    <col min="1306" max="1306" width="12.77734375" style="42" customWidth="1"/>
    <col min="1307" max="1307" width="11.109375" style="42" customWidth="1"/>
    <col min="1308" max="1308" width="12" style="42" customWidth="1"/>
    <col min="1309" max="1309" width="9.6640625" style="42"/>
    <col min="1310" max="1310" width="15.33203125" style="42" customWidth="1"/>
    <col min="1311" max="1311" width="15.21875" style="42" customWidth="1"/>
    <col min="1312" max="1312" width="21.44140625" style="42" customWidth="1"/>
    <col min="1313" max="1328" width="9.6640625" style="42"/>
    <col min="1329" max="1330" width="13.44140625" style="42" customWidth="1"/>
    <col min="1331" max="1331" width="9.6640625" style="42"/>
    <col min="1332" max="1332" width="13.88671875" style="42" customWidth="1"/>
    <col min="1333" max="1333" width="10.6640625" style="42" customWidth="1"/>
    <col min="1334" max="1334" width="17.33203125" style="42" customWidth="1"/>
    <col min="1335" max="1336" width="12.6640625" style="42" customWidth="1"/>
    <col min="1337" max="1337" width="11.21875" style="42" customWidth="1"/>
    <col min="1338" max="1338" width="18.33203125" style="42" customWidth="1"/>
    <col min="1339" max="1339" width="12.88671875" style="42" customWidth="1"/>
    <col min="1340" max="1341" width="13.21875" style="42" customWidth="1"/>
    <col min="1342" max="1342" width="10.88671875" style="42" customWidth="1"/>
    <col min="1343" max="1343" width="11.109375" style="42" customWidth="1"/>
    <col min="1344" max="1344" width="15.21875" style="42" customWidth="1"/>
    <col min="1345" max="1345" width="9.6640625" style="42"/>
    <col min="1346" max="1346" width="11" style="42" customWidth="1"/>
    <col min="1347" max="1347" width="10.77734375" style="42" customWidth="1"/>
    <col min="1348" max="1348" width="11.44140625" style="42" customWidth="1"/>
    <col min="1349" max="1349" width="4" style="42" customWidth="1"/>
    <col min="1350" max="1540" width="9.6640625" style="42"/>
    <col min="1541" max="1541" width="6.44140625" style="42" customWidth="1"/>
    <col min="1542" max="1542" width="13.88671875" style="42" customWidth="1"/>
    <col min="1543" max="1543" width="14.33203125" style="42" customWidth="1"/>
    <col min="1544" max="1560" width="9.6640625" style="42"/>
    <col min="1561" max="1561" width="12" style="42" customWidth="1"/>
    <col min="1562" max="1562" width="12.77734375" style="42" customWidth="1"/>
    <col min="1563" max="1563" width="11.109375" style="42" customWidth="1"/>
    <col min="1564" max="1564" width="12" style="42" customWidth="1"/>
    <col min="1565" max="1565" width="9.6640625" style="42"/>
    <col min="1566" max="1566" width="15.33203125" style="42" customWidth="1"/>
    <col min="1567" max="1567" width="15.21875" style="42" customWidth="1"/>
    <col min="1568" max="1568" width="21.44140625" style="42" customWidth="1"/>
    <col min="1569" max="1584" width="9.6640625" style="42"/>
    <col min="1585" max="1586" width="13.44140625" style="42" customWidth="1"/>
    <col min="1587" max="1587" width="9.6640625" style="42"/>
    <col min="1588" max="1588" width="13.88671875" style="42" customWidth="1"/>
    <col min="1589" max="1589" width="10.6640625" style="42" customWidth="1"/>
    <col min="1590" max="1590" width="17.33203125" style="42" customWidth="1"/>
    <col min="1591" max="1592" width="12.6640625" style="42" customWidth="1"/>
    <col min="1593" max="1593" width="11.21875" style="42" customWidth="1"/>
    <col min="1594" max="1594" width="18.33203125" style="42" customWidth="1"/>
    <col min="1595" max="1595" width="12.88671875" style="42" customWidth="1"/>
    <col min="1596" max="1597" width="13.21875" style="42" customWidth="1"/>
    <col min="1598" max="1598" width="10.88671875" style="42" customWidth="1"/>
    <col min="1599" max="1599" width="11.109375" style="42" customWidth="1"/>
    <col min="1600" max="1600" width="15.21875" style="42" customWidth="1"/>
    <col min="1601" max="1601" width="9.6640625" style="42"/>
    <col min="1602" max="1602" width="11" style="42" customWidth="1"/>
    <col min="1603" max="1603" width="10.77734375" style="42" customWidth="1"/>
    <col min="1604" max="1604" width="11.44140625" style="42" customWidth="1"/>
    <col min="1605" max="1605" width="4" style="42" customWidth="1"/>
    <col min="1606" max="1796" width="9.6640625" style="42"/>
    <col min="1797" max="1797" width="6.44140625" style="42" customWidth="1"/>
    <col min="1798" max="1798" width="13.88671875" style="42" customWidth="1"/>
    <col min="1799" max="1799" width="14.33203125" style="42" customWidth="1"/>
    <col min="1800" max="1816" width="9.6640625" style="42"/>
    <col min="1817" max="1817" width="12" style="42" customWidth="1"/>
    <col min="1818" max="1818" width="12.77734375" style="42" customWidth="1"/>
    <col min="1819" max="1819" width="11.109375" style="42" customWidth="1"/>
    <col min="1820" max="1820" width="12" style="42" customWidth="1"/>
    <col min="1821" max="1821" width="9.6640625" style="42"/>
    <col min="1822" max="1822" width="15.33203125" style="42" customWidth="1"/>
    <col min="1823" max="1823" width="15.21875" style="42" customWidth="1"/>
    <col min="1824" max="1824" width="21.44140625" style="42" customWidth="1"/>
    <col min="1825" max="1840" width="9.6640625" style="42"/>
    <col min="1841" max="1842" width="13.44140625" style="42" customWidth="1"/>
    <col min="1843" max="1843" width="9.6640625" style="42"/>
    <col min="1844" max="1844" width="13.88671875" style="42" customWidth="1"/>
    <col min="1845" max="1845" width="10.6640625" style="42" customWidth="1"/>
    <col min="1846" max="1846" width="17.33203125" style="42" customWidth="1"/>
    <col min="1847" max="1848" width="12.6640625" style="42" customWidth="1"/>
    <col min="1849" max="1849" width="11.21875" style="42" customWidth="1"/>
    <col min="1850" max="1850" width="18.33203125" style="42" customWidth="1"/>
    <col min="1851" max="1851" width="12.88671875" style="42" customWidth="1"/>
    <col min="1852" max="1853" width="13.21875" style="42" customWidth="1"/>
    <col min="1854" max="1854" width="10.88671875" style="42" customWidth="1"/>
    <col min="1855" max="1855" width="11.109375" style="42" customWidth="1"/>
    <col min="1856" max="1856" width="15.21875" style="42" customWidth="1"/>
    <col min="1857" max="1857" width="9.6640625" style="42"/>
    <col min="1858" max="1858" width="11" style="42" customWidth="1"/>
    <col min="1859" max="1859" width="10.77734375" style="42" customWidth="1"/>
    <col min="1860" max="1860" width="11.44140625" style="42" customWidth="1"/>
    <col min="1861" max="1861" width="4" style="42" customWidth="1"/>
    <col min="1862" max="2052" width="9.6640625" style="42"/>
    <col min="2053" max="2053" width="6.44140625" style="42" customWidth="1"/>
    <col min="2054" max="2054" width="13.88671875" style="42" customWidth="1"/>
    <col min="2055" max="2055" width="14.33203125" style="42" customWidth="1"/>
    <col min="2056" max="2072" width="9.6640625" style="42"/>
    <col min="2073" max="2073" width="12" style="42" customWidth="1"/>
    <col min="2074" max="2074" width="12.77734375" style="42" customWidth="1"/>
    <col min="2075" max="2075" width="11.109375" style="42" customWidth="1"/>
    <col min="2076" max="2076" width="12" style="42" customWidth="1"/>
    <col min="2077" max="2077" width="9.6640625" style="42"/>
    <col min="2078" max="2078" width="15.33203125" style="42" customWidth="1"/>
    <col min="2079" max="2079" width="15.21875" style="42" customWidth="1"/>
    <col min="2080" max="2080" width="21.44140625" style="42" customWidth="1"/>
    <col min="2081" max="2096" width="9.6640625" style="42"/>
    <col min="2097" max="2098" width="13.44140625" style="42" customWidth="1"/>
    <col min="2099" max="2099" width="9.6640625" style="42"/>
    <col min="2100" max="2100" width="13.88671875" style="42" customWidth="1"/>
    <col min="2101" max="2101" width="10.6640625" style="42" customWidth="1"/>
    <col min="2102" max="2102" width="17.33203125" style="42" customWidth="1"/>
    <col min="2103" max="2104" width="12.6640625" style="42" customWidth="1"/>
    <col min="2105" max="2105" width="11.21875" style="42" customWidth="1"/>
    <col min="2106" max="2106" width="18.33203125" style="42" customWidth="1"/>
    <col min="2107" max="2107" width="12.88671875" style="42" customWidth="1"/>
    <col min="2108" max="2109" width="13.21875" style="42" customWidth="1"/>
    <col min="2110" max="2110" width="10.88671875" style="42" customWidth="1"/>
    <col min="2111" max="2111" width="11.109375" style="42" customWidth="1"/>
    <col min="2112" max="2112" width="15.21875" style="42" customWidth="1"/>
    <col min="2113" max="2113" width="9.6640625" style="42"/>
    <col min="2114" max="2114" width="11" style="42" customWidth="1"/>
    <col min="2115" max="2115" width="10.77734375" style="42" customWidth="1"/>
    <col min="2116" max="2116" width="11.44140625" style="42" customWidth="1"/>
    <col min="2117" max="2117" width="4" style="42" customWidth="1"/>
    <col min="2118" max="2308" width="9.6640625" style="42"/>
    <col min="2309" max="2309" width="6.44140625" style="42" customWidth="1"/>
    <col min="2310" max="2310" width="13.88671875" style="42" customWidth="1"/>
    <col min="2311" max="2311" width="14.33203125" style="42" customWidth="1"/>
    <col min="2312" max="2328" width="9.6640625" style="42"/>
    <col min="2329" max="2329" width="12" style="42" customWidth="1"/>
    <col min="2330" max="2330" width="12.77734375" style="42" customWidth="1"/>
    <col min="2331" max="2331" width="11.109375" style="42" customWidth="1"/>
    <col min="2332" max="2332" width="12" style="42" customWidth="1"/>
    <col min="2333" max="2333" width="9.6640625" style="42"/>
    <col min="2334" max="2334" width="15.33203125" style="42" customWidth="1"/>
    <col min="2335" max="2335" width="15.21875" style="42" customWidth="1"/>
    <col min="2336" max="2336" width="21.44140625" style="42" customWidth="1"/>
    <col min="2337" max="2352" width="9.6640625" style="42"/>
    <col min="2353" max="2354" width="13.44140625" style="42" customWidth="1"/>
    <col min="2355" max="2355" width="9.6640625" style="42"/>
    <col min="2356" max="2356" width="13.88671875" style="42" customWidth="1"/>
    <col min="2357" max="2357" width="10.6640625" style="42" customWidth="1"/>
    <col min="2358" max="2358" width="17.33203125" style="42" customWidth="1"/>
    <col min="2359" max="2360" width="12.6640625" style="42" customWidth="1"/>
    <col min="2361" max="2361" width="11.21875" style="42" customWidth="1"/>
    <col min="2362" max="2362" width="18.33203125" style="42" customWidth="1"/>
    <col min="2363" max="2363" width="12.88671875" style="42" customWidth="1"/>
    <col min="2364" max="2365" width="13.21875" style="42" customWidth="1"/>
    <col min="2366" max="2366" width="10.88671875" style="42" customWidth="1"/>
    <col min="2367" max="2367" width="11.109375" style="42" customWidth="1"/>
    <col min="2368" max="2368" width="15.21875" style="42" customWidth="1"/>
    <col min="2369" max="2369" width="9.6640625" style="42"/>
    <col min="2370" max="2370" width="11" style="42" customWidth="1"/>
    <col min="2371" max="2371" width="10.77734375" style="42" customWidth="1"/>
    <col min="2372" max="2372" width="11.44140625" style="42" customWidth="1"/>
    <col min="2373" max="2373" width="4" style="42" customWidth="1"/>
    <col min="2374" max="2564" width="9.6640625" style="42"/>
    <col min="2565" max="2565" width="6.44140625" style="42" customWidth="1"/>
    <col min="2566" max="2566" width="13.88671875" style="42" customWidth="1"/>
    <col min="2567" max="2567" width="14.33203125" style="42" customWidth="1"/>
    <col min="2568" max="2584" width="9.6640625" style="42"/>
    <col min="2585" max="2585" width="12" style="42" customWidth="1"/>
    <col min="2586" max="2586" width="12.77734375" style="42" customWidth="1"/>
    <col min="2587" max="2587" width="11.109375" style="42" customWidth="1"/>
    <col min="2588" max="2588" width="12" style="42" customWidth="1"/>
    <col min="2589" max="2589" width="9.6640625" style="42"/>
    <col min="2590" max="2590" width="15.33203125" style="42" customWidth="1"/>
    <col min="2591" max="2591" width="15.21875" style="42" customWidth="1"/>
    <col min="2592" max="2592" width="21.44140625" style="42" customWidth="1"/>
    <col min="2593" max="2608" width="9.6640625" style="42"/>
    <col min="2609" max="2610" width="13.44140625" style="42" customWidth="1"/>
    <col min="2611" max="2611" width="9.6640625" style="42"/>
    <col min="2612" max="2612" width="13.88671875" style="42" customWidth="1"/>
    <col min="2613" max="2613" width="10.6640625" style="42" customWidth="1"/>
    <col min="2614" max="2614" width="17.33203125" style="42" customWidth="1"/>
    <col min="2615" max="2616" width="12.6640625" style="42" customWidth="1"/>
    <col min="2617" max="2617" width="11.21875" style="42" customWidth="1"/>
    <col min="2618" max="2618" width="18.33203125" style="42" customWidth="1"/>
    <col min="2619" max="2619" width="12.88671875" style="42" customWidth="1"/>
    <col min="2620" max="2621" width="13.21875" style="42" customWidth="1"/>
    <col min="2622" max="2622" width="10.88671875" style="42" customWidth="1"/>
    <col min="2623" max="2623" width="11.109375" style="42" customWidth="1"/>
    <col min="2624" max="2624" width="15.21875" style="42" customWidth="1"/>
    <col min="2625" max="2625" width="9.6640625" style="42"/>
    <col min="2626" max="2626" width="11" style="42" customWidth="1"/>
    <col min="2627" max="2627" width="10.77734375" style="42" customWidth="1"/>
    <col min="2628" max="2628" width="11.44140625" style="42" customWidth="1"/>
    <col min="2629" max="2629" width="4" style="42" customWidth="1"/>
    <col min="2630" max="2820" width="9.6640625" style="42"/>
    <col min="2821" max="2821" width="6.44140625" style="42" customWidth="1"/>
    <col min="2822" max="2822" width="13.88671875" style="42" customWidth="1"/>
    <col min="2823" max="2823" width="14.33203125" style="42" customWidth="1"/>
    <col min="2824" max="2840" width="9.6640625" style="42"/>
    <col min="2841" max="2841" width="12" style="42" customWidth="1"/>
    <col min="2842" max="2842" width="12.77734375" style="42" customWidth="1"/>
    <col min="2843" max="2843" width="11.109375" style="42" customWidth="1"/>
    <col min="2844" max="2844" width="12" style="42" customWidth="1"/>
    <col min="2845" max="2845" width="9.6640625" style="42"/>
    <col min="2846" max="2846" width="15.33203125" style="42" customWidth="1"/>
    <col min="2847" max="2847" width="15.21875" style="42" customWidth="1"/>
    <col min="2848" max="2848" width="21.44140625" style="42" customWidth="1"/>
    <col min="2849" max="2864" width="9.6640625" style="42"/>
    <col min="2865" max="2866" width="13.44140625" style="42" customWidth="1"/>
    <col min="2867" max="2867" width="9.6640625" style="42"/>
    <col min="2868" max="2868" width="13.88671875" style="42" customWidth="1"/>
    <col min="2869" max="2869" width="10.6640625" style="42" customWidth="1"/>
    <col min="2870" max="2870" width="17.33203125" style="42" customWidth="1"/>
    <col min="2871" max="2872" width="12.6640625" style="42" customWidth="1"/>
    <col min="2873" max="2873" width="11.21875" style="42" customWidth="1"/>
    <col min="2874" max="2874" width="18.33203125" style="42" customWidth="1"/>
    <col min="2875" max="2875" width="12.88671875" style="42" customWidth="1"/>
    <col min="2876" max="2877" width="13.21875" style="42" customWidth="1"/>
    <col min="2878" max="2878" width="10.88671875" style="42" customWidth="1"/>
    <col min="2879" max="2879" width="11.109375" style="42" customWidth="1"/>
    <col min="2880" max="2880" width="15.21875" style="42" customWidth="1"/>
    <col min="2881" max="2881" width="9.6640625" style="42"/>
    <col min="2882" max="2882" width="11" style="42" customWidth="1"/>
    <col min="2883" max="2883" width="10.77734375" style="42" customWidth="1"/>
    <col min="2884" max="2884" width="11.44140625" style="42" customWidth="1"/>
    <col min="2885" max="2885" width="4" style="42" customWidth="1"/>
    <col min="2886" max="3076" width="9.6640625" style="42"/>
    <col min="3077" max="3077" width="6.44140625" style="42" customWidth="1"/>
    <col min="3078" max="3078" width="13.88671875" style="42" customWidth="1"/>
    <col min="3079" max="3079" width="14.33203125" style="42" customWidth="1"/>
    <col min="3080" max="3096" width="9.6640625" style="42"/>
    <col min="3097" max="3097" width="12" style="42" customWidth="1"/>
    <col min="3098" max="3098" width="12.77734375" style="42" customWidth="1"/>
    <col min="3099" max="3099" width="11.109375" style="42" customWidth="1"/>
    <col min="3100" max="3100" width="12" style="42" customWidth="1"/>
    <col min="3101" max="3101" width="9.6640625" style="42"/>
    <col min="3102" max="3102" width="15.33203125" style="42" customWidth="1"/>
    <col min="3103" max="3103" width="15.21875" style="42" customWidth="1"/>
    <col min="3104" max="3104" width="21.44140625" style="42" customWidth="1"/>
    <col min="3105" max="3120" width="9.6640625" style="42"/>
    <col min="3121" max="3122" width="13.44140625" style="42" customWidth="1"/>
    <col min="3123" max="3123" width="9.6640625" style="42"/>
    <col min="3124" max="3124" width="13.88671875" style="42" customWidth="1"/>
    <col min="3125" max="3125" width="10.6640625" style="42" customWidth="1"/>
    <col min="3126" max="3126" width="17.33203125" style="42" customWidth="1"/>
    <col min="3127" max="3128" width="12.6640625" style="42" customWidth="1"/>
    <col min="3129" max="3129" width="11.21875" style="42" customWidth="1"/>
    <col min="3130" max="3130" width="18.33203125" style="42" customWidth="1"/>
    <col min="3131" max="3131" width="12.88671875" style="42" customWidth="1"/>
    <col min="3132" max="3133" width="13.21875" style="42" customWidth="1"/>
    <col min="3134" max="3134" width="10.88671875" style="42" customWidth="1"/>
    <col min="3135" max="3135" width="11.109375" style="42" customWidth="1"/>
    <col min="3136" max="3136" width="15.21875" style="42" customWidth="1"/>
    <col min="3137" max="3137" width="9.6640625" style="42"/>
    <col min="3138" max="3138" width="11" style="42" customWidth="1"/>
    <col min="3139" max="3139" width="10.77734375" style="42" customWidth="1"/>
    <col min="3140" max="3140" width="11.44140625" style="42" customWidth="1"/>
    <col min="3141" max="3141" width="4" style="42" customWidth="1"/>
    <col min="3142" max="3332" width="9.6640625" style="42"/>
    <col min="3333" max="3333" width="6.44140625" style="42" customWidth="1"/>
    <col min="3334" max="3334" width="13.88671875" style="42" customWidth="1"/>
    <col min="3335" max="3335" width="14.33203125" style="42" customWidth="1"/>
    <col min="3336" max="3352" width="9.6640625" style="42"/>
    <col min="3353" max="3353" width="12" style="42" customWidth="1"/>
    <col min="3354" max="3354" width="12.77734375" style="42" customWidth="1"/>
    <col min="3355" max="3355" width="11.109375" style="42" customWidth="1"/>
    <col min="3356" max="3356" width="12" style="42" customWidth="1"/>
    <col min="3357" max="3357" width="9.6640625" style="42"/>
    <col min="3358" max="3358" width="15.33203125" style="42" customWidth="1"/>
    <col min="3359" max="3359" width="15.21875" style="42" customWidth="1"/>
    <col min="3360" max="3360" width="21.44140625" style="42" customWidth="1"/>
    <col min="3361" max="3376" width="9.6640625" style="42"/>
    <col min="3377" max="3378" width="13.44140625" style="42" customWidth="1"/>
    <col min="3379" max="3379" width="9.6640625" style="42"/>
    <col min="3380" max="3380" width="13.88671875" style="42" customWidth="1"/>
    <col min="3381" max="3381" width="10.6640625" style="42" customWidth="1"/>
    <col min="3382" max="3382" width="17.33203125" style="42" customWidth="1"/>
    <col min="3383" max="3384" width="12.6640625" style="42" customWidth="1"/>
    <col min="3385" max="3385" width="11.21875" style="42" customWidth="1"/>
    <col min="3386" max="3386" width="18.33203125" style="42" customWidth="1"/>
    <col min="3387" max="3387" width="12.88671875" style="42" customWidth="1"/>
    <col min="3388" max="3389" width="13.21875" style="42" customWidth="1"/>
    <col min="3390" max="3390" width="10.88671875" style="42" customWidth="1"/>
    <col min="3391" max="3391" width="11.109375" style="42" customWidth="1"/>
    <col min="3392" max="3392" width="15.21875" style="42" customWidth="1"/>
    <col min="3393" max="3393" width="9.6640625" style="42"/>
    <col min="3394" max="3394" width="11" style="42" customWidth="1"/>
    <col min="3395" max="3395" width="10.77734375" style="42" customWidth="1"/>
    <col min="3396" max="3396" width="11.44140625" style="42" customWidth="1"/>
    <col min="3397" max="3397" width="4" style="42" customWidth="1"/>
    <col min="3398" max="3588" width="9.6640625" style="42"/>
    <col min="3589" max="3589" width="6.44140625" style="42" customWidth="1"/>
    <col min="3590" max="3590" width="13.88671875" style="42" customWidth="1"/>
    <col min="3591" max="3591" width="14.33203125" style="42" customWidth="1"/>
    <col min="3592" max="3608" width="9.6640625" style="42"/>
    <col min="3609" max="3609" width="12" style="42" customWidth="1"/>
    <col min="3610" max="3610" width="12.77734375" style="42" customWidth="1"/>
    <col min="3611" max="3611" width="11.109375" style="42" customWidth="1"/>
    <col min="3612" max="3612" width="12" style="42" customWidth="1"/>
    <col min="3613" max="3613" width="9.6640625" style="42"/>
    <col min="3614" max="3614" width="15.33203125" style="42" customWidth="1"/>
    <col min="3615" max="3615" width="15.21875" style="42" customWidth="1"/>
    <col min="3616" max="3616" width="21.44140625" style="42" customWidth="1"/>
    <col min="3617" max="3632" width="9.6640625" style="42"/>
    <col min="3633" max="3634" width="13.44140625" style="42" customWidth="1"/>
    <col min="3635" max="3635" width="9.6640625" style="42"/>
    <col min="3636" max="3636" width="13.88671875" style="42" customWidth="1"/>
    <col min="3637" max="3637" width="10.6640625" style="42" customWidth="1"/>
    <col min="3638" max="3638" width="17.33203125" style="42" customWidth="1"/>
    <col min="3639" max="3640" width="12.6640625" style="42" customWidth="1"/>
    <col min="3641" max="3641" width="11.21875" style="42" customWidth="1"/>
    <col min="3642" max="3642" width="18.33203125" style="42" customWidth="1"/>
    <col min="3643" max="3643" width="12.88671875" style="42" customWidth="1"/>
    <col min="3644" max="3645" width="13.21875" style="42" customWidth="1"/>
    <col min="3646" max="3646" width="10.88671875" style="42" customWidth="1"/>
    <col min="3647" max="3647" width="11.109375" style="42" customWidth="1"/>
    <col min="3648" max="3648" width="15.21875" style="42" customWidth="1"/>
    <col min="3649" max="3649" width="9.6640625" style="42"/>
    <col min="3650" max="3650" width="11" style="42" customWidth="1"/>
    <col min="3651" max="3651" width="10.77734375" style="42" customWidth="1"/>
    <col min="3652" max="3652" width="11.44140625" style="42" customWidth="1"/>
    <col min="3653" max="3653" width="4" style="42" customWidth="1"/>
    <col min="3654" max="3844" width="9.6640625" style="42"/>
    <col min="3845" max="3845" width="6.44140625" style="42" customWidth="1"/>
    <col min="3846" max="3846" width="13.88671875" style="42" customWidth="1"/>
    <col min="3847" max="3847" width="14.33203125" style="42" customWidth="1"/>
    <col min="3848" max="3864" width="9.6640625" style="42"/>
    <col min="3865" max="3865" width="12" style="42" customWidth="1"/>
    <col min="3866" max="3866" width="12.77734375" style="42" customWidth="1"/>
    <col min="3867" max="3867" width="11.109375" style="42" customWidth="1"/>
    <col min="3868" max="3868" width="12" style="42" customWidth="1"/>
    <col min="3869" max="3869" width="9.6640625" style="42"/>
    <col min="3870" max="3870" width="15.33203125" style="42" customWidth="1"/>
    <col min="3871" max="3871" width="15.21875" style="42" customWidth="1"/>
    <col min="3872" max="3872" width="21.44140625" style="42" customWidth="1"/>
    <col min="3873" max="3888" width="9.6640625" style="42"/>
    <col min="3889" max="3890" width="13.44140625" style="42" customWidth="1"/>
    <col min="3891" max="3891" width="9.6640625" style="42"/>
    <col min="3892" max="3892" width="13.88671875" style="42" customWidth="1"/>
    <col min="3893" max="3893" width="10.6640625" style="42" customWidth="1"/>
    <col min="3894" max="3894" width="17.33203125" style="42" customWidth="1"/>
    <col min="3895" max="3896" width="12.6640625" style="42" customWidth="1"/>
    <col min="3897" max="3897" width="11.21875" style="42" customWidth="1"/>
    <col min="3898" max="3898" width="18.33203125" style="42" customWidth="1"/>
    <col min="3899" max="3899" width="12.88671875" style="42" customWidth="1"/>
    <col min="3900" max="3901" width="13.21875" style="42" customWidth="1"/>
    <col min="3902" max="3902" width="10.88671875" style="42" customWidth="1"/>
    <col min="3903" max="3903" width="11.109375" style="42" customWidth="1"/>
    <col min="3904" max="3904" width="15.21875" style="42" customWidth="1"/>
    <col min="3905" max="3905" width="9.6640625" style="42"/>
    <col min="3906" max="3906" width="11" style="42" customWidth="1"/>
    <col min="3907" max="3907" width="10.77734375" style="42" customWidth="1"/>
    <col min="3908" max="3908" width="11.44140625" style="42" customWidth="1"/>
    <col min="3909" max="3909" width="4" style="42" customWidth="1"/>
    <col min="3910" max="4100" width="9.6640625" style="42"/>
    <col min="4101" max="4101" width="6.44140625" style="42" customWidth="1"/>
    <col min="4102" max="4102" width="13.88671875" style="42" customWidth="1"/>
    <col min="4103" max="4103" width="14.33203125" style="42" customWidth="1"/>
    <col min="4104" max="4120" width="9.6640625" style="42"/>
    <col min="4121" max="4121" width="12" style="42" customWidth="1"/>
    <col min="4122" max="4122" width="12.77734375" style="42" customWidth="1"/>
    <col min="4123" max="4123" width="11.109375" style="42" customWidth="1"/>
    <col min="4124" max="4124" width="12" style="42" customWidth="1"/>
    <col min="4125" max="4125" width="9.6640625" style="42"/>
    <col min="4126" max="4126" width="15.33203125" style="42" customWidth="1"/>
    <col min="4127" max="4127" width="15.21875" style="42" customWidth="1"/>
    <col min="4128" max="4128" width="21.44140625" style="42" customWidth="1"/>
    <col min="4129" max="4144" width="9.6640625" style="42"/>
    <col min="4145" max="4146" width="13.44140625" style="42" customWidth="1"/>
    <col min="4147" max="4147" width="9.6640625" style="42"/>
    <col min="4148" max="4148" width="13.88671875" style="42" customWidth="1"/>
    <col min="4149" max="4149" width="10.6640625" style="42" customWidth="1"/>
    <col min="4150" max="4150" width="17.33203125" style="42" customWidth="1"/>
    <col min="4151" max="4152" width="12.6640625" style="42" customWidth="1"/>
    <col min="4153" max="4153" width="11.21875" style="42" customWidth="1"/>
    <col min="4154" max="4154" width="18.33203125" style="42" customWidth="1"/>
    <col min="4155" max="4155" width="12.88671875" style="42" customWidth="1"/>
    <col min="4156" max="4157" width="13.21875" style="42" customWidth="1"/>
    <col min="4158" max="4158" width="10.88671875" style="42" customWidth="1"/>
    <col min="4159" max="4159" width="11.109375" style="42" customWidth="1"/>
    <col min="4160" max="4160" width="15.21875" style="42" customWidth="1"/>
    <col min="4161" max="4161" width="9.6640625" style="42"/>
    <col min="4162" max="4162" width="11" style="42" customWidth="1"/>
    <col min="4163" max="4163" width="10.77734375" style="42" customWidth="1"/>
    <col min="4164" max="4164" width="11.44140625" style="42" customWidth="1"/>
    <col min="4165" max="4165" width="4" style="42" customWidth="1"/>
    <col min="4166" max="4356" width="9.6640625" style="42"/>
    <col min="4357" max="4357" width="6.44140625" style="42" customWidth="1"/>
    <col min="4358" max="4358" width="13.88671875" style="42" customWidth="1"/>
    <col min="4359" max="4359" width="14.33203125" style="42" customWidth="1"/>
    <col min="4360" max="4376" width="9.6640625" style="42"/>
    <col min="4377" max="4377" width="12" style="42" customWidth="1"/>
    <col min="4378" max="4378" width="12.77734375" style="42" customWidth="1"/>
    <col min="4379" max="4379" width="11.109375" style="42" customWidth="1"/>
    <col min="4380" max="4380" width="12" style="42" customWidth="1"/>
    <col min="4381" max="4381" width="9.6640625" style="42"/>
    <col min="4382" max="4382" width="15.33203125" style="42" customWidth="1"/>
    <col min="4383" max="4383" width="15.21875" style="42" customWidth="1"/>
    <col min="4384" max="4384" width="21.44140625" style="42" customWidth="1"/>
    <col min="4385" max="4400" width="9.6640625" style="42"/>
    <col min="4401" max="4402" width="13.44140625" style="42" customWidth="1"/>
    <col min="4403" max="4403" width="9.6640625" style="42"/>
    <col min="4404" max="4404" width="13.88671875" style="42" customWidth="1"/>
    <col min="4405" max="4405" width="10.6640625" style="42" customWidth="1"/>
    <col min="4406" max="4406" width="17.33203125" style="42" customWidth="1"/>
    <col min="4407" max="4408" width="12.6640625" style="42" customWidth="1"/>
    <col min="4409" max="4409" width="11.21875" style="42" customWidth="1"/>
    <col min="4410" max="4410" width="18.33203125" style="42" customWidth="1"/>
    <col min="4411" max="4411" width="12.88671875" style="42" customWidth="1"/>
    <col min="4412" max="4413" width="13.21875" style="42" customWidth="1"/>
    <col min="4414" max="4414" width="10.88671875" style="42" customWidth="1"/>
    <col min="4415" max="4415" width="11.109375" style="42" customWidth="1"/>
    <col min="4416" max="4416" width="15.21875" style="42" customWidth="1"/>
    <col min="4417" max="4417" width="9.6640625" style="42"/>
    <col min="4418" max="4418" width="11" style="42" customWidth="1"/>
    <col min="4419" max="4419" width="10.77734375" style="42" customWidth="1"/>
    <col min="4420" max="4420" width="11.44140625" style="42" customWidth="1"/>
    <col min="4421" max="4421" width="4" style="42" customWidth="1"/>
    <col min="4422" max="4612" width="9.6640625" style="42"/>
    <col min="4613" max="4613" width="6.44140625" style="42" customWidth="1"/>
    <col min="4614" max="4614" width="13.88671875" style="42" customWidth="1"/>
    <col min="4615" max="4615" width="14.33203125" style="42" customWidth="1"/>
    <col min="4616" max="4632" width="9.6640625" style="42"/>
    <col min="4633" max="4633" width="12" style="42" customWidth="1"/>
    <col min="4634" max="4634" width="12.77734375" style="42" customWidth="1"/>
    <col min="4635" max="4635" width="11.109375" style="42" customWidth="1"/>
    <col min="4636" max="4636" width="12" style="42" customWidth="1"/>
    <col min="4637" max="4637" width="9.6640625" style="42"/>
    <col min="4638" max="4638" width="15.33203125" style="42" customWidth="1"/>
    <col min="4639" max="4639" width="15.21875" style="42" customWidth="1"/>
    <col min="4640" max="4640" width="21.44140625" style="42" customWidth="1"/>
    <col min="4641" max="4656" width="9.6640625" style="42"/>
    <col min="4657" max="4658" width="13.44140625" style="42" customWidth="1"/>
    <col min="4659" max="4659" width="9.6640625" style="42"/>
    <col min="4660" max="4660" width="13.88671875" style="42" customWidth="1"/>
    <col min="4661" max="4661" width="10.6640625" style="42" customWidth="1"/>
    <col min="4662" max="4662" width="17.33203125" style="42" customWidth="1"/>
    <col min="4663" max="4664" width="12.6640625" style="42" customWidth="1"/>
    <col min="4665" max="4665" width="11.21875" style="42" customWidth="1"/>
    <col min="4666" max="4666" width="18.33203125" style="42" customWidth="1"/>
    <col min="4667" max="4667" width="12.88671875" style="42" customWidth="1"/>
    <col min="4668" max="4669" width="13.21875" style="42" customWidth="1"/>
    <col min="4670" max="4670" width="10.88671875" style="42" customWidth="1"/>
    <col min="4671" max="4671" width="11.109375" style="42" customWidth="1"/>
    <col min="4672" max="4672" width="15.21875" style="42" customWidth="1"/>
    <col min="4673" max="4673" width="9.6640625" style="42"/>
    <col min="4674" max="4674" width="11" style="42" customWidth="1"/>
    <col min="4675" max="4675" width="10.77734375" style="42" customWidth="1"/>
    <col min="4676" max="4676" width="11.44140625" style="42" customWidth="1"/>
    <col min="4677" max="4677" width="4" style="42" customWidth="1"/>
    <col min="4678" max="4868" width="9.6640625" style="42"/>
    <col min="4869" max="4869" width="6.44140625" style="42" customWidth="1"/>
    <col min="4870" max="4870" width="13.88671875" style="42" customWidth="1"/>
    <col min="4871" max="4871" width="14.33203125" style="42" customWidth="1"/>
    <col min="4872" max="4888" width="9.6640625" style="42"/>
    <col min="4889" max="4889" width="12" style="42" customWidth="1"/>
    <col min="4890" max="4890" width="12.77734375" style="42" customWidth="1"/>
    <col min="4891" max="4891" width="11.109375" style="42" customWidth="1"/>
    <col min="4892" max="4892" width="12" style="42" customWidth="1"/>
    <col min="4893" max="4893" width="9.6640625" style="42"/>
    <col min="4894" max="4894" width="15.33203125" style="42" customWidth="1"/>
    <col min="4895" max="4895" width="15.21875" style="42" customWidth="1"/>
    <col min="4896" max="4896" width="21.44140625" style="42" customWidth="1"/>
    <col min="4897" max="4912" width="9.6640625" style="42"/>
    <col min="4913" max="4914" width="13.44140625" style="42" customWidth="1"/>
    <col min="4915" max="4915" width="9.6640625" style="42"/>
    <col min="4916" max="4916" width="13.88671875" style="42" customWidth="1"/>
    <col min="4917" max="4917" width="10.6640625" style="42" customWidth="1"/>
    <col min="4918" max="4918" width="17.33203125" style="42" customWidth="1"/>
    <col min="4919" max="4920" width="12.6640625" style="42" customWidth="1"/>
    <col min="4921" max="4921" width="11.21875" style="42" customWidth="1"/>
    <col min="4922" max="4922" width="18.33203125" style="42" customWidth="1"/>
    <col min="4923" max="4923" width="12.88671875" style="42" customWidth="1"/>
    <col min="4924" max="4925" width="13.21875" style="42" customWidth="1"/>
    <col min="4926" max="4926" width="10.88671875" style="42" customWidth="1"/>
    <col min="4927" max="4927" width="11.109375" style="42" customWidth="1"/>
    <col min="4928" max="4928" width="15.21875" style="42" customWidth="1"/>
    <col min="4929" max="4929" width="9.6640625" style="42"/>
    <col min="4930" max="4930" width="11" style="42" customWidth="1"/>
    <col min="4931" max="4931" width="10.77734375" style="42" customWidth="1"/>
    <col min="4932" max="4932" width="11.44140625" style="42" customWidth="1"/>
    <col min="4933" max="4933" width="4" style="42" customWidth="1"/>
    <col min="4934" max="5124" width="9.6640625" style="42"/>
    <col min="5125" max="5125" width="6.44140625" style="42" customWidth="1"/>
    <col min="5126" max="5126" width="13.88671875" style="42" customWidth="1"/>
    <col min="5127" max="5127" width="14.33203125" style="42" customWidth="1"/>
    <col min="5128" max="5144" width="9.6640625" style="42"/>
    <col min="5145" max="5145" width="12" style="42" customWidth="1"/>
    <col min="5146" max="5146" width="12.77734375" style="42" customWidth="1"/>
    <col min="5147" max="5147" width="11.109375" style="42" customWidth="1"/>
    <col min="5148" max="5148" width="12" style="42" customWidth="1"/>
    <col min="5149" max="5149" width="9.6640625" style="42"/>
    <col min="5150" max="5150" width="15.33203125" style="42" customWidth="1"/>
    <col min="5151" max="5151" width="15.21875" style="42" customWidth="1"/>
    <col min="5152" max="5152" width="21.44140625" style="42" customWidth="1"/>
    <col min="5153" max="5168" width="9.6640625" style="42"/>
    <col min="5169" max="5170" width="13.44140625" style="42" customWidth="1"/>
    <col min="5171" max="5171" width="9.6640625" style="42"/>
    <col min="5172" max="5172" width="13.88671875" style="42" customWidth="1"/>
    <col min="5173" max="5173" width="10.6640625" style="42" customWidth="1"/>
    <col min="5174" max="5174" width="17.33203125" style="42" customWidth="1"/>
    <col min="5175" max="5176" width="12.6640625" style="42" customWidth="1"/>
    <col min="5177" max="5177" width="11.21875" style="42" customWidth="1"/>
    <col min="5178" max="5178" width="18.33203125" style="42" customWidth="1"/>
    <col min="5179" max="5179" width="12.88671875" style="42" customWidth="1"/>
    <col min="5180" max="5181" width="13.21875" style="42" customWidth="1"/>
    <col min="5182" max="5182" width="10.88671875" style="42" customWidth="1"/>
    <col min="5183" max="5183" width="11.109375" style="42" customWidth="1"/>
    <col min="5184" max="5184" width="15.21875" style="42" customWidth="1"/>
    <col min="5185" max="5185" width="9.6640625" style="42"/>
    <col min="5186" max="5186" width="11" style="42" customWidth="1"/>
    <col min="5187" max="5187" width="10.77734375" style="42" customWidth="1"/>
    <col min="5188" max="5188" width="11.44140625" style="42" customWidth="1"/>
    <col min="5189" max="5189" width="4" style="42" customWidth="1"/>
    <col min="5190" max="5380" width="9.6640625" style="42"/>
    <col min="5381" max="5381" width="6.44140625" style="42" customWidth="1"/>
    <col min="5382" max="5382" width="13.88671875" style="42" customWidth="1"/>
    <col min="5383" max="5383" width="14.33203125" style="42" customWidth="1"/>
    <col min="5384" max="5400" width="9.6640625" style="42"/>
    <col min="5401" max="5401" width="12" style="42" customWidth="1"/>
    <col min="5402" max="5402" width="12.77734375" style="42" customWidth="1"/>
    <col min="5403" max="5403" width="11.109375" style="42" customWidth="1"/>
    <col min="5404" max="5404" width="12" style="42" customWidth="1"/>
    <col min="5405" max="5405" width="9.6640625" style="42"/>
    <col min="5406" max="5406" width="15.33203125" style="42" customWidth="1"/>
    <col min="5407" max="5407" width="15.21875" style="42" customWidth="1"/>
    <col min="5408" max="5408" width="21.44140625" style="42" customWidth="1"/>
    <col min="5409" max="5424" width="9.6640625" style="42"/>
    <col min="5425" max="5426" width="13.44140625" style="42" customWidth="1"/>
    <col min="5427" max="5427" width="9.6640625" style="42"/>
    <col min="5428" max="5428" width="13.88671875" style="42" customWidth="1"/>
    <col min="5429" max="5429" width="10.6640625" style="42" customWidth="1"/>
    <col min="5430" max="5430" width="17.33203125" style="42" customWidth="1"/>
    <col min="5431" max="5432" width="12.6640625" style="42" customWidth="1"/>
    <col min="5433" max="5433" width="11.21875" style="42" customWidth="1"/>
    <col min="5434" max="5434" width="18.33203125" style="42" customWidth="1"/>
    <col min="5435" max="5435" width="12.88671875" style="42" customWidth="1"/>
    <col min="5436" max="5437" width="13.21875" style="42" customWidth="1"/>
    <col min="5438" max="5438" width="10.88671875" style="42" customWidth="1"/>
    <col min="5439" max="5439" width="11.109375" style="42" customWidth="1"/>
    <col min="5440" max="5440" width="15.21875" style="42" customWidth="1"/>
    <col min="5441" max="5441" width="9.6640625" style="42"/>
    <col min="5442" max="5442" width="11" style="42" customWidth="1"/>
    <col min="5443" max="5443" width="10.77734375" style="42" customWidth="1"/>
    <col min="5444" max="5444" width="11.44140625" style="42" customWidth="1"/>
    <col min="5445" max="5445" width="4" style="42" customWidth="1"/>
    <col min="5446" max="5636" width="9.6640625" style="42"/>
    <col min="5637" max="5637" width="6.44140625" style="42" customWidth="1"/>
    <col min="5638" max="5638" width="13.88671875" style="42" customWidth="1"/>
    <col min="5639" max="5639" width="14.33203125" style="42" customWidth="1"/>
    <col min="5640" max="5656" width="9.6640625" style="42"/>
    <col min="5657" max="5657" width="12" style="42" customWidth="1"/>
    <col min="5658" max="5658" width="12.77734375" style="42" customWidth="1"/>
    <col min="5659" max="5659" width="11.109375" style="42" customWidth="1"/>
    <col min="5660" max="5660" width="12" style="42" customWidth="1"/>
    <col min="5661" max="5661" width="9.6640625" style="42"/>
    <col min="5662" max="5662" width="15.33203125" style="42" customWidth="1"/>
    <col min="5663" max="5663" width="15.21875" style="42" customWidth="1"/>
    <col min="5664" max="5664" width="21.44140625" style="42" customWidth="1"/>
    <col min="5665" max="5680" width="9.6640625" style="42"/>
    <col min="5681" max="5682" width="13.44140625" style="42" customWidth="1"/>
    <col min="5683" max="5683" width="9.6640625" style="42"/>
    <col min="5684" max="5684" width="13.88671875" style="42" customWidth="1"/>
    <col min="5685" max="5685" width="10.6640625" style="42" customWidth="1"/>
    <col min="5686" max="5686" width="17.33203125" style="42" customWidth="1"/>
    <col min="5687" max="5688" width="12.6640625" style="42" customWidth="1"/>
    <col min="5689" max="5689" width="11.21875" style="42" customWidth="1"/>
    <col min="5690" max="5690" width="18.33203125" style="42" customWidth="1"/>
    <col min="5691" max="5691" width="12.88671875" style="42" customWidth="1"/>
    <col min="5692" max="5693" width="13.21875" style="42" customWidth="1"/>
    <col min="5694" max="5694" width="10.88671875" style="42" customWidth="1"/>
    <col min="5695" max="5695" width="11.109375" style="42" customWidth="1"/>
    <col min="5696" max="5696" width="15.21875" style="42" customWidth="1"/>
    <col min="5697" max="5697" width="9.6640625" style="42"/>
    <col min="5698" max="5698" width="11" style="42" customWidth="1"/>
    <col min="5699" max="5699" width="10.77734375" style="42" customWidth="1"/>
    <col min="5700" max="5700" width="11.44140625" style="42" customWidth="1"/>
    <col min="5701" max="5701" width="4" style="42" customWidth="1"/>
    <col min="5702" max="5892" width="9.6640625" style="42"/>
    <col min="5893" max="5893" width="6.44140625" style="42" customWidth="1"/>
    <col min="5894" max="5894" width="13.88671875" style="42" customWidth="1"/>
    <col min="5895" max="5895" width="14.33203125" style="42" customWidth="1"/>
    <col min="5896" max="5912" width="9.6640625" style="42"/>
    <col min="5913" max="5913" width="12" style="42" customWidth="1"/>
    <col min="5914" max="5914" width="12.77734375" style="42" customWidth="1"/>
    <col min="5915" max="5915" width="11.109375" style="42" customWidth="1"/>
    <col min="5916" max="5916" width="12" style="42" customWidth="1"/>
    <col min="5917" max="5917" width="9.6640625" style="42"/>
    <col min="5918" max="5918" width="15.33203125" style="42" customWidth="1"/>
    <col min="5919" max="5919" width="15.21875" style="42" customWidth="1"/>
    <col min="5920" max="5920" width="21.44140625" style="42" customWidth="1"/>
    <col min="5921" max="5936" width="9.6640625" style="42"/>
    <col min="5937" max="5938" width="13.44140625" style="42" customWidth="1"/>
    <col min="5939" max="5939" width="9.6640625" style="42"/>
    <col min="5940" max="5940" width="13.88671875" style="42" customWidth="1"/>
    <col min="5941" max="5941" width="10.6640625" style="42" customWidth="1"/>
    <col min="5942" max="5942" width="17.33203125" style="42" customWidth="1"/>
    <col min="5943" max="5944" width="12.6640625" style="42" customWidth="1"/>
    <col min="5945" max="5945" width="11.21875" style="42" customWidth="1"/>
    <col min="5946" max="5946" width="18.33203125" style="42" customWidth="1"/>
    <col min="5947" max="5947" width="12.88671875" style="42" customWidth="1"/>
    <col min="5948" max="5949" width="13.21875" style="42" customWidth="1"/>
    <col min="5950" max="5950" width="10.88671875" style="42" customWidth="1"/>
    <col min="5951" max="5951" width="11.109375" style="42" customWidth="1"/>
    <col min="5952" max="5952" width="15.21875" style="42" customWidth="1"/>
    <col min="5953" max="5953" width="9.6640625" style="42"/>
    <col min="5954" max="5954" width="11" style="42" customWidth="1"/>
    <col min="5955" max="5955" width="10.77734375" style="42" customWidth="1"/>
    <col min="5956" max="5956" width="11.44140625" style="42" customWidth="1"/>
    <col min="5957" max="5957" width="4" style="42" customWidth="1"/>
    <col min="5958" max="6148" width="9.6640625" style="42"/>
    <col min="6149" max="6149" width="6.44140625" style="42" customWidth="1"/>
    <col min="6150" max="6150" width="13.88671875" style="42" customWidth="1"/>
    <col min="6151" max="6151" width="14.33203125" style="42" customWidth="1"/>
    <col min="6152" max="6168" width="9.6640625" style="42"/>
    <col min="6169" max="6169" width="12" style="42" customWidth="1"/>
    <col min="6170" max="6170" width="12.77734375" style="42" customWidth="1"/>
    <col min="6171" max="6171" width="11.109375" style="42" customWidth="1"/>
    <col min="6172" max="6172" width="12" style="42" customWidth="1"/>
    <col min="6173" max="6173" width="9.6640625" style="42"/>
    <col min="6174" max="6174" width="15.33203125" style="42" customWidth="1"/>
    <col min="6175" max="6175" width="15.21875" style="42" customWidth="1"/>
    <col min="6176" max="6176" width="21.44140625" style="42" customWidth="1"/>
    <col min="6177" max="6192" width="9.6640625" style="42"/>
    <col min="6193" max="6194" width="13.44140625" style="42" customWidth="1"/>
    <col min="6195" max="6195" width="9.6640625" style="42"/>
    <col min="6196" max="6196" width="13.88671875" style="42" customWidth="1"/>
    <col min="6197" max="6197" width="10.6640625" style="42" customWidth="1"/>
    <col min="6198" max="6198" width="17.33203125" style="42" customWidth="1"/>
    <col min="6199" max="6200" width="12.6640625" style="42" customWidth="1"/>
    <col min="6201" max="6201" width="11.21875" style="42" customWidth="1"/>
    <col min="6202" max="6202" width="18.33203125" style="42" customWidth="1"/>
    <col min="6203" max="6203" width="12.88671875" style="42" customWidth="1"/>
    <col min="6204" max="6205" width="13.21875" style="42" customWidth="1"/>
    <col min="6206" max="6206" width="10.88671875" style="42" customWidth="1"/>
    <col min="6207" max="6207" width="11.109375" style="42" customWidth="1"/>
    <col min="6208" max="6208" width="15.21875" style="42" customWidth="1"/>
    <col min="6209" max="6209" width="9.6640625" style="42"/>
    <col min="6210" max="6210" width="11" style="42" customWidth="1"/>
    <col min="6211" max="6211" width="10.77734375" style="42" customWidth="1"/>
    <col min="6212" max="6212" width="11.44140625" style="42" customWidth="1"/>
    <col min="6213" max="6213" width="4" style="42" customWidth="1"/>
    <col min="6214" max="6404" width="9.6640625" style="42"/>
    <col min="6405" max="6405" width="6.44140625" style="42" customWidth="1"/>
    <col min="6406" max="6406" width="13.88671875" style="42" customWidth="1"/>
    <col min="6407" max="6407" width="14.33203125" style="42" customWidth="1"/>
    <col min="6408" max="6424" width="9.6640625" style="42"/>
    <col min="6425" max="6425" width="12" style="42" customWidth="1"/>
    <col min="6426" max="6426" width="12.77734375" style="42" customWidth="1"/>
    <col min="6427" max="6427" width="11.109375" style="42" customWidth="1"/>
    <col min="6428" max="6428" width="12" style="42" customWidth="1"/>
    <col min="6429" max="6429" width="9.6640625" style="42"/>
    <col min="6430" max="6430" width="15.33203125" style="42" customWidth="1"/>
    <col min="6431" max="6431" width="15.21875" style="42" customWidth="1"/>
    <col min="6432" max="6432" width="21.44140625" style="42" customWidth="1"/>
    <col min="6433" max="6448" width="9.6640625" style="42"/>
    <col min="6449" max="6450" width="13.44140625" style="42" customWidth="1"/>
    <col min="6451" max="6451" width="9.6640625" style="42"/>
    <col min="6452" max="6452" width="13.88671875" style="42" customWidth="1"/>
    <col min="6453" max="6453" width="10.6640625" style="42" customWidth="1"/>
    <col min="6454" max="6454" width="17.33203125" style="42" customWidth="1"/>
    <col min="6455" max="6456" width="12.6640625" style="42" customWidth="1"/>
    <col min="6457" max="6457" width="11.21875" style="42" customWidth="1"/>
    <col min="6458" max="6458" width="18.33203125" style="42" customWidth="1"/>
    <col min="6459" max="6459" width="12.88671875" style="42" customWidth="1"/>
    <col min="6460" max="6461" width="13.21875" style="42" customWidth="1"/>
    <col min="6462" max="6462" width="10.88671875" style="42" customWidth="1"/>
    <col min="6463" max="6463" width="11.109375" style="42" customWidth="1"/>
    <col min="6464" max="6464" width="15.21875" style="42" customWidth="1"/>
    <col min="6465" max="6465" width="9.6640625" style="42"/>
    <col min="6466" max="6466" width="11" style="42" customWidth="1"/>
    <col min="6467" max="6467" width="10.77734375" style="42" customWidth="1"/>
    <col min="6468" max="6468" width="11.44140625" style="42" customWidth="1"/>
    <col min="6469" max="6469" width="4" style="42" customWidth="1"/>
    <col min="6470" max="6660" width="9.6640625" style="42"/>
    <col min="6661" max="6661" width="6.44140625" style="42" customWidth="1"/>
    <col min="6662" max="6662" width="13.88671875" style="42" customWidth="1"/>
    <col min="6663" max="6663" width="14.33203125" style="42" customWidth="1"/>
    <col min="6664" max="6680" width="9.6640625" style="42"/>
    <col min="6681" max="6681" width="12" style="42" customWidth="1"/>
    <col min="6682" max="6682" width="12.77734375" style="42" customWidth="1"/>
    <col min="6683" max="6683" width="11.109375" style="42" customWidth="1"/>
    <col min="6684" max="6684" width="12" style="42" customWidth="1"/>
    <col min="6685" max="6685" width="9.6640625" style="42"/>
    <col min="6686" max="6686" width="15.33203125" style="42" customWidth="1"/>
    <col min="6687" max="6687" width="15.21875" style="42" customWidth="1"/>
    <col min="6688" max="6688" width="21.44140625" style="42" customWidth="1"/>
    <col min="6689" max="6704" width="9.6640625" style="42"/>
    <col min="6705" max="6706" width="13.44140625" style="42" customWidth="1"/>
    <col min="6707" max="6707" width="9.6640625" style="42"/>
    <col min="6708" max="6708" width="13.88671875" style="42" customWidth="1"/>
    <col min="6709" max="6709" width="10.6640625" style="42" customWidth="1"/>
    <col min="6710" max="6710" width="17.33203125" style="42" customWidth="1"/>
    <col min="6711" max="6712" width="12.6640625" style="42" customWidth="1"/>
    <col min="6713" max="6713" width="11.21875" style="42" customWidth="1"/>
    <col min="6714" max="6714" width="18.33203125" style="42" customWidth="1"/>
    <col min="6715" max="6715" width="12.88671875" style="42" customWidth="1"/>
    <col min="6716" max="6717" width="13.21875" style="42" customWidth="1"/>
    <col min="6718" max="6718" width="10.88671875" style="42" customWidth="1"/>
    <col min="6719" max="6719" width="11.109375" style="42" customWidth="1"/>
    <col min="6720" max="6720" width="15.21875" style="42" customWidth="1"/>
    <col min="6721" max="6721" width="9.6640625" style="42"/>
    <col min="6722" max="6722" width="11" style="42" customWidth="1"/>
    <col min="6723" max="6723" width="10.77734375" style="42" customWidth="1"/>
    <col min="6724" max="6724" width="11.44140625" style="42" customWidth="1"/>
    <col min="6725" max="6725" width="4" style="42" customWidth="1"/>
    <col min="6726" max="6916" width="9.6640625" style="42"/>
    <col min="6917" max="6917" width="6.44140625" style="42" customWidth="1"/>
    <col min="6918" max="6918" width="13.88671875" style="42" customWidth="1"/>
    <col min="6919" max="6919" width="14.33203125" style="42" customWidth="1"/>
    <col min="6920" max="6936" width="9.6640625" style="42"/>
    <col min="6937" max="6937" width="12" style="42" customWidth="1"/>
    <col min="6938" max="6938" width="12.77734375" style="42" customWidth="1"/>
    <col min="6939" max="6939" width="11.109375" style="42" customWidth="1"/>
    <col min="6940" max="6940" width="12" style="42" customWidth="1"/>
    <col min="6941" max="6941" width="9.6640625" style="42"/>
    <col min="6942" max="6942" width="15.33203125" style="42" customWidth="1"/>
    <col min="6943" max="6943" width="15.21875" style="42" customWidth="1"/>
    <col min="6944" max="6944" width="21.44140625" style="42" customWidth="1"/>
    <col min="6945" max="6960" width="9.6640625" style="42"/>
    <col min="6961" max="6962" width="13.44140625" style="42" customWidth="1"/>
    <col min="6963" max="6963" width="9.6640625" style="42"/>
    <col min="6964" max="6964" width="13.88671875" style="42" customWidth="1"/>
    <col min="6965" max="6965" width="10.6640625" style="42" customWidth="1"/>
    <col min="6966" max="6966" width="17.33203125" style="42" customWidth="1"/>
    <col min="6967" max="6968" width="12.6640625" style="42" customWidth="1"/>
    <col min="6969" max="6969" width="11.21875" style="42" customWidth="1"/>
    <col min="6970" max="6970" width="18.33203125" style="42" customWidth="1"/>
    <col min="6971" max="6971" width="12.88671875" style="42" customWidth="1"/>
    <col min="6972" max="6973" width="13.21875" style="42" customWidth="1"/>
    <col min="6974" max="6974" width="10.88671875" style="42" customWidth="1"/>
    <col min="6975" max="6975" width="11.109375" style="42" customWidth="1"/>
    <col min="6976" max="6976" width="15.21875" style="42" customWidth="1"/>
    <col min="6977" max="6977" width="9.6640625" style="42"/>
    <col min="6978" max="6978" width="11" style="42" customWidth="1"/>
    <col min="6979" max="6979" width="10.77734375" style="42" customWidth="1"/>
    <col min="6980" max="6980" width="11.44140625" style="42" customWidth="1"/>
    <col min="6981" max="6981" width="4" style="42" customWidth="1"/>
    <col min="6982" max="7172" width="9.6640625" style="42"/>
    <col min="7173" max="7173" width="6.44140625" style="42" customWidth="1"/>
    <col min="7174" max="7174" width="13.88671875" style="42" customWidth="1"/>
    <col min="7175" max="7175" width="14.33203125" style="42" customWidth="1"/>
    <col min="7176" max="7192" width="9.6640625" style="42"/>
    <col min="7193" max="7193" width="12" style="42" customWidth="1"/>
    <col min="7194" max="7194" width="12.77734375" style="42" customWidth="1"/>
    <col min="7195" max="7195" width="11.109375" style="42" customWidth="1"/>
    <col min="7196" max="7196" width="12" style="42" customWidth="1"/>
    <col min="7197" max="7197" width="9.6640625" style="42"/>
    <col min="7198" max="7198" width="15.33203125" style="42" customWidth="1"/>
    <col min="7199" max="7199" width="15.21875" style="42" customWidth="1"/>
    <col min="7200" max="7200" width="21.44140625" style="42" customWidth="1"/>
    <col min="7201" max="7216" width="9.6640625" style="42"/>
    <col min="7217" max="7218" width="13.44140625" style="42" customWidth="1"/>
    <col min="7219" max="7219" width="9.6640625" style="42"/>
    <col min="7220" max="7220" width="13.88671875" style="42" customWidth="1"/>
    <col min="7221" max="7221" width="10.6640625" style="42" customWidth="1"/>
    <col min="7222" max="7222" width="17.33203125" style="42" customWidth="1"/>
    <col min="7223" max="7224" width="12.6640625" style="42" customWidth="1"/>
    <col min="7225" max="7225" width="11.21875" style="42" customWidth="1"/>
    <col min="7226" max="7226" width="18.33203125" style="42" customWidth="1"/>
    <col min="7227" max="7227" width="12.88671875" style="42" customWidth="1"/>
    <col min="7228" max="7229" width="13.21875" style="42" customWidth="1"/>
    <col min="7230" max="7230" width="10.88671875" style="42" customWidth="1"/>
    <col min="7231" max="7231" width="11.109375" style="42" customWidth="1"/>
    <col min="7232" max="7232" width="15.21875" style="42" customWidth="1"/>
    <col min="7233" max="7233" width="9.6640625" style="42"/>
    <col min="7234" max="7234" width="11" style="42" customWidth="1"/>
    <col min="7235" max="7235" width="10.77734375" style="42" customWidth="1"/>
    <col min="7236" max="7236" width="11.44140625" style="42" customWidth="1"/>
    <col min="7237" max="7237" width="4" style="42" customWidth="1"/>
    <col min="7238" max="7428" width="9.6640625" style="42"/>
    <col min="7429" max="7429" width="6.44140625" style="42" customWidth="1"/>
    <col min="7430" max="7430" width="13.88671875" style="42" customWidth="1"/>
    <col min="7431" max="7431" width="14.33203125" style="42" customWidth="1"/>
    <col min="7432" max="7448" width="9.6640625" style="42"/>
    <col min="7449" max="7449" width="12" style="42" customWidth="1"/>
    <col min="7450" max="7450" width="12.77734375" style="42" customWidth="1"/>
    <col min="7451" max="7451" width="11.109375" style="42" customWidth="1"/>
    <col min="7452" max="7452" width="12" style="42" customWidth="1"/>
    <col min="7453" max="7453" width="9.6640625" style="42"/>
    <col min="7454" max="7454" width="15.33203125" style="42" customWidth="1"/>
    <col min="7455" max="7455" width="15.21875" style="42" customWidth="1"/>
    <col min="7456" max="7456" width="21.44140625" style="42" customWidth="1"/>
    <col min="7457" max="7472" width="9.6640625" style="42"/>
    <col min="7473" max="7474" width="13.44140625" style="42" customWidth="1"/>
    <col min="7475" max="7475" width="9.6640625" style="42"/>
    <col min="7476" max="7476" width="13.88671875" style="42" customWidth="1"/>
    <col min="7477" max="7477" width="10.6640625" style="42" customWidth="1"/>
    <col min="7478" max="7478" width="17.33203125" style="42" customWidth="1"/>
    <col min="7479" max="7480" width="12.6640625" style="42" customWidth="1"/>
    <col min="7481" max="7481" width="11.21875" style="42" customWidth="1"/>
    <col min="7482" max="7482" width="18.33203125" style="42" customWidth="1"/>
    <col min="7483" max="7483" width="12.88671875" style="42" customWidth="1"/>
    <col min="7484" max="7485" width="13.21875" style="42" customWidth="1"/>
    <col min="7486" max="7486" width="10.88671875" style="42" customWidth="1"/>
    <col min="7487" max="7487" width="11.109375" style="42" customWidth="1"/>
    <col min="7488" max="7488" width="15.21875" style="42" customWidth="1"/>
    <col min="7489" max="7489" width="9.6640625" style="42"/>
    <col min="7490" max="7490" width="11" style="42" customWidth="1"/>
    <col min="7491" max="7491" width="10.77734375" style="42" customWidth="1"/>
    <col min="7492" max="7492" width="11.44140625" style="42" customWidth="1"/>
    <col min="7493" max="7493" width="4" style="42" customWidth="1"/>
    <col min="7494" max="7684" width="9.6640625" style="42"/>
    <col min="7685" max="7685" width="6.44140625" style="42" customWidth="1"/>
    <col min="7686" max="7686" width="13.88671875" style="42" customWidth="1"/>
    <col min="7687" max="7687" width="14.33203125" style="42" customWidth="1"/>
    <col min="7688" max="7704" width="9.6640625" style="42"/>
    <col min="7705" max="7705" width="12" style="42" customWidth="1"/>
    <col min="7706" max="7706" width="12.77734375" style="42" customWidth="1"/>
    <col min="7707" max="7707" width="11.109375" style="42" customWidth="1"/>
    <col min="7708" max="7708" width="12" style="42" customWidth="1"/>
    <col min="7709" max="7709" width="9.6640625" style="42"/>
    <col min="7710" max="7710" width="15.33203125" style="42" customWidth="1"/>
    <col min="7711" max="7711" width="15.21875" style="42" customWidth="1"/>
    <col min="7712" max="7712" width="21.44140625" style="42" customWidth="1"/>
    <col min="7713" max="7728" width="9.6640625" style="42"/>
    <col min="7729" max="7730" width="13.44140625" style="42" customWidth="1"/>
    <col min="7731" max="7731" width="9.6640625" style="42"/>
    <col min="7732" max="7732" width="13.88671875" style="42" customWidth="1"/>
    <col min="7733" max="7733" width="10.6640625" style="42" customWidth="1"/>
    <col min="7734" max="7734" width="17.33203125" style="42" customWidth="1"/>
    <col min="7735" max="7736" width="12.6640625" style="42" customWidth="1"/>
    <col min="7737" max="7737" width="11.21875" style="42" customWidth="1"/>
    <col min="7738" max="7738" width="18.33203125" style="42" customWidth="1"/>
    <col min="7739" max="7739" width="12.88671875" style="42" customWidth="1"/>
    <col min="7740" max="7741" width="13.21875" style="42" customWidth="1"/>
    <col min="7742" max="7742" width="10.88671875" style="42" customWidth="1"/>
    <col min="7743" max="7743" width="11.109375" style="42" customWidth="1"/>
    <col min="7744" max="7744" width="15.21875" style="42" customWidth="1"/>
    <col min="7745" max="7745" width="9.6640625" style="42"/>
    <col min="7746" max="7746" width="11" style="42" customWidth="1"/>
    <col min="7747" max="7747" width="10.77734375" style="42" customWidth="1"/>
    <col min="7748" max="7748" width="11.44140625" style="42" customWidth="1"/>
    <col min="7749" max="7749" width="4" style="42" customWidth="1"/>
    <col min="7750" max="7940" width="9.6640625" style="42"/>
    <col min="7941" max="7941" width="6.44140625" style="42" customWidth="1"/>
    <col min="7942" max="7942" width="13.88671875" style="42" customWidth="1"/>
    <col min="7943" max="7943" width="14.33203125" style="42" customWidth="1"/>
    <col min="7944" max="7960" width="9.6640625" style="42"/>
    <col min="7961" max="7961" width="12" style="42" customWidth="1"/>
    <col min="7962" max="7962" width="12.77734375" style="42" customWidth="1"/>
    <col min="7963" max="7963" width="11.109375" style="42" customWidth="1"/>
    <col min="7964" max="7964" width="12" style="42" customWidth="1"/>
    <col min="7965" max="7965" width="9.6640625" style="42"/>
    <col min="7966" max="7966" width="15.33203125" style="42" customWidth="1"/>
    <col min="7967" max="7967" width="15.21875" style="42" customWidth="1"/>
    <col min="7968" max="7968" width="21.44140625" style="42" customWidth="1"/>
    <col min="7969" max="7984" width="9.6640625" style="42"/>
    <col min="7985" max="7986" width="13.44140625" style="42" customWidth="1"/>
    <col min="7987" max="7987" width="9.6640625" style="42"/>
    <col min="7988" max="7988" width="13.88671875" style="42" customWidth="1"/>
    <col min="7989" max="7989" width="10.6640625" style="42" customWidth="1"/>
    <col min="7990" max="7990" width="17.33203125" style="42" customWidth="1"/>
    <col min="7991" max="7992" width="12.6640625" style="42" customWidth="1"/>
    <col min="7993" max="7993" width="11.21875" style="42" customWidth="1"/>
    <col min="7994" max="7994" width="18.33203125" style="42" customWidth="1"/>
    <col min="7995" max="7995" width="12.88671875" style="42" customWidth="1"/>
    <col min="7996" max="7997" width="13.21875" style="42" customWidth="1"/>
    <col min="7998" max="7998" width="10.88671875" style="42" customWidth="1"/>
    <col min="7999" max="7999" width="11.109375" style="42" customWidth="1"/>
    <col min="8000" max="8000" width="15.21875" style="42" customWidth="1"/>
    <col min="8001" max="8001" width="9.6640625" style="42"/>
    <col min="8002" max="8002" width="11" style="42" customWidth="1"/>
    <col min="8003" max="8003" width="10.77734375" style="42" customWidth="1"/>
    <col min="8004" max="8004" width="11.44140625" style="42" customWidth="1"/>
    <col min="8005" max="8005" width="4" style="42" customWidth="1"/>
    <col min="8006" max="8196" width="9.6640625" style="42"/>
    <col min="8197" max="8197" width="6.44140625" style="42" customWidth="1"/>
    <col min="8198" max="8198" width="13.88671875" style="42" customWidth="1"/>
    <col min="8199" max="8199" width="14.33203125" style="42" customWidth="1"/>
    <col min="8200" max="8216" width="9.6640625" style="42"/>
    <col min="8217" max="8217" width="12" style="42" customWidth="1"/>
    <col min="8218" max="8218" width="12.77734375" style="42" customWidth="1"/>
    <col min="8219" max="8219" width="11.109375" style="42" customWidth="1"/>
    <col min="8220" max="8220" width="12" style="42" customWidth="1"/>
    <col min="8221" max="8221" width="9.6640625" style="42"/>
    <col min="8222" max="8222" width="15.33203125" style="42" customWidth="1"/>
    <col min="8223" max="8223" width="15.21875" style="42" customWidth="1"/>
    <col min="8224" max="8224" width="21.44140625" style="42" customWidth="1"/>
    <col min="8225" max="8240" width="9.6640625" style="42"/>
    <col min="8241" max="8242" width="13.44140625" style="42" customWidth="1"/>
    <col min="8243" max="8243" width="9.6640625" style="42"/>
    <col min="8244" max="8244" width="13.88671875" style="42" customWidth="1"/>
    <col min="8245" max="8245" width="10.6640625" style="42" customWidth="1"/>
    <col min="8246" max="8246" width="17.33203125" style="42" customWidth="1"/>
    <col min="8247" max="8248" width="12.6640625" style="42" customWidth="1"/>
    <col min="8249" max="8249" width="11.21875" style="42" customWidth="1"/>
    <col min="8250" max="8250" width="18.33203125" style="42" customWidth="1"/>
    <col min="8251" max="8251" width="12.88671875" style="42" customWidth="1"/>
    <col min="8252" max="8253" width="13.21875" style="42" customWidth="1"/>
    <col min="8254" max="8254" width="10.88671875" style="42" customWidth="1"/>
    <col min="8255" max="8255" width="11.109375" style="42" customWidth="1"/>
    <col min="8256" max="8256" width="15.21875" style="42" customWidth="1"/>
    <col min="8257" max="8257" width="9.6640625" style="42"/>
    <col min="8258" max="8258" width="11" style="42" customWidth="1"/>
    <col min="8259" max="8259" width="10.77734375" style="42" customWidth="1"/>
    <col min="8260" max="8260" width="11.44140625" style="42" customWidth="1"/>
    <col min="8261" max="8261" width="4" style="42" customWidth="1"/>
    <col min="8262" max="8452" width="9.6640625" style="42"/>
    <col min="8453" max="8453" width="6.44140625" style="42" customWidth="1"/>
    <col min="8454" max="8454" width="13.88671875" style="42" customWidth="1"/>
    <col min="8455" max="8455" width="14.33203125" style="42" customWidth="1"/>
    <col min="8456" max="8472" width="9.6640625" style="42"/>
    <col min="8473" max="8473" width="12" style="42" customWidth="1"/>
    <col min="8474" max="8474" width="12.77734375" style="42" customWidth="1"/>
    <col min="8475" max="8475" width="11.109375" style="42" customWidth="1"/>
    <col min="8476" max="8476" width="12" style="42" customWidth="1"/>
    <col min="8477" max="8477" width="9.6640625" style="42"/>
    <col min="8478" max="8478" width="15.33203125" style="42" customWidth="1"/>
    <col min="8479" max="8479" width="15.21875" style="42" customWidth="1"/>
    <col min="8480" max="8480" width="21.44140625" style="42" customWidth="1"/>
    <col min="8481" max="8496" width="9.6640625" style="42"/>
    <col min="8497" max="8498" width="13.44140625" style="42" customWidth="1"/>
    <col min="8499" max="8499" width="9.6640625" style="42"/>
    <col min="8500" max="8500" width="13.88671875" style="42" customWidth="1"/>
    <col min="8501" max="8501" width="10.6640625" style="42" customWidth="1"/>
    <col min="8502" max="8502" width="17.33203125" style="42" customWidth="1"/>
    <col min="8503" max="8504" width="12.6640625" style="42" customWidth="1"/>
    <col min="8505" max="8505" width="11.21875" style="42" customWidth="1"/>
    <col min="8506" max="8506" width="18.33203125" style="42" customWidth="1"/>
    <col min="8507" max="8507" width="12.88671875" style="42" customWidth="1"/>
    <col min="8508" max="8509" width="13.21875" style="42" customWidth="1"/>
    <col min="8510" max="8510" width="10.88671875" style="42" customWidth="1"/>
    <col min="8511" max="8511" width="11.109375" style="42" customWidth="1"/>
    <col min="8512" max="8512" width="15.21875" style="42" customWidth="1"/>
    <col min="8513" max="8513" width="9.6640625" style="42"/>
    <col min="8514" max="8514" width="11" style="42" customWidth="1"/>
    <col min="8515" max="8515" width="10.77734375" style="42" customWidth="1"/>
    <col min="8516" max="8516" width="11.44140625" style="42" customWidth="1"/>
    <col min="8517" max="8517" width="4" style="42" customWidth="1"/>
    <col min="8518" max="8708" width="9.6640625" style="42"/>
    <col min="8709" max="8709" width="6.44140625" style="42" customWidth="1"/>
    <col min="8710" max="8710" width="13.88671875" style="42" customWidth="1"/>
    <col min="8711" max="8711" width="14.33203125" style="42" customWidth="1"/>
    <col min="8712" max="8728" width="9.6640625" style="42"/>
    <col min="8729" max="8729" width="12" style="42" customWidth="1"/>
    <col min="8730" max="8730" width="12.77734375" style="42" customWidth="1"/>
    <col min="8731" max="8731" width="11.109375" style="42" customWidth="1"/>
    <col min="8732" max="8732" width="12" style="42" customWidth="1"/>
    <col min="8733" max="8733" width="9.6640625" style="42"/>
    <col min="8734" max="8734" width="15.33203125" style="42" customWidth="1"/>
    <col min="8735" max="8735" width="15.21875" style="42" customWidth="1"/>
    <col min="8736" max="8736" width="21.44140625" style="42" customWidth="1"/>
    <col min="8737" max="8752" width="9.6640625" style="42"/>
    <col min="8753" max="8754" width="13.44140625" style="42" customWidth="1"/>
    <col min="8755" max="8755" width="9.6640625" style="42"/>
    <col min="8756" max="8756" width="13.88671875" style="42" customWidth="1"/>
    <col min="8757" max="8757" width="10.6640625" style="42" customWidth="1"/>
    <col min="8758" max="8758" width="17.33203125" style="42" customWidth="1"/>
    <col min="8759" max="8760" width="12.6640625" style="42" customWidth="1"/>
    <col min="8761" max="8761" width="11.21875" style="42" customWidth="1"/>
    <col min="8762" max="8762" width="18.33203125" style="42" customWidth="1"/>
    <col min="8763" max="8763" width="12.88671875" style="42" customWidth="1"/>
    <col min="8764" max="8765" width="13.21875" style="42" customWidth="1"/>
    <col min="8766" max="8766" width="10.88671875" style="42" customWidth="1"/>
    <col min="8767" max="8767" width="11.109375" style="42" customWidth="1"/>
    <col min="8768" max="8768" width="15.21875" style="42" customWidth="1"/>
    <col min="8769" max="8769" width="9.6640625" style="42"/>
    <col min="8770" max="8770" width="11" style="42" customWidth="1"/>
    <col min="8771" max="8771" width="10.77734375" style="42" customWidth="1"/>
    <col min="8772" max="8772" width="11.44140625" style="42" customWidth="1"/>
    <col min="8773" max="8773" width="4" style="42" customWidth="1"/>
    <col min="8774" max="8964" width="9.6640625" style="42"/>
    <col min="8965" max="8965" width="6.44140625" style="42" customWidth="1"/>
    <col min="8966" max="8966" width="13.88671875" style="42" customWidth="1"/>
    <col min="8967" max="8967" width="14.33203125" style="42" customWidth="1"/>
    <col min="8968" max="8984" width="9.6640625" style="42"/>
    <col min="8985" max="8985" width="12" style="42" customWidth="1"/>
    <col min="8986" max="8986" width="12.77734375" style="42" customWidth="1"/>
    <col min="8987" max="8987" width="11.109375" style="42" customWidth="1"/>
    <col min="8988" max="8988" width="12" style="42" customWidth="1"/>
    <col min="8989" max="8989" width="9.6640625" style="42"/>
    <col min="8990" max="8990" width="15.33203125" style="42" customWidth="1"/>
    <col min="8991" max="8991" width="15.21875" style="42" customWidth="1"/>
    <col min="8992" max="8992" width="21.44140625" style="42" customWidth="1"/>
    <col min="8993" max="9008" width="9.6640625" style="42"/>
    <col min="9009" max="9010" width="13.44140625" style="42" customWidth="1"/>
    <col min="9011" max="9011" width="9.6640625" style="42"/>
    <col min="9012" max="9012" width="13.88671875" style="42" customWidth="1"/>
    <col min="9013" max="9013" width="10.6640625" style="42" customWidth="1"/>
    <col min="9014" max="9014" width="17.33203125" style="42" customWidth="1"/>
    <col min="9015" max="9016" width="12.6640625" style="42" customWidth="1"/>
    <col min="9017" max="9017" width="11.21875" style="42" customWidth="1"/>
    <col min="9018" max="9018" width="18.33203125" style="42" customWidth="1"/>
    <col min="9019" max="9019" width="12.88671875" style="42" customWidth="1"/>
    <col min="9020" max="9021" width="13.21875" style="42" customWidth="1"/>
    <col min="9022" max="9022" width="10.88671875" style="42" customWidth="1"/>
    <col min="9023" max="9023" width="11.109375" style="42" customWidth="1"/>
    <col min="9024" max="9024" width="15.21875" style="42" customWidth="1"/>
    <col min="9025" max="9025" width="9.6640625" style="42"/>
    <col min="9026" max="9026" width="11" style="42" customWidth="1"/>
    <col min="9027" max="9027" width="10.77734375" style="42" customWidth="1"/>
    <col min="9028" max="9028" width="11.44140625" style="42" customWidth="1"/>
    <col min="9029" max="9029" width="4" style="42" customWidth="1"/>
    <col min="9030" max="9220" width="9.6640625" style="42"/>
    <col min="9221" max="9221" width="6.44140625" style="42" customWidth="1"/>
    <col min="9222" max="9222" width="13.88671875" style="42" customWidth="1"/>
    <col min="9223" max="9223" width="14.33203125" style="42" customWidth="1"/>
    <col min="9224" max="9240" width="9.6640625" style="42"/>
    <col min="9241" max="9241" width="12" style="42" customWidth="1"/>
    <col min="9242" max="9242" width="12.77734375" style="42" customWidth="1"/>
    <col min="9243" max="9243" width="11.109375" style="42" customWidth="1"/>
    <col min="9244" max="9244" width="12" style="42" customWidth="1"/>
    <col min="9245" max="9245" width="9.6640625" style="42"/>
    <col min="9246" max="9246" width="15.33203125" style="42" customWidth="1"/>
    <col min="9247" max="9247" width="15.21875" style="42" customWidth="1"/>
    <col min="9248" max="9248" width="21.44140625" style="42" customWidth="1"/>
    <col min="9249" max="9264" width="9.6640625" style="42"/>
    <col min="9265" max="9266" width="13.44140625" style="42" customWidth="1"/>
    <col min="9267" max="9267" width="9.6640625" style="42"/>
    <col min="9268" max="9268" width="13.88671875" style="42" customWidth="1"/>
    <col min="9269" max="9269" width="10.6640625" style="42" customWidth="1"/>
    <col min="9270" max="9270" width="17.33203125" style="42" customWidth="1"/>
    <col min="9271" max="9272" width="12.6640625" style="42" customWidth="1"/>
    <col min="9273" max="9273" width="11.21875" style="42" customWidth="1"/>
    <col min="9274" max="9274" width="18.33203125" style="42" customWidth="1"/>
    <col min="9275" max="9275" width="12.88671875" style="42" customWidth="1"/>
    <col min="9276" max="9277" width="13.21875" style="42" customWidth="1"/>
    <col min="9278" max="9278" width="10.88671875" style="42" customWidth="1"/>
    <col min="9279" max="9279" width="11.109375" style="42" customWidth="1"/>
    <col min="9280" max="9280" width="15.21875" style="42" customWidth="1"/>
    <col min="9281" max="9281" width="9.6640625" style="42"/>
    <col min="9282" max="9282" width="11" style="42" customWidth="1"/>
    <col min="9283" max="9283" width="10.77734375" style="42" customWidth="1"/>
    <col min="9284" max="9284" width="11.44140625" style="42" customWidth="1"/>
    <col min="9285" max="9285" width="4" style="42" customWidth="1"/>
    <col min="9286" max="9476" width="9.6640625" style="42"/>
    <col min="9477" max="9477" width="6.44140625" style="42" customWidth="1"/>
    <col min="9478" max="9478" width="13.88671875" style="42" customWidth="1"/>
    <col min="9479" max="9479" width="14.33203125" style="42" customWidth="1"/>
    <col min="9480" max="9496" width="9.6640625" style="42"/>
    <col min="9497" max="9497" width="12" style="42" customWidth="1"/>
    <col min="9498" max="9498" width="12.77734375" style="42" customWidth="1"/>
    <col min="9499" max="9499" width="11.109375" style="42" customWidth="1"/>
    <col min="9500" max="9500" width="12" style="42" customWidth="1"/>
    <col min="9501" max="9501" width="9.6640625" style="42"/>
    <col min="9502" max="9502" width="15.33203125" style="42" customWidth="1"/>
    <col min="9503" max="9503" width="15.21875" style="42" customWidth="1"/>
    <col min="9504" max="9504" width="21.44140625" style="42" customWidth="1"/>
    <col min="9505" max="9520" width="9.6640625" style="42"/>
    <col min="9521" max="9522" width="13.44140625" style="42" customWidth="1"/>
    <col min="9523" max="9523" width="9.6640625" style="42"/>
    <col min="9524" max="9524" width="13.88671875" style="42" customWidth="1"/>
    <col min="9525" max="9525" width="10.6640625" style="42" customWidth="1"/>
    <col min="9526" max="9526" width="17.33203125" style="42" customWidth="1"/>
    <col min="9527" max="9528" width="12.6640625" style="42" customWidth="1"/>
    <col min="9529" max="9529" width="11.21875" style="42" customWidth="1"/>
    <col min="9530" max="9530" width="18.33203125" style="42" customWidth="1"/>
    <col min="9531" max="9531" width="12.88671875" style="42" customWidth="1"/>
    <col min="9532" max="9533" width="13.21875" style="42" customWidth="1"/>
    <col min="9534" max="9534" width="10.88671875" style="42" customWidth="1"/>
    <col min="9535" max="9535" width="11.109375" style="42" customWidth="1"/>
    <col min="9536" max="9536" width="15.21875" style="42" customWidth="1"/>
    <col min="9537" max="9537" width="9.6640625" style="42"/>
    <col min="9538" max="9538" width="11" style="42" customWidth="1"/>
    <col min="9539" max="9539" width="10.77734375" style="42" customWidth="1"/>
    <col min="9540" max="9540" width="11.44140625" style="42" customWidth="1"/>
    <col min="9541" max="9541" width="4" style="42" customWidth="1"/>
    <col min="9542" max="9732" width="9.6640625" style="42"/>
    <col min="9733" max="9733" width="6.44140625" style="42" customWidth="1"/>
    <col min="9734" max="9734" width="13.88671875" style="42" customWidth="1"/>
    <col min="9735" max="9735" width="14.33203125" style="42" customWidth="1"/>
    <col min="9736" max="9752" width="9.6640625" style="42"/>
    <col min="9753" max="9753" width="12" style="42" customWidth="1"/>
    <col min="9754" max="9754" width="12.77734375" style="42" customWidth="1"/>
    <col min="9755" max="9755" width="11.109375" style="42" customWidth="1"/>
    <col min="9756" max="9756" width="12" style="42" customWidth="1"/>
    <col min="9757" max="9757" width="9.6640625" style="42"/>
    <col min="9758" max="9758" width="15.33203125" style="42" customWidth="1"/>
    <col min="9759" max="9759" width="15.21875" style="42" customWidth="1"/>
    <col min="9760" max="9760" width="21.44140625" style="42" customWidth="1"/>
    <col min="9761" max="9776" width="9.6640625" style="42"/>
    <col min="9777" max="9778" width="13.44140625" style="42" customWidth="1"/>
    <col min="9779" max="9779" width="9.6640625" style="42"/>
    <col min="9780" max="9780" width="13.88671875" style="42" customWidth="1"/>
    <col min="9781" max="9781" width="10.6640625" style="42" customWidth="1"/>
    <col min="9782" max="9782" width="17.33203125" style="42" customWidth="1"/>
    <col min="9783" max="9784" width="12.6640625" style="42" customWidth="1"/>
    <col min="9785" max="9785" width="11.21875" style="42" customWidth="1"/>
    <col min="9786" max="9786" width="18.33203125" style="42" customWidth="1"/>
    <col min="9787" max="9787" width="12.88671875" style="42" customWidth="1"/>
    <col min="9788" max="9789" width="13.21875" style="42" customWidth="1"/>
    <col min="9790" max="9790" width="10.88671875" style="42" customWidth="1"/>
    <col min="9791" max="9791" width="11.109375" style="42" customWidth="1"/>
    <col min="9792" max="9792" width="15.21875" style="42" customWidth="1"/>
    <col min="9793" max="9793" width="9.6640625" style="42"/>
    <col min="9794" max="9794" width="11" style="42" customWidth="1"/>
    <col min="9795" max="9795" width="10.77734375" style="42" customWidth="1"/>
    <col min="9796" max="9796" width="11.44140625" style="42" customWidth="1"/>
    <col min="9797" max="9797" width="4" style="42" customWidth="1"/>
    <col min="9798" max="9988" width="9.6640625" style="42"/>
    <col min="9989" max="9989" width="6.44140625" style="42" customWidth="1"/>
    <col min="9990" max="9990" width="13.88671875" style="42" customWidth="1"/>
    <col min="9991" max="9991" width="14.33203125" style="42" customWidth="1"/>
    <col min="9992" max="10008" width="9.6640625" style="42"/>
    <col min="10009" max="10009" width="12" style="42" customWidth="1"/>
    <col min="10010" max="10010" width="12.77734375" style="42" customWidth="1"/>
    <col min="10011" max="10011" width="11.109375" style="42" customWidth="1"/>
    <col min="10012" max="10012" width="12" style="42" customWidth="1"/>
    <col min="10013" max="10013" width="9.6640625" style="42"/>
    <col min="10014" max="10014" width="15.33203125" style="42" customWidth="1"/>
    <col min="10015" max="10015" width="15.21875" style="42" customWidth="1"/>
    <col min="10016" max="10016" width="21.44140625" style="42" customWidth="1"/>
    <col min="10017" max="10032" width="9.6640625" style="42"/>
    <col min="10033" max="10034" width="13.44140625" style="42" customWidth="1"/>
    <col min="10035" max="10035" width="9.6640625" style="42"/>
    <col min="10036" max="10036" width="13.88671875" style="42" customWidth="1"/>
    <col min="10037" max="10037" width="10.6640625" style="42" customWidth="1"/>
    <col min="10038" max="10038" width="17.33203125" style="42" customWidth="1"/>
    <col min="10039" max="10040" width="12.6640625" style="42" customWidth="1"/>
    <col min="10041" max="10041" width="11.21875" style="42" customWidth="1"/>
    <col min="10042" max="10042" width="18.33203125" style="42" customWidth="1"/>
    <col min="10043" max="10043" width="12.88671875" style="42" customWidth="1"/>
    <col min="10044" max="10045" width="13.21875" style="42" customWidth="1"/>
    <col min="10046" max="10046" width="10.88671875" style="42" customWidth="1"/>
    <col min="10047" max="10047" width="11.109375" style="42" customWidth="1"/>
    <col min="10048" max="10048" width="15.21875" style="42" customWidth="1"/>
    <col min="10049" max="10049" width="9.6640625" style="42"/>
    <col min="10050" max="10050" width="11" style="42" customWidth="1"/>
    <col min="10051" max="10051" width="10.77734375" style="42" customWidth="1"/>
    <col min="10052" max="10052" width="11.44140625" style="42" customWidth="1"/>
    <col min="10053" max="10053" width="4" style="42" customWidth="1"/>
    <col min="10054" max="10244" width="9.6640625" style="42"/>
    <col min="10245" max="10245" width="6.44140625" style="42" customWidth="1"/>
    <col min="10246" max="10246" width="13.88671875" style="42" customWidth="1"/>
    <col min="10247" max="10247" width="14.33203125" style="42" customWidth="1"/>
    <col min="10248" max="10264" width="9.6640625" style="42"/>
    <col min="10265" max="10265" width="12" style="42" customWidth="1"/>
    <col min="10266" max="10266" width="12.77734375" style="42" customWidth="1"/>
    <col min="10267" max="10267" width="11.109375" style="42" customWidth="1"/>
    <col min="10268" max="10268" width="12" style="42" customWidth="1"/>
    <col min="10269" max="10269" width="9.6640625" style="42"/>
    <col min="10270" max="10270" width="15.33203125" style="42" customWidth="1"/>
    <col min="10271" max="10271" width="15.21875" style="42" customWidth="1"/>
    <col min="10272" max="10272" width="21.44140625" style="42" customWidth="1"/>
    <col min="10273" max="10288" width="9.6640625" style="42"/>
    <col min="10289" max="10290" width="13.44140625" style="42" customWidth="1"/>
    <col min="10291" max="10291" width="9.6640625" style="42"/>
    <col min="10292" max="10292" width="13.88671875" style="42" customWidth="1"/>
    <col min="10293" max="10293" width="10.6640625" style="42" customWidth="1"/>
    <col min="10294" max="10294" width="17.33203125" style="42" customWidth="1"/>
    <col min="10295" max="10296" width="12.6640625" style="42" customWidth="1"/>
    <col min="10297" max="10297" width="11.21875" style="42" customWidth="1"/>
    <col min="10298" max="10298" width="18.33203125" style="42" customWidth="1"/>
    <col min="10299" max="10299" width="12.88671875" style="42" customWidth="1"/>
    <col min="10300" max="10301" width="13.21875" style="42" customWidth="1"/>
    <col min="10302" max="10302" width="10.88671875" style="42" customWidth="1"/>
    <col min="10303" max="10303" width="11.109375" style="42" customWidth="1"/>
    <col min="10304" max="10304" width="15.21875" style="42" customWidth="1"/>
    <col min="10305" max="10305" width="9.6640625" style="42"/>
    <col min="10306" max="10306" width="11" style="42" customWidth="1"/>
    <col min="10307" max="10307" width="10.77734375" style="42" customWidth="1"/>
    <col min="10308" max="10308" width="11.44140625" style="42" customWidth="1"/>
    <col min="10309" max="10309" width="4" style="42" customWidth="1"/>
    <col min="10310" max="10500" width="9.6640625" style="42"/>
    <col min="10501" max="10501" width="6.44140625" style="42" customWidth="1"/>
    <col min="10502" max="10502" width="13.88671875" style="42" customWidth="1"/>
    <col min="10503" max="10503" width="14.33203125" style="42" customWidth="1"/>
    <col min="10504" max="10520" width="9.6640625" style="42"/>
    <col min="10521" max="10521" width="12" style="42" customWidth="1"/>
    <col min="10522" max="10522" width="12.77734375" style="42" customWidth="1"/>
    <col min="10523" max="10523" width="11.109375" style="42" customWidth="1"/>
    <col min="10524" max="10524" width="12" style="42" customWidth="1"/>
    <col min="10525" max="10525" width="9.6640625" style="42"/>
    <col min="10526" max="10526" width="15.33203125" style="42" customWidth="1"/>
    <col min="10527" max="10527" width="15.21875" style="42" customWidth="1"/>
    <col min="10528" max="10528" width="21.44140625" style="42" customWidth="1"/>
    <col min="10529" max="10544" width="9.6640625" style="42"/>
    <col min="10545" max="10546" width="13.44140625" style="42" customWidth="1"/>
    <col min="10547" max="10547" width="9.6640625" style="42"/>
    <col min="10548" max="10548" width="13.88671875" style="42" customWidth="1"/>
    <col min="10549" max="10549" width="10.6640625" style="42" customWidth="1"/>
    <col min="10550" max="10550" width="17.33203125" style="42" customWidth="1"/>
    <col min="10551" max="10552" width="12.6640625" style="42" customWidth="1"/>
    <col min="10553" max="10553" width="11.21875" style="42" customWidth="1"/>
    <col min="10554" max="10554" width="18.33203125" style="42" customWidth="1"/>
    <col min="10555" max="10555" width="12.88671875" style="42" customWidth="1"/>
    <col min="10556" max="10557" width="13.21875" style="42" customWidth="1"/>
    <col min="10558" max="10558" width="10.88671875" style="42" customWidth="1"/>
    <col min="10559" max="10559" width="11.109375" style="42" customWidth="1"/>
    <col min="10560" max="10560" width="15.21875" style="42" customWidth="1"/>
    <col min="10561" max="10561" width="9.6640625" style="42"/>
    <col min="10562" max="10562" width="11" style="42" customWidth="1"/>
    <col min="10563" max="10563" width="10.77734375" style="42" customWidth="1"/>
    <col min="10564" max="10564" width="11.44140625" style="42" customWidth="1"/>
    <col min="10565" max="10565" width="4" style="42" customWidth="1"/>
    <col min="10566" max="10756" width="9.6640625" style="42"/>
    <col min="10757" max="10757" width="6.44140625" style="42" customWidth="1"/>
    <col min="10758" max="10758" width="13.88671875" style="42" customWidth="1"/>
    <col min="10759" max="10759" width="14.33203125" style="42" customWidth="1"/>
    <col min="10760" max="10776" width="9.6640625" style="42"/>
    <col min="10777" max="10777" width="12" style="42" customWidth="1"/>
    <col min="10778" max="10778" width="12.77734375" style="42" customWidth="1"/>
    <col min="10779" max="10779" width="11.109375" style="42" customWidth="1"/>
    <col min="10780" max="10780" width="12" style="42" customWidth="1"/>
    <col min="10781" max="10781" width="9.6640625" style="42"/>
    <col min="10782" max="10782" width="15.33203125" style="42" customWidth="1"/>
    <col min="10783" max="10783" width="15.21875" style="42" customWidth="1"/>
    <col min="10784" max="10784" width="21.44140625" style="42" customWidth="1"/>
    <col min="10785" max="10800" width="9.6640625" style="42"/>
    <col min="10801" max="10802" width="13.44140625" style="42" customWidth="1"/>
    <col min="10803" max="10803" width="9.6640625" style="42"/>
    <col min="10804" max="10804" width="13.88671875" style="42" customWidth="1"/>
    <col min="10805" max="10805" width="10.6640625" style="42" customWidth="1"/>
    <col min="10806" max="10806" width="17.33203125" style="42" customWidth="1"/>
    <col min="10807" max="10808" width="12.6640625" style="42" customWidth="1"/>
    <col min="10809" max="10809" width="11.21875" style="42" customWidth="1"/>
    <col min="10810" max="10810" width="18.33203125" style="42" customWidth="1"/>
    <col min="10811" max="10811" width="12.88671875" style="42" customWidth="1"/>
    <col min="10812" max="10813" width="13.21875" style="42" customWidth="1"/>
    <col min="10814" max="10814" width="10.88671875" style="42" customWidth="1"/>
    <col min="10815" max="10815" width="11.109375" style="42" customWidth="1"/>
    <col min="10816" max="10816" width="15.21875" style="42" customWidth="1"/>
    <col min="10817" max="10817" width="9.6640625" style="42"/>
    <col min="10818" max="10818" width="11" style="42" customWidth="1"/>
    <col min="10819" max="10819" width="10.77734375" style="42" customWidth="1"/>
    <col min="10820" max="10820" width="11.44140625" style="42" customWidth="1"/>
    <col min="10821" max="10821" width="4" style="42" customWidth="1"/>
    <col min="10822" max="11012" width="9.6640625" style="42"/>
    <col min="11013" max="11013" width="6.44140625" style="42" customWidth="1"/>
    <col min="11014" max="11014" width="13.88671875" style="42" customWidth="1"/>
    <col min="11015" max="11015" width="14.33203125" style="42" customWidth="1"/>
    <col min="11016" max="11032" width="9.6640625" style="42"/>
    <col min="11033" max="11033" width="12" style="42" customWidth="1"/>
    <col min="11034" max="11034" width="12.77734375" style="42" customWidth="1"/>
    <col min="11035" max="11035" width="11.109375" style="42" customWidth="1"/>
    <col min="11036" max="11036" width="12" style="42" customWidth="1"/>
    <col min="11037" max="11037" width="9.6640625" style="42"/>
    <col min="11038" max="11038" width="15.33203125" style="42" customWidth="1"/>
    <col min="11039" max="11039" width="15.21875" style="42" customWidth="1"/>
    <col min="11040" max="11040" width="21.44140625" style="42" customWidth="1"/>
    <col min="11041" max="11056" width="9.6640625" style="42"/>
    <col min="11057" max="11058" width="13.44140625" style="42" customWidth="1"/>
    <col min="11059" max="11059" width="9.6640625" style="42"/>
    <col min="11060" max="11060" width="13.88671875" style="42" customWidth="1"/>
    <col min="11061" max="11061" width="10.6640625" style="42" customWidth="1"/>
    <col min="11062" max="11062" width="17.33203125" style="42" customWidth="1"/>
    <col min="11063" max="11064" width="12.6640625" style="42" customWidth="1"/>
    <col min="11065" max="11065" width="11.21875" style="42" customWidth="1"/>
    <col min="11066" max="11066" width="18.33203125" style="42" customWidth="1"/>
    <col min="11067" max="11067" width="12.88671875" style="42" customWidth="1"/>
    <col min="11068" max="11069" width="13.21875" style="42" customWidth="1"/>
    <col min="11070" max="11070" width="10.88671875" style="42" customWidth="1"/>
    <col min="11071" max="11071" width="11.109375" style="42" customWidth="1"/>
    <col min="11072" max="11072" width="15.21875" style="42" customWidth="1"/>
    <col min="11073" max="11073" width="9.6640625" style="42"/>
    <col min="11074" max="11074" width="11" style="42" customWidth="1"/>
    <col min="11075" max="11075" width="10.77734375" style="42" customWidth="1"/>
    <col min="11076" max="11076" width="11.44140625" style="42" customWidth="1"/>
    <col min="11077" max="11077" width="4" style="42" customWidth="1"/>
    <col min="11078" max="11268" width="9.6640625" style="42"/>
    <col min="11269" max="11269" width="6.44140625" style="42" customWidth="1"/>
    <col min="11270" max="11270" width="13.88671875" style="42" customWidth="1"/>
    <col min="11271" max="11271" width="14.33203125" style="42" customWidth="1"/>
    <col min="11272" max="11288" width="9.6640625" style="42"/>
    <col min="11289" max="11289" width="12" style="42" customWidth="1"/>
    <col min="11290" max="11290" width="12.77734375" style="42" customWidth="1"/>
    <col min="11291" max="11291" width="11.109375" style="42" customWidth="1"/>
    <col min="11292" max="11292" width="12" style="42" customWidth="1"/>
    <col min="11293" max="11293" width="9.6640625" style="42"/>
    <col min="11294" max="11294" width="15.33203125" style="42" customWidth="1"/>
    <col min="11295" max="11295" width="15.21875" style="42" customWidth="1"/>
    <col min="11296" max="11296" width="21.44140625" style="42" customWidth="1"/>
    <col min="11297" max="11312" width="9.6640625" style="42"/>
    <col min="11313" max="11314" width="13.44140625" style="42" customWidth="1"/>
    <col min="11315" max="11315" width="9.6640625" style="42"/>
    <col min="11316" max="11316" width="13.88671875" style="42" customWidth="1"/>
    <col min="11317" max="11317" width="10.6640625" style="42" customWidth="1"/>
    <col min="11318" max="11318" width="17.33203125" style="42" customWidth="1"/>
    <col min="11319" max="11320" width="12.6640625" style="42" customWidth="1"/>
    <col min="11321" max="11321" width="11.21875" style="42" customWidth="1"/>
    <col min="11322" max="11322" width="18.33203125" style="42" customWidth="1"/>
    <col min="11323" max="11323" width="12.88671875" style="42" customWidth="1"/>
    <col min="11324" max="11325" width="13.21875" style="42" customWidth="1"/>
    <col min="11326" max="11326" width="10.88671875" style="42" customWidth="1"/>
    <col min="11327" max="11327" width="11.109375" style="42" customWidth="1"/>
    <col min="11328" max="11328" width="15.21875" style="42" customWidth="1"/>
    <col min="11329" max="11329" width="9.6640625" style="42"/>
    <col min="11330" max="11330" width="11" style="42" customWidth="1"/>
    <col min="11331" max="11331" width="10.77734375" style="42" customWidth="1"/>
    <col min="11332" max="11332" width="11.44140625" style="42" customWidth="1"/>
    <col min="11333" max="11333" width="4" style="42" customWidth="1"/>
    <col min="11334" max="11524" width="9.6640625" style="42"/>
    <col min="11525" max="11525" width="6.44140625" style="42" customWidth="1"/>
    <col min="11526" max="11526" width="13.88671875" style="42" customWidth="1"/>
    <col min="11527" max="11527" width="14.33203125" style="42" customWidth="1"/>
    <col min="11528" max="11544" width="9.6640625" style="42"/>
    <col min="11545" max="11545" width="12" style="42" customWidth="1"/>
    <col min="11546" max="11546" width="12.77734375" style="42" customWidth="1"/>
    <col min="11547" max="11547" width="11.109375" style="42" customWidth="1"/>
    <col min="11548" max="11548" width="12" style="42" customWidth="1"/>
    <col min="11549" max="11549" width="9.6640625" style="42"/>
    <col min="11550" max="11550" width="15.33203125" style="42" customWidth="1"/>
    <col min="11551" max="11551" width="15.21875" style="42" customWidth="1"/>
    <col min="11552" max="11552" width="21.44140625" style="42" customWidth="1"/>
    <col min="11553" max="11568" width="9.6640625" style="42"/>
    <col min="11569" max="11570" width="13.44140625" style="42" customWidth="1"/>
    <col min="11571" max="11571" width="9.6640625" style="42"/>
    <col min="11572" max="11572" width="13.88671875" style="42" customWidth="1"/>
    <col min="11573" max="11573" width="10.6640625" style="42" customWidth="1"/>
    <col min="11574" max="11574" width="17.33203125" style="42" customWidth="1"/>
    <col min="11575" max="11576" width="12.6640625" style="42" customWidth="1"/>
    <col min="11577" max="11577" width="11.21875" style="42" customWidth="1"/>
    <col min="11578" max="11578" width="18.33203125" style="42" customWidth="1"/>
    <col min="11579" max="11579" width="12.88671875" style="42" customWidth="1"/>
    <col min="11580" max="11581" width="13.21875" style="42" customWidth="1"/>
    <col min="11582" max="11582" width="10.88671875" style="42" customWidth="1"/>
    <col min="11583" max="11583" width="11.109375" style="42" customWidth="1"/>
    <col min="11584" max="11584" width="15.21875" style="42" customWidth="1"/>
    <col min="11585" max="11585" width="9.6640625" style="42"/>
    <col min="11586" max="11586" width="11" style="42" customWidth="1"/>
    <col min="11587" max="11587" width="10.77734375" style="42" customWidth="1"/>
    <col min="11588" max="11588" width="11.44140625" style="42" customWidth="1"/>
    <col min="11589" max="11589" width="4" style="42" customWidth="1"/>
    <col min="11590" max="11780" width="9.6640625" style="42"/>
    <col min="11781" max="11781" width="6.44140625" style="42" customWidth="1"/>
    <col min="11782" max="11782" width="13.88671875" style="42" customWidth="1"/>
    <col min="11783" max="11783" width="14.33203125" style="42" customWidth="1"/>
    <col min="11784" max="11800" width="9.6640625" style="42"/>
    <col min="11801" max="11801" width="12" style="42" customWidth="1"/>
    <col min="11802" max="11802" width="12.77734375" style="42" customWidth="1"/>
    <col min="11803" max="11803" width="11.109375" style="42" customWidth="1"/>
    <col min="11804" max="11804" width="12" style="42" customWidth="1"/>
    <col min="11805" max="11805" width="9.6640625" style="42"/>
    <col min="11806" max="11806" width="15.33203125" style="42" customWidth="1"/>
    <col min="11807" max="11807" width="15.21875" style="42" customWidth="1"/>
    <col min="11808" max="11808" width="21.44140625" style="42" customWidth="1"/>
    <col min="11809" max="11824" width="9.6640625" style="42"/>
    <col min="11825" max="11826" width="13.44140625" style="42" customWidth="1"/>
    <col min="11827" max="11827" width="9.6640625" style="42"/>
    <col min="11828" max="11828" width="13.88671875" style="42" customWidth="1"/>
    <col min="11829" max="11829" width="10.6640625" style="42" customWidth="1"/>
    <col min="11830" max="11830" width="17.33203125" style="42" customWidth="1"/>
    <col min="11831" max="11832" width="12.6640625" style="42" customWidth="1"/>
    <col min="11833" max="11833" width="11.21875" style="42" customWidth="1"/>
    <col min="11834" max="11834" width="18.33203125" style="42" customWidth="1"/>
    <col min="11835" max="11835" width="12.88671875" style="42" customWidth="1"/>
    <col min="11836" max="11837" width="13.21875" style="42" customWidth="1"/>
    <col min="11838" max="11838" width="10.88671875" style="42" customWidth="1"/>
    <col min="11839" max="11839" width="11.109375" style="42" customWidth="1"/>
    <col min="11840" max="11840" width="15.21875" style="42" customWidth="1"/>
    <col min="11841" max="11841" width="9.6640625" style="42"/>
    <col min="11842" max="11842" width="11" style="42" customWidth="1"/>
    <col min="11843" max="11843" width="10.77734375" style="42" customWidth="1"/>
    <col min="11844" max="11844" width="11.44140625" style="42" customWidth="1"/>
    <col min="11845" max="11845" width="4" style="42" customWidth="1"/>
    <col min="11846" max="12036" width="9.6640625" style="42"/>
    <col min="12037" max="12037" width="6.44140625" style="42" customWidth="1"/>
    <col min="12038" max="12038" width="13.88671875" style="42" customWidth="1"/>
    <col min="12039" max="12039" width="14.33203125" style="42" customWidth="1"/>
    <col min="12040" max="12056" width="9.6640625" style="42"/>
    <col min="12057" max="12057" width="12" style="42" customWidth="1"/>
    <col min="12058" max="12058" width="12.77734375" style="42" customWidth="1"/>
    <col min="12059" max="12059" width="11.109375" style="42" customWidth="1"/>
    <col min="12060" max="12060" width="12" style="42" customWidth="1"/>
    <col min="12061" max="12061" width="9.6640625" style="42"/>
    <col min="12062" max="12062" width="15.33203125" style="42" customWidth="1"/>
    <col min="12063" max="12063" width="15.21875" style="42" customWidth="1"/>
    <col min="12064" max="12064" width="21.44140625" style="42" customWidth="1"/>
    <col min="12065" max="12080" width="9.6640625" style="42"/>
    <col min="12081" max="12082" width="13.44140625" style="42" customWidth="1"/>
    <col min="12083" max="12083" width="9.6640625" style="42"/>
    <col min="12084" max="12084" width="13.88671875" style="42" customWidth="1"/>
    <col min="12085" max="12085" width="10.6640625" style="42" customWidth="1"/>
    <col min="12086" max="12086" width="17.33203125" style="42" customWidth="1"/>
    <col min="12087" max="12088" width="12.6640625" style="42" customWidth="1"/>
    <col min="12089" max="12089" width="11.21875" style="42" customWidth="1"/>
    <col min="12090" max="12090" width="18.33203125" style="42" customWidth="1"/>
    <col min="12091" max="12091" width="12.88671875" style="42" customWidth="1"/>
    <col min="12092" max="12093" width="13.21875" style="42" customWidth="1"/>
    <col min="12094" max="12094" width="10.88671875" style="42" customWidth="1"/>
    <col min="12095" max="12095" width="11.109375" style="42" customWidth="1"/>
    <col min="12096" max="12096" width="15.21875" style="42" customWidth="1"/>
    <col min="12097" max="12097" width="9.6640625" style="42"/>
    <col min="12098" max="12098" width="11" style="42" customWidth="1"/>
    <col min="12099" max="12099" width="10.77734375" style="42" customWidth="1"/>
    <col min="12100" max="12100" width="11.44140625" style="42" customWidth="1"/>
    <col min="12101" max="12101" width="4" style="42" customWidth="1"/>
    <col min="12102" max="12292" width="9.6640625" style="42"/>
    <col min="12293" max="12293" width="6.44140625" style="42" customWidth="1"/>
    <col min="12294" max="12294" width="13.88671875" style="42" customWidth="1"/>
    <col min="12295" max="12295" width="14.33203125" style="42" customWidth="1"/>
    <col min="12296" max="12312" width="9.6640625" style="42"/>
    <col min="12313" max="12313" width="12" style="42" customWidth="1"/>
    <col min="12314" max="12314" width="12.77734375" style="42" customWidth="1"/>
    <col min="12315" max="12315" width="11.109375" style="42" customWidth="1"/>
    <col min="12316" max="12316" width="12" style="42" customWidth="1"/>
    <col min="12317" max="12317" width="9.6640625" style="42"/>
    <col min="12318" max="12318" width="15.33203125" style="42" customWidth="1"/>
    <col min="12319" max="12319" width="15.21875" style="42" customWidth="1"/>
    <col min="12320" max="12320" width="21.44140625" style="42" customWidth="1"/>
    <col min="12321" max="12336" width="9.6640625" style="42"/>
    <col min="12337" max="12338" width="13.44140625" style="42" customWidth="1"/>
    <col min="12339" max="12339" width="9.6640625" style="42"/>
    <col min="12340" max="12340" width="13.88671875" style="42" customWidth="1"/>
    <col min="12341" max="12341" width="10.6640625" style="42" customWidth="1"/>
    <col min="12342" max="12342" width="17.33203125" style="42" customWidth="1"/>
    <col min="12343" max="12344" width="12.6640625" style="42" customWidth="1"/>
    <col min="12345" max="12345" width="11.21875" style="42" customWidth="1"/>
    <col min="12346" max="12346" width="18.33203125" style="42" customWidth="1"/>
    <col min="12347" max="12347" width="12.88671875" style="42" customWidth="1"/>
    <col min="12348" max="12349" width="13.21875" style="42" customWidth="1"/>
    <col min="12350" max="12350" width="10.88671875" style="42" customWidth="1"/>
    <col min="12351" max="12351" width="11.109375" style="42" customWidth="1"/>
    <col min="12352" max="12352" width="15.21875" style="42" customWidth="1"/>
    <col min="12353" max="12353" width="9.6640625" style="42"/>
    <col min="12354" max="12354" width="11" style="42" customWidth="1"/>
    <col min="12355" max="12355" width="10.77734375" style="42" customWidth="1"/>
    <col min="12356" max="12356" width="11.44140625" style="42" customWidth="1"/>
    <col min="12357" max="12357" width="4" style="42" customWidth="1"/>
    <col min="12358" max="12548" width="9.6640625" style="42"/>
    <col min="12549" max="12549" width="6.44140625" style="42" customWidth="1"/>
    <col min="12550" max="12550" width="13.88671875" style="42" customWidth="1"/>
    <col min="12551" max="12551" width="14.33203125" style="42" customWidth="1"/>
    <col min="12552" max="12568" width="9.6640625" style="42"/>
    <col min="12569" max="12569" width="12" style="42" customWidth="1"/>
    <col min="12570" max="12570" width="12.77734375" style="42" customWidth="1"/>
    <col min="12571" max="12571" width="11.109375" style="42" customWidth="1"/>
    <col min="12572" max="12572" width="12" style="42" customWidth="1"/>
    <col min="12573" max="12573" width="9.6640625" style="42"/>
    <col min="12574" max="12574" width="15.33203125" style="42" customWidth="1"/>
    <col min="12575" max="12575" width="15.21875" style="42" customWidth="1"/>
    <col min="12576" max="12576" width="21.44140625" style="42" customWidth="1"/>
    <col min="12577" max="12592" width="9.6640625" style="42"/>
    <col min="12593" max="12594" width="13.44140625" style="42" customWidth="1"/>
    <col min="12595" max="12595" width="9.6640625" style="42"/>
    <col min="12596" max="12596" width="13.88671875" style="42" customWidth="1"/>
    <col min="12597" max="12597" width="10.6640625" style="42" customWidth="1"/>
    <col min="12598" max="12598" width="17.33203125" style="42" customWidth="1"/>
    <col min="12599" max="12600" width="12.6640625" style="42" customWidth="1"/>
    <col min="12601" max="12601" width="11.21875" style="42" customWidth="1"/>
    <col min="12602" max="12602" width="18.33203125" style="42" customWidth="1"/>
    <col min="12603" max="12603" width="12.88671875" style="42" customWidth="1"/>
    <col min="12604" max="12605" width="13.21875" style="42" customWidth="1"/>
    <col min="12606" max="12606" width="10.88671875" style="42" customWidth="1"/>
    <col min="12607" max="12607" width="11.109375" style="42" customWidth="1"/>
    <col min="12608" max="12608" width="15.21875" style="42" customWidth="1"/>
    <col min="12609" max="12609" width="9.6640625" style="42"/>
    <col min="12610" max="12610" width="11" style="42" customWidth="1"/>
    <col min="12611" max="12611" width="10.77734375" style="42" customWidth="1"/>
    <col min="12612" max="12612" width="11.44140625" style="42" customWidth="1"/>
    <col min="12613" max="12613" width="4" style="42" customWidth="1"/>
    <col min="12614" max="12804" width="9.6640625" style="42"/>
    <col min="12805" max="12805" width="6.44140625" style="42" customWidth="1"/>
    <col min="12806" max="12806" width="13.88671875" style="42" customWidth="1"/>
    <col min="12807" max="12807" width="14.33203125" style="42" customWidth="1"/>
    <col min="12808" max="12824" width="9.6640625" style="42"/>
    <col min="12825" max="12825" width="12" style="42" customWidth="1"/>
    <col min="12826" max="12826" width="12.77734375" style="42" customWidth="1"/>
    <col min="12827" max="12827" width="11.109375" style="42" customWidth="1"/>
    <col min="12828" max="12828" width="12" style="42" customWidth="1"/>
    <col min="12829" max="12829" width="9.6640625" style="42"/>
    <col min="12830" max="12830" width="15.33203125" style="42" customWidth="1"/>
    <col min="12831" max="12831" width="15.21875" style="42" customWidth="1"/>
    <col min="12832" max="12832" width="21.44140625" style="42" customWidth="1"/>
    <col min="12833" max="12848" width="9.6640625" style="42"/>
    <col min="12849" max="12850" width="13.44140625" style="42" customWidth="1"/>
    <col min="12851" max="12851" width="9.6640625" style="42"/>
    <col min="12852" max="12852" width="13.88671875" style="42" customWidth="1"/>
    <col min="12853" max="12853" width="10.6640625" style="42" customWidth="1"/>
    <col min="12854" max="12854" width="17.33203125" style="42" customWidth="1"/>
    <col min="12855" max="12856" width="12.6640625" style="42" customWidth="1"/>
    <col min="12857" max="12857" width="11.21875" style="42" customWidth="1"/>
    <col min="12858" max="12858" width="18.33203125" style="42" customWidth="1"/>
    <col min="12859" max="12859" width="12.88671875" style="42" customWidth="1"/>
    <col min="12860" max="12861" width="13.21875" style="42" customWidth="1"/>
    <col min="12862" max="12862" width="10.88671875" style="42" customWidth="1"/>
    <col min="12863" max="12863" width="11.109375" style="42" customWidth="1"/>
    <col min="12864" max="12864" width="15.21875" style="42" customWidth="1"/>
    <col min="12865" max="12865" width="9.6640625" style="42"/>
    <col min="12866" max="12866" width="11" style="42" customWidth="1"/>
    <col min="12867" max="12867" width="10.77734375" style="42" customWidth="1"/>
    <col min="12868" max="12868" width="11.44140625" style="42" customWidth="1"/>
    <col min="12869" max="12869" width="4" style="42" customWidth="1"/>
    <col min="12870" max="13060" width="9.6640625" style="42"/>
    <col min="13061" max="13061" width="6.44140625" style="42" customWidth="1"/>
    <col min="13062" max="13062" width="13.88671875" style="42" customWidth="1"/>
    <col min="13063" max="13063" width="14.33203125" style="42" customWidth="1"/>
    <col min="13064" max="13080" width="9.6640625" style="42"/>
    <col min="13081" max="13081" width="12" style="42" customWidth="1"/>
    <col min="13082" max="13082" width="12.77734375" style="42" customWidth="1"/>
    <col min="13083" max="13083" width="11.109375" style="42" customWidth="1"/>
    <col min="13084" max="13084" width="12" style="42" customWidth="1"/>
    <col min="13085" max="13085" width="9.6640625" style="42"/>
    <col min="13086" max="13086" width="15.33203125" style="42" customWidth="1"/>
    <col min="13087" max="13087" width="15.21875" style="42" customWidth="1"/>
    <col min="13088" max="13088" width="21.44140625" style="42" customWidth="1"/>
    <col min="13089" max="13104" width="9.6640625" style="42"/>
    <col min="13105" max="13106" width="13.44140625" style="42" customWidth="1"/>
    <col min="13107" max="13107" width="9.6640625" style="42"/>
    <col min="13108" max="13108" width="13.88671875" style="42" customWidth="1"/>
    <col min="13109" max="13109" width="10.6640625" style="42" customWidth="1"/>
    <col min="13110" max="13110" width="17.33203125" style="42" customWidth="1"/>
    <col min="13111" max="13112" width="12.6640625" style="42" customWidth="1"/>
    <col min="13113" max="13113" width="11.21875" style="42" customWidth="1"/>
    <col min="13114" max="13114" width="18.33203125" style="42" customWidth="1"/>
    <col min="13115" max="13115" width="12.88671875" style="42" customWidth="1"/>
    <col min="13116" max="13117" width="13.21875" style="42" customWidth="1"/>
    <col min="13118" max="13118" width="10.88671875" style="42" customWidth="1"/>
    <col min="13119" max="13119" width="11.109375" style="42" customWidth="1"/>
    <col min="13120" max="13120" width="15.21875" style="42" customWidth="1"/>
    <col min="13121" max="13121" width="9.6640625" style="42"/>
    <col min="13122" max="13122" width="11" style="42" customWidth="1"/>
    <col min="13123" max="13123" width="10.77734375" style="42" customWidth="1"/>
    <col min="13124" max="13124" width="11.44140625" style="42" customWidth="1"/>
    <col min="13125" max="13125" width="4" style="42" customWidth="1"/>
    <col min="13126" max="13316" width="9.6640625" style="42"/>
    <col min="13317" max="13317" width="6.44140625" style="42" customWidth="1"/>
    <col min="13318" max="13318" width="13.88671875" style="42" customWidth="1"/>
    <col min="13319" max="13319" width="14.33203125" style="42" customWidth="1"/>
    <col min="13320" max="13336" width="9.6640625" style="42"/>
    <col min="13337" max="13337" width="12" style="42" customWidth="1"/>
    <col min="13338" max="13338" width="12.77734375" style="42" customWidth="1"/>
    <col min="13339" max="13339" width="11.109375" style="42" customWidth="1"/>
    <col min="13340" max="13340" width="12" style="42" customWidth="1"/>
    <col min="13341" max="13341" width="9.6640625" style="42"/>
    <col min="13342" max="13342" width="15.33203125" style="42" customWidth="1"/>
    <col min="13343" max="13343" width="15.21875" style="42" customWidth="1"/>
    <col min="13344" max="13344" width="21.44140625" style="42" customWidth="1"/>
    <col min="13345" max="13360" width="9.6640625" style="42"/>
    <col min="13361" max="13362" width="13.44140625" style="42" customWidth="1"/>
    <col min="13363" max="13363" width="9.6640625" style="42"/>
    <col min="13364" max="13364" width="13.88671875" style="42" customWidth="1"/>
    <col min="13365" max="13365" width="10.6640625" style="42" customWidth="1"/>
    <col min="13366" max="13366" width="17.33203125" style="42" customWidth="1"/>
    <col min="13367" max="13368" width="12.6640625" style="42" customWidth="1"/>
    <col min="13369" max="13369" width="11.21875" style="42" customWidth="1"/>
    <col min="13370" max="13370" width="18.33203125" style="42" customWidth="1"/>
    <col min="13371" max="13371" width="12.88671875" style="42" customWidth="1"/>
    <col min="13372" max="13373" width="13.21875" style="42" customWidth="1"/>
    <col min="13374" max="13374" width="10.88671875" style="42" customWidth="1"/>
    <col min="13375" max="13375" width="11.109375" style="42" customWidth="1"/>
    <col min="13376" max="13376" width="15.21875" style="42" customWidth="1"/>
    <col min="13377" max="13377" width="9.6640625" style="42"/>
    <col min="13378" max="13378" width="11" style="42" customWidth="1"/>
    <col min="13379" max="13379" width="10.77734375" style="42" customWidth="1"/>
    <col min="13380" max="13380" width="11.44140625" style="42" customWidth="1"/>
    <col min="13381" max="13381" width="4" style="42" customWidth="1"/>
    <col min="13382" max="13572" width="9.6640625" style="42"/>
    <col min="13573" max="13573" width="6.44140625" style="42" customWidth="1"/>
    <col min="13574" max="13574" width="13.88671875" style="42" customWidth="1"/>
    <col min="13575" max="13575" width="14.33203125" style="42" customWidth="1"/>
    <col min="13576" max="13592" width="9.6640625" style="42"/>
    <col min="13593" max="13593" width="12" style="42" customWidth="1"/>
    <col min="13594" max="13594" width="12.77734375" style="42" customWidth="1"/>
    <col min="13595" max="13595" width="11.109375" style="42" customWidth="1"/>
    <col min="13596" max="13596" width="12" style="42" customWidth="1"/>
    <col min="13597" max="13597" width="9.6640625" style="42"/>
    <col min="13598" max="13598" width="15.33203125" style="42" customWidth="1"/>
    <col min="13599" max="13599" width="15.21875" style="42" customWidth="1"/>
    <col min="13600" max="13600" width="21.44140625" style="42" customWidth="1"/>
    <col min="13601" max="13616" width="9.6640625" style="42"/>
    <col min="13617" max="13618" width="13.44140625" style="42" customWidth="1"/>
    <col min="13619" max="13619" width="9.6640625" style="42"/>
    <col min="13620" max="13620" width="13.88671875" style="42" customWidth="1"/>
    <col min="13621" max="13621" width="10.6640625" style="42" customWidth="1"/>
    <col min="13622" max="13622" width="17.33203125" style="42" customWidth="1"/>
    <col min="13623" max="13624" width="12.6640625" style="42" customWidth="1"/>
    <col min="13625" max="13625" width="11.21875" style="42" customWidth="1"/>
    <col min="13626" max="13626" width="18.33203125" style="42" customWidth="1"/>
    <col min="13627" max="13627" width="12.88671875" style="42" customWidth="1"/>
    <col min="13628" max="13629" width="13.21875" style="42" customWidth="1"/>
    <col min="13630" max="13630" width="10.88671875" style="42" customWidth="1"/>
    <col min="13631" max="13631" width="11.109375" style="42" customWidth="1"/>
    <col min="13632" max="13632" width="15.21875" style="42" customWidth="1"/>
    <col min="13633" max="13633" width="9.6640625" style="42"/>
    <col min="13634" max="13634" width="11" style="42" customWidth="1"/>
    <col min="13635" max="13635" width="10.77734375" style="42" customWidth="1"/>
    <col min="13636" max="13636" width="11.44140625" style="42" customWidth="1"/>
    <col min="13637" max="13637" width="4" style="42" customWidth="1"/>
    <col min="13638" max="13828" width="9.6640625" style="42"/>
    <col min="13829" max="13829" width="6.44140625" style="42" customWidth="1"/>
    <col min="13830" max="13830" width="13.88671875" style="42" customWidth="1"/>
    <col min="13831" max="13831" width="14.33203125" style="42" customWidth="1"/>
    <col min="13832" max="13848" width="9.6640625" style="42"/>
    <col min="13849" max="13849" width="12" style="42" customWidth="1"/>
    <col min="13850" max="13850" width="12.77734375" style="42" customWidth="1"/>
    <col min="13851" max="13851" width="11.109375" style="42" customWidth="1"/>
    <col min="13852" max="13852" width="12" style="42" customWidth="1"/>
    <col min="13853" max="13853" width="9.6640625" style="42"/>
    <col min="13854" max="13854" width="15.33203125" style="42" customWidth="1"/>
    <col min="13855" max="13855" width="15.21875" style="42" customWidth="1"/>
    <col min="13856" max="13856" width="21.44140625" style="42" customWidth="1"/>
    <col min="13857" max="13872" width="9.6640625" style="42"/>
    <col min="13873" max="13874" width="13.44140625" style="42" customWidth="1"/>
    <col min="13875" max="13875" width="9.6640625" style="42"/>
    <col min="13876" max="13876" width="13.88671875" style="42" customWidth="1"/>
    <col min="13877" max="13877" width="10.6640625" style="42" customWidth="1"/>
    <col min="13878" max="13878" width="17.33203125" style="42" customWidth="1"/>
    <col min="13879" max="13880" width="12.6640625" style="42" customWidth="1"/>
    <col min="13881" max="13881" width="11.21875" style="42" customWidth="1"/>
    <col min="13882" max="13882" width="18.33203125" style="42" customWidth="1"/>
    <col min="13883" max="13883" width="12.88671875" style="42" customWidth="1"/>
    <col min="13884" max="13885" width="13.21875" style="42" customWidth="1"/>
    <col min="13886" max="13886" width="10.88671875" style="42" customWidth="1"/>
    <col min="13887" max="13887" width="11.109375" style="42" customWidth="1"/>
    <col min="13888" max="13888" width="15.21875" style="42" customWidth="1"/>
    <col min="13889" max="13889" width="9.6640625" style="42"/>
    <col min="13890" max="13890" width="11" style="42" customWidth="1"/>
    <col min="13891" max="13891" width="10.77734375" style="42" customWidth="1"/>
    <col min="13892" max="13892" width="11.44140625" style="42" customWidth="1"/>
    <col min="13893" max="13893" width="4" style="42" customWidth="1"/>
    <col min="13894" max="14084" width="9.6640625" style="42"/>
    <col min="14085" max="14085" width="6.44140625" style="42" customWidth="1"/>
    <col min="14086" max="14086" width="13.88671875" style="42" customWidth="1"/>
    <col min="14087" max="14087" width="14.33203125" style="42" customWidth="1"/>
    <col min="14088" max="14104" width="9.6640625" style="42"/>
    <col min="14105" max="14105" width="12" style="42" customWidth="1"/>
    <col min="14106" max="14106" width="12.77734375" style="42" customWidth="1"/>
    <col min="14107" max="14107" width="11.109375" style="42" customWidth="1"/>
    <col min="14108" max="14108" width="12" style="42" customWidth="1"/>
    <col min="14109" max="14109" width="9.6640625" style="42"/>
    <col min="14110" max="14110" width="15.33203125" style="42" customWidth="1"/>
    <col min="14111" max="14111" width="15.21875" style="42" customWidth="1"/>
    <col min="14112" max="14112" width="21.44140625" style="42" customWidth="1"/>
    <col min="14113" max="14128" width="9.6640625" style="42"/>
    <col min="14129" max="14130" width="13.44140625" style="42" customWidth="1"/>
    <col min="14131" max="14131" width="9.6640625" style="42"/>
    <col min="14132" max="14132" width="13.88671875" style="42" customWidth="1"/>
    <col min="14133" max="14133" width="10.6640625" style="42" customWidth="1"/>
    <col min="14134" max="14134" width="17.33203125" style="42" customWidth="1"/>
    <col min="14135" max="14136" width="12.6640625" style="42" customWidth="1"/>
    <col min="14137" max="14137" width="11.21875" style="42" customWidth="1"/>
    <col min="14138" max="14138" width="18.33203125" style="42" customWidth="1"/>
    <col min="14139" max="14139" width="12.88671875" style="42" customWidth="1"/>
    <col min="14140" max="14141" width="13.21875" style="42" customWidth="1"/>
    <col min="14142" max="14142" width="10.88671875" style="42" customWidth="1"/>
    <col min="14143" max="14143" width="11.109375" style="42" customWidth="1"/>
    <col min="14144" max="14144" width="15.21875" style="42" customWidth="1"/>
    <col min="14145" max="14145" width="9.6640625" style="42"/>
    <col min="14146" max="14146" width="11" style="42" customWidth="1"/>
    <col min="14147" max="14147" width="10.77734375" style="42" customWidth="1"/>
    <col min="14148" max="14148" width="11.44140625" style="42" customWidth="1"/>
    <col min="14149" max="14149" width="4" style="42" customWidth="1"/>
    <col min="14150" max="14340" width="9.6640625" style="42"/>
    <col min="14341" max="14341" width="6.44140625" style="42" customWidth="1"/>
    <col min="14342" max="14342" width="13.88671875" style="42" customWidth="1"/>
    <col min="14343" max="14343" width="14.33203125" style="42" customWidth="1"/>
    <col min="14344" max="14360" width="9.6640625" style="42"/>
    <col min="14361" max="14361" width="12" style="42" customWidth="1"/>
    <col min="14362" max="14362" width="12.77734375" style="42" customWidth="1"/>
    <col min="14363" max="14363" width="11.109375" style="42" customWidth="1"/>
    <col min="14364" max="14364" width="12" style="42" customWidth="1"/>
    <col min="14365" max="14365" width="9.6640625" style="42"/>
    <col min="14366" max="14366" width="15.33203125" style="42" customWidth="1"/>
    <col min="14367" max="14367" width="15.21875" style="42" customWidth="1"/>
    <col min="14368" max="14368" width="21.44140625" style="42" customWidth="1"/>
    <col min="14369" max="14384" width="9.6640625" style="42"/>
    <col min="14385" max="14386" width="13.44140625" style="42" customWidth="1"/>
    <col min="14387" max="14387" width="9.6640625" style="42"/>
    <col min="14388" max="14388" width="13.88671875" style="42" customWidth="1"/>
    <col min="14389" max="14389" width="10.6640625" style="42" customWidth="1"/>
    <col min="14390" max="14390" width="17.33203125" style="42" customWidth="1"/>
    <col min="14391" max="14392" width="12.6640625" style="42" customWidth="1"/>
    <col min="14393" max="14393" width="11.21875" style="42" customWidth="1"/>
    <col min="14394" max="14394" width="18.33203125" style="42" customWidth="1"/>
    <col min="14395" max="14395" width="12.88671875" style="42" customWidth="1"/>
    <col min="14396" max="14397" width="13.21875" style="42" customWidth="1"/>
    <col min="14398" max="14398" width="10.88671875" style="42" customWidth="1"/>
    <col min="14399" max="14399" width="11.109375" style="42" customWidth="1"/>
    <col min="14400" max="14400" width="15.21875" style="42" customWidth="1"/>
    <col min="14401" max="14401" width="9.6640625" style="42"/>
    <col min="14402" max="14402" width="11" style="42" customWidth="1"/>
    <col min="14403" max="14403" width="10.77734375" style="42" customWidth="1"/>
    <col min="14404" max="14404" width="11.44140625" style="42" customWidth="1"/>
    <col min="14405" max="14405" width="4" style="42" customWidth="1"/>
    <col min="14406" max="14596" width="9.6640625" style="42"/>
    <col min="14597" max="14597" width="6.44140625" style="42" customWidth="1"/>
    <col min="14598" max="14598" width="13.88671875" style="42" customWidth="1"/>
    <col min="14599" max="14599" width="14.33203125" style="42" customWidth="1"/>
    <col min="14600" max="14616" width="9.6640625" style="42"/>
    <col min="14617" max="14617" width="12" style="42" customWidth="1"/>
    <col min="14618" max="14618" width="12.77734375" style="42" customWidth="1"/>
    <col min="14619" max="14619" width="11.109375" style="42" customWidth="1"/>
    <col min="14620" max="14620" width="12" style="42" customWidth="1"/>
    <col min="14621" max="14621" width="9.6640625" style="42"/>
    <col min="14622" max="14622" width="15.33203125" style="42" customWidth="1"/>
    <col min="14623" max="14623" width="15.21875" style="42" customWidth="1"/>
    <col min="14624" max="14624" width="21.44140625" style="42" customWidth="1"/>
    <col min="14625" max="14640" width="9.6640625" style="42"/>
    <col min="14641" max="14642" width="13.44140625" style="42" customWidth="1"/>
    <col min="14643" max="14643" width="9.6640625" style="42"/>
    <col min="14644" max="14644" width="13.88671875" style="42" customWidth="1"/>
    <col min="14645" max="14645" width="10.6640625" style="42" customWidth="1"/>
    <col min="14646" max="14646" width="17.33203125" style="42" customWidth="1"/>
    <col min="14647" max="14648" width="12.6640625" style="42" customWidth="1"/>
    <col min="14649" max="14649" width="11.21875" style="42" customWidth="1"/>
    <col min="14650" max="14650" width="18.33203125" style="42" customWidth="1"/>
    <col min="14651" max="14651" width="12.88671875" style="42" customWidth="1"/>
    <col min="14652" max="14653" width="13.21875" style="42" customWidth="1"/>
    <col min="14654" max="14654" width="10.88671875" style="42" customWidth="1"/>
    <col min="14655" max="14655" width="11.109375" style="42" customWidth="1"/>
    <col min="14656" max="14656" width="15.21875" style="42" customWidth="1"/>
    <col min="14657" max="14657" width="9.6640625" style="42"/>
    <col min="14658" max="14658" width="11" style="42" customWidth="1"/>
    <col min="14659" max="14659" width="10.77734375" style="42" customWidth="1"/>
    <col min="14660" max="14660" width="11.44140625" style="42" customWidth="1"/>
    <col min="14661" max="14661" width="4" style="42" customWidth="1"/>
    <col min="14662" max="14852" width="9.6640625" style="42"/>
    <col min="14853" max="14853" width="6.44140625" style="42" customWidth="1"/>
    <col min="14854" max="14854" width="13.88671875" style="42" customWidth="1"/>
    <col min="14855" max="14855" width="14.33203125" style="42" customWidth="1"/>
    <col min="14856" max="14872" width="9.6640625" style="42"/>
    <col min="14873" max="14873" width="12" style="42" customWidth="1"/>
    <col min="14874" max="14874" width="12.77734375" style="42" customWidth="1"/>
    <col min="14875" max="14875" width="11.109375" style="42" customWidth="1"/>
    <col min="14876" max="14876" width="12" style="42" customWidth="1"/>
    <col min="14877" max="14877" width="9.6640625" style="42"/>
    <col min="14878" max="14878" width="15.33203125" style="42" customWidth="1"/>
    <col min="14879" max="14879" width="15.21875" style="42" customWidth="1"/>
    <col min="14880" max="14880" width="21.44140625" style="42" customWidth="1"/>
    <col min="14881" max="14896" width="9.6640625" style="42"/>
    <col min="14897" max="14898" width="13.44140625" style="42" customWidth="1"/>
    <col min="14899" max="14899" width="9.6640625" style="42"/>
    <col min="14900" max="14900" width="13.88671875" style="42" customWidth="1"/>
    <col min="14901" max="14901" width="10.6640625" style="42" customWidth="1"/>
    <col min="14902" max="14902" width="17.33203125" style="42" customWidth="1"/>
    <col min="14903" max="14904" width="12.6640625" style="42" customWidth="1"/>
    <col min="14905" max="14905" width="11.21875" style="42" customWidth="1"/>
    <col min="14906" max="14906" width="18.33203125" style="42" customWidth="1"/>
    <col min="14907" max="14907" width="12.88671875" style="42" customWidth="1"/>
    <col min="14908" max="14909" width="13.21875" style="42" customWidth="1"/>
    <col min="14910" max="14910" width="10.88671875" style="42" customWidth="1"/>
    <col min="14911" max="14911" width="11.109375" style="42" customWidth="1"/>
    <col min="14912" max="14912" width="15.21875" style="42" customWidth="1"/>
    <col min="14913" max="14913" width="9.6640625" style="42"/>
    <col min="14914" max="14914" width="11" style="42" customWidth="1"/>
    <col min="14915" max="14915" width="10.77734375" style="42" customWidth="1"/>
    <col min="14916" max="14916" width="11.44140625" style="42" customWidth="1"/>
    <col min="14917" max="14917" width="4" style="42" customWidth="1"/>
    <col min="14918" max="15108" width="9.6640625" style="42"/>
    <col min="15109" max="15109" width="6.44140625" style="42" customWidth="1"/>
    <col min="15110" max="15110" width="13.88671875" style="42" customWidth="1"/>
    <col min="15111" max="15111" width="14.33203125" style="42" customWidth="1"/>
    <col min="15112" max="15128" width="9.6640625" style="42"/>
    <col min="15129" max="15129" width="12" style="42" customWidth="1"/>
    <col min="15130" max="15130" width="12.77734375" style="42" customWidth="1"/>
    <col min="15131" max="15131" width="11.109375" style="42" customWidth="1"/>
    <col min="15132" max="15132" width="12" style="42" customWidth="1"/>
    <col min="15133" max="15133" width="9.6640625" style="42"/>
    <col min="15134" max="15134" width="15.33203125" style="42" customWidth="1"/>
    <col min="15135" max="15135" width="15.21875" style="42" customWidth="1"/>
    <col min="15136" max="15136" width="21.44140625" style="42" customWidth="1"/>
    <col min="15137" max="15152" width="9.6640625" style="42"/>
    <col min="15153" max="15154" width="13.44140625" style="42" customWidth="1"/>
    <col min="15155" max="15155" width="9.6640625" style="42"/>
    <col min="15156" max="15156" width="13.88671875" style="42" customWidth="1"/>
    <col min="15157" max="15157" width="10.6640625" style="42" customWidth="1"/>
    <col min="15158" max="15158" width="17.33203125" style="42" customWidth="1"/>
    <col min="15159" max="15160" width="12.6640625" style="42" customWidth="1"/>
    <col min="15161" max="15161" width="11.21875" style="42" customWidth="1"/>
    <col min="15162" max="15162" width="18.33203125" style="42" customWidth="1"/>
    <col min="15163" max="15163" width="12.88671875" style="42" customWidth="1"/>
    <col min="15164" max="15165" width="13.21875" style="42" customWidth="1"/>
    <col min="15166" max="15166" width="10.88671875" style="42" customWidth="1"/>
    <col min="15167" max="15167" width="11.109375" style="42" customWidth="1"/>
    <col min="15168" max="15168" width="15.21875" style="42" customWidth="1"/>
    <col min="15169" max="15169" width="9.6640625" style="42"/>
    <col min="15170" max="15170" width="11" style="42" customWidth="1"/>
    <col min="15171" max="15171" width="10.77734375" style="42" customWidth="1"/>
    <col min="15172" max="15172" width="11.44140625" style="42" customWidth="1"/>
    <col min="15173" max="15173" width="4" style="42" customWidth="1"/>
    <col min="15174" max="15364" width="9.6640625" style="42"/>
    <col min="15365" max="15365" width="6.44140625" style="42" customWidth="1"/>
    <col min="15366" max="15366" width="13.88671875" style="42" customWidth="1"/>
    <col min="15367" max="15367" width="14.33203125" style="42" customWidth="1"/>
    <col min="15368" max="15384" width="9.6640625" style="42"/>
    <col min="15385" max="15385" width="12" style="42" customWidth="1"/>
    <col min="15386" max="15386" width="12.77734375" style="42" customWidth="1"/>
    <col min="15387" max="15387" width="11.109375" style="42" customWidth="1"/>
    <col min="15388" max="15388" width="12" style="42" customWidth="1"/>
    <col min="15389" max="15389" width="9.6640625" style="42"/>
    <col min="15390" max="15390" width="15.33203125" style="42" customWidth="1"/>
    <col min="15391" max="15391" width="15.21875" style="42" customWidth="1"/>
    <col min="15392" max="15392" width="21.44140625" style="42" customWidth="1"/>
    <col min="15393" max="15408" width="9.6640625" style="42"/>
    <col min="15409" max="15410" width="13.44140625" style="42" customWidth="1"/>
    <col min="15411" max="15411" width="9.6640625" style="42"/>
    <col min="15412" max="15412" width="13.88671875" style="42" customWidth="1"/>
    <col min="15413" max="15413" width="10.6640625" style="42" customWidth="1"/>
    <col min="15414" max="15414" width="17.33203125" style="42" customWidth="1"/>
    <col min="15415" max="15416" width="12.6640625" style="42" customWidth="1"/>
    <col min="15417" max="15417" width="11.21875" style="42" customWidth="1"/>
    <col min="15418" max="15418" width="18.33203125" style="42" customWidth="1"/>
    <col min="15419" max="15419" width="12.88671875" style="42" customWidth="1"/>
    <col min="15420" max="15421" width="13.21875" style="42" customWidth="1"/>
    <col min="15422" max="15422" width="10.88671875" style="42" customWidth="1"/>
    <col min="15423" max="15423" width="11.109375" style="42" customWidth="1"/>
    <col min="15424" max="15424" width="15.21875" style="42" customWidth="1"/>
    <col min="15425" max="15425" width="9.6640625" style="42"/>
    <col min="15426" max="15426" width="11" style="42" customWidth="1"/>
    <col min="15427" max="15427" width="10.77734375" style="42" customWidth="1"/>
    <col min="15428" max="15428" width="11.44140625" style="42" customWidth="1"/>
    <col min="15429" max="15429" width="4" style="42" customWidth="1"/>
    <col min="15430" max="15620" width="9.6640625" style="42"/>
    <col min="15621" max="15621" width="6.44140625" style="42" customWidth="1"/>
    <col min="15622" max="15622" width="13.88671875" style="42" customWidth="1"/>
    <col min="15623" max="15623" width="14.33203125" style="42" customWidth="1"/>
    <col min="15624" max="15640" width="9.6640625" style="42"/>
    <col min="15641" max="15641" width="12" style="42" customWidth="1"/>
    <col min="15642" max="15642" width="12.77734375" style="42" customWidth="1"/>
    <col min="15643" max="15643" width="11.109375" style="42" customWidth="1"/>
    <col min="15644" max="15644" width="12" style="42" customWidth="1"/>
    <col min="15645" max="15645" width="9.6640625" style="42"/>
    <col min="15646" max="15646" width="15.33203125" style="42" customWidth="1"/>
    <col min="15647" max="15647" width="15.21875" style="42" customWidth="1"/>
    <col min="15648" max="15648" width="21.44140625" style="42" customWidth="1"/>
    <col min="15649" max="15664" width="9.6640625" style="42"/>
    <col min="15665" max="15666" width="13.44140625" style="42" customWidth="1"/>
    <col min="15667" max="15667" width="9.6640625" style="42"/>
    <col min="15668" max="15668" width="13.88671875" style="42" customWidth="1"/>
    <col min="15669" max="15669" width="10.6640625" style="42" customWidth="1"/>
    <col min="15670" max="15670" width="17.33203125" style="42" customWidth="1"/>
    <col min="15671" max="15672" width="12.6640625" style="42" customWidth="1"/>
    <col min="15673" max="15673" width="11.21875" style="42" customWidth="1"/>
    <col min="15674" max="15674" width="18.33203125" style="42" customWidth="1"/>
    <col min="15675" max="15675" width="12.88671875" style="42" customWidth="1"/>
    <col min="15676" max="15677" width="13.21875" style="42" customWidth="1"/>
    <col min="15678" max="15678" width="10.88671875" style="42" customWidth="1"/>
    <col min="15679" max="15679" width="11.109375" style="42" customWidth="1"/>
    <col min="15680" max="15680" width="15.21875" style="42" customWidth="1"/>
    <col min="15681" max="15681" width="9.6640625" style="42"/>
    <col min="15682" max="15682" width="11" style="42" customWidth="1"/>
    <col min="15683" max="15683" width="10.77734375" style="42" customWidth="1"/>
    <col min="15684" max="15684" width="11.44140625" style="42" customWidth="1"/>
    <col min="15685" max="15685" width="4" style="42" customWidth="1"/>
    <col min="15686" max="15876" width="9.6640625" style="42"/>
    <col min="15877" max="15877" width="6.44140625" style="42" customWidth="1"/>
    <col min="15878" max="15878" width="13.88671875" style="42" customWidth="1"/>
    <col min="15879" max="15879" width="14.33203125" style="42" customWidth="1"/>
    <col min="15880" max="15896" width="9.6640625" style="42"/>
    <col min="15897" max="15897" width="12" style="42" customWidth="1"/>
    <col min="15898" max="15898" width="12.77734375" style="42" customWidth="1"/>
    <col min="15899" max="15899" width="11.109375" style="42" customWidth="1"/>
    <col min="15900" max="15900" width="12" style="42" customWidth="1"/>
    <col min="15901" max="15901" width="9.6640625" style="42"/>
    <col min="15902" max="15902" width="15.33203125" style="42" customWidth="1"/>
    <col min="15903" max="15903" width="15.21875" style="42" customWidth="1"/>
    <col min="15904" max="15904" width="21.44140625" style="42" customWidth="1"/>
    <col min="15905" max="15920" width="9.6640625" style="42"/>
    <col min="15921" max="15922" width="13.44140625" style="42" customWidth="1"/>
    <col min="15923" max="15923" width="9.6640625" style="42"/>
    <col min="15924" max="15924" width="13.88671875" style="42" customWidth="1"/>
    <col min="15925" max="15925" width="10.6640625" style="42" customWidth="1"/>
    <col min="15926" max="15926" width="17.33203125" style="42" customWidth="1"/>
    <col min="15927" max="15928" width="12.6640625" style="42" customWidth="1"/>
    <col min="15929" max="15929" width="11.21875" style="42" customWidth="1"/>
    <col min="15930" max="15930" width="18.33203125" style="42" customWidth="1"/>
    <col min="15931" max="15931" width="12.88671875" style="42" customWidth="1"/>
    <col min="15932" max="15933" width="13.21875" style="42" customWidth="1"/>
    <col min="15934" max="15934" width="10.88671875" style="42" customWidth="1"/>
    <col min="15935" max="15935" width="11.109375" style="42" customWidth="1"/>
    <col min="15936" max="15936" width="15.21875" style="42" customWidth="1"/>
    <col min="15937" max="15937" width="9.6640625" style="42"/>
    <col min="15938" max="15938" width="11" style="42" customWidth="1"/>
    <col min="15939" max="15939" width="10.77734375" style="42" customWidth="1"/>
    <col min="15940" max="15940" width="11.44140625" style="42" customWidth="1"/>
    <col min="15941" max="15941" width="4" style="42" customWidth="1"/>
    <col min="15942" max="16132" width="9.6640625" style="42"/>
    <col min="16133" max="16133" width="6.44140625" style="42" customWidth="1"/>
    <col min="16134" max="16134" width="13.88671875" style="42" customWidth="1"/>
    <col min="16135" max="16135" width="14.33203125" style="42" customWidth="1"/>
    <col min="16136" max="16152" width="9.6640625" style="42"/>
    <col min="16153" max="16153" width="12" style="42" customWidth="1"/>
    <col min="16154" max="16154" width="12.77734375" style="42" customWidth="1"/>
    <col min="16155" max="16155" width="11.109375" style="42" customWidth="1"/>
    <col min="16156" max="16156" width="12" style="42" customWidth="1"/>
    <col min="16157" max="16157" width="9.6640625" style="42"/>
    <col min="16158" max="16158" width="15.33203125" style="42" customWidth="1"/>
    <col min="16159" max="16159" width="15.21875" style="42" customWidth="1"/>
    <col min="16160" max="16160" width="21.44140625" style="42" customWidth="1"/>
    <col min="16161" max="16176" width="9.6640625" style="42"/>
    <col min="16177" max="16178" width="13.44140625" style="42" customWidth="1"/>
    <col min="16179" max="16179" width="9.6640625" style="42"/>
    <col min="16180" max="16180" width="13.88671875" style="42" customWidth="1"/>
    <col min="16181" max="16181" width="10.6640625" style="42" customWidth="1"/>
    <col min="16182" max="16182" width="17.33203125" style="42" customWidth="1"/>
    <col min="16183" max="16184" width="12.6640625" style="42" customWidth="1"/>
    <col min="16185" max="16185" width="11.21875" style="42" customWidth="1"/>
    <col min="16186" max="16186" width="18.33203125" style="42" customWidth="1"/>
    <col min="16187" max="16187" width="12.88671875" style="42" customWidth="1"/>
    <col min="16188" max="16189" width="13.21875" style="42" customWidth="1"/>
    <col min="16190" max="16190" width="10.88671875" style="42" customWidth="1"/>
    <col min="16191" max="16191" width="11.109375" style="42" customWidth="1"/>
    <col min="16192" max="16192" width="15.21875" style="42" customWidth="1"/>
    <col min="16193" max="16193" width="9.6640625" style="42"/>
    <col min="16194" max="16194" width="11" style="42" customWidth="1"/>
    <col min="16195" max="16195" width="10.77734375" style="42" customWidth="1"/>
    <col min="16196" max="16196" width="11.44140625" style="42" customWidth="1"/>
    <col min="16197" max="16197" width="4" style="42" customWidth="1"/>
    <col min="16198" max="16384" width="9.6640625" style="42"/>
  </cols>
  <sheetData>
    <row r="1" spans="1:95" ht="13.2" x14ac:dyDescent="0.2">
      <c r="A1" s="41" t="s">
        <v>146</v>
      </c>
    </row>
    <row r="2" spans="1:95" x14ac:dyDescent="0.2">
      <c r="C2" s="44" t="s">
        <v>147</v>
      </c>
    </row>
    <row r="3" spans="1:95" s="43" customFormat="1" x14ac:dyDescent="0.2">
      <c r="A3" s="45"/>
      <c r="B3" s="46" t="s">
        <v>148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43" customFormat="1" x14ac:dyDescent="0.2">
      <c r="A4" s="45"/>
      <c r="B4" s="49" t="s">
        <v>149</v>
      </c>
      <c r="C4" s="47" t="s">
        <v>184</v>
      </c>
      <c r="D4" s="47" t="s">
        <v>21</v>
      </c>
      <c r="E4" s="47" t="s">
        <v>184</v>
      </c>
      <c r="F4" s="47" t="s">
        <v>21</v>
      </c>
      <c r="G4" s="47" t="s">
        <v>184</v>
      </c>
      <c r="H4" s="47" t="s">
        <v>21</v>
      </c>
      <c r="I4" s="47" t="s">
        <v>184</v>
      </c>
      <c r="J4" s="47" t="s">
        <v>21</v>
      </c>
      <c r="K4" s="47" t="s">
        <v>184</v>
      </c>
      <c r="L4" s="47" t="s">
        <v>21</v>
      </c>
      <c r="M4" s="47" t="s">
        <v>184</v>
      </c>
      <c r="N4" s="47" t="s">
        <v>21</v>
      </c>
      <c r="O4" s="47" t="s">
        <v>184</v>
      </c>
      <c r="P4" s="47" t="s">
        <v>21</v>
      </c>
      <c r="Q4" s="47" t="s">
        <v>184</v>
      </c>
      <c r="R4" s="47" t="s">
        <v>21</v>
      </c>
      <c r="S4" s="47" t="s">
        <v>184</v>
      </c>
      <c r="T4" s="47" t="s">
        <v>21</v>
      </c>
      <c r="U4" s="47" t="s">
        <v>184</v>
      </c>
      <c r="V4" s="47" t="s">
        <v>21</v>
      </c>
      <c r="W4" s="47" t="s">
        <v>184</v>
      </c>
      <c r="X4" s="47" t="s">
        <v>21</v>
      </c>
      <c r="Y4" s="47" t="s">
        <v>184</v>
      </c>
      <c r="Z4" s="47" t="s">
        <v>21</v>
      </c>
      <c r="AA4" s="47" t="s">
        <v>189</v>
      </c>
      <c r="AB4" s="47" t="s">
        <v>21</v>
      </c>
      <c r="AC4" s="47" t="s">
        <v>184</v>
      </c>
      <c r="AD4" s="47" t="s">
        <v>21</v>
      </c>
      <c r="AE4" s="47" t="s">
        <v>184</v>
      </c>
      <c r="AF4" s="47" t="s">
        <v>184</v>
      </c>
      <c r="AG4" s="47" t="s">
        <v>183</v>
      </c>
      <c r="AH4" s="47" t="s">
        <v>190</v>
      </c>
      <c r="AI4" s="47" t="s">
        <v>188</v>
      </c>
      <c r="AJ4" s="47" t="s">
        <v>184</v>
      </c>
      <c r="AK4" s="47" t="s">
        <v>269</v>
      </c>
      <c r="AL4" s="47" t="s">
        <v>269</v>
      </c>
      <c r="AM4" s="47" t="s">
        <v>184</v>
      </c>
      <c r="AN4" s="47" t="s">
        <v>21</v>
      </c>
      <c r="AO4" s="47" t="s">
        <v>152</v>
      </c>
      <c r="AP4" s="47" t="s">
        <v>21</v>
      </c>
      <c r="AQ4" s="47" t="s">
        <v>182</v>
      </c>
      <c r="AR4" s="47" t="s">
        <v>21</v>
      </c>
      <c r="AS4" s="47" t="s">
        <v>152</v>
      </c>
      <c r="AT4" s="47" t="s">
        <v>183</v>
      </c>
      <c r="AU4" s="47" t="s">
        <v>183</v>
      </c>
      <c r="AV4" s="47" t="s">
        <v>183</v>
      </c>
      <c r="AW4" s="47" t="s">
        <v>43</v>
      </c>
      <c r="AX4" s="47" t="s">
        <v>43</v>
      </c>
      <c r="AY4" s="47" t="s">
        <v>43</v>
      </c>
      <c r="AZ4" s="47" t="s">
        <v>152</v>
      </c>
      <c r="BA4" s="47" t="s">
        <v>21</v>
      </c>
      <c r="BB4" s="47" t="s">
        <v>21</v>
      </c>
      <c r="BC4" s="47" t="s">
        <v>185</v>
      </c>
      <c r="BD4" s="47" t="s">
        <v>21</v>
      </c>
      <c r="BE4" s="47" t="s">
        <v>21</v>
      </c>
      <c r="BF4" s="47" t="s">
        <v>21</v>
      </c>
      <c r="BG4" s="47" t="s">
        <v>151</v>
      </c>
      <c r="BH4" s="47" t="s">
        <v>43</v>
      </c>
      <c r="BI4" s="47" t="s">
        <v>186</v>
      </c>
      <c r="BJ4" s="47" t="s">
        <v>150</v>
      </c>
      <c r="BK4" s="47" t="s">
        <v>21</v>
      </c>
      <c r="BL4" s="47" t="s">
        <v>151</v>
      </c>
      <c r="BM4" s="47" t="s">
        <v>43</v>
      </c>
      <c r="BN4" s="47" t="s">
        <v>21</v>
      </c>
      <c r="BO4" s="47" t="s">
        <v>183</v>
      </c>
      <c r="BP4" s="47" t="s">
        <v>21</v>
      </c>
      <c r="BQ4" s="47" t="s">
        <v>184</v>
      </c>
      <c r="BR4" s="47" t="s">
        <v>21</v>
      </c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</row>
    <row r="5" spans="1:95" s="43" customFormat="1" x14ac:dyDescent="0.2">
      <c r="A5" s="45"/>
      <c r="B5" s="46" t="s">
        <v>153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</row>
    <row r="6" spans="1:95" s="70" customFormat="1" x14ac:dyDescent="0.2">
      <c r="A6" s="68"/>
      <c r="B6" s="46" t="s">
        <v>173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 t="s">
        <v>179</v>
      </c>
      <c r="N6" s="69" t="s">
        <v>179</v>
      </c>
      <c r="O6" s="69" t="s">
        <v>180</v>
      </c>
      <c r="P6" s="69" t="s">
        <v>180</v>
      </c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 t="s">
        <v>193</v>
      </c>
      <c r="AL6" s="69"/>
      <c r="AM6" s="69"/>
      <c r="AN6" s="69"/>
      <c r="AO6" s="69" t="s">
        <v>177</v>
      </c>
      <c r="AP6" s="69" t="s">
        <v>177</v>
      </c>
      <c r="AQ6" s="69"/>
      <c r="AR6" s="69"/>
      <c r="AS6" s="69" t="s">
        <v>192</v>
      </c>
      <c r="AT6" s="69" t="s">
        <v>175</v>
      </c>
      <c r="AU6" s="69" t="s">
        <v>176</v>
      </c>
      <c r="AV6" s="69" t="s">
        <v>177</v>
      </c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</row>
    <row r="7" spans="1:95" s="91" customFormat="1" ht="22.2" customHeight="1" x14ac:dyDescent="0.3">
      <c r="A7" s="88"/>
      <c r="B7" s="87" t="s">
        <v>154</v>
      </c>
      <c r="C7" s="87" t="s">
        <v>56</v>
      </c>
      <c r="D7" s="87" t="s">
        <v>56</v>
      </c>
      <c r="E7" s="87" t="s">
        <v>63</v>
      </c>
      <c r="F7" s="87" t="s">
        <v>63</v>
      </c>
      <c r="G7" s="87" t="s">
        <v>6</v>
      </c>
      <c r="H7" s="87" t="s">
        <v>6</v>
      </c>
      <c r="I7" s="87" t="s">
        <v>178</v>
      </c>
      <c r="J7" s="87" t="s">
        <v>178</v>
      </c>
      <c r="K7" s="87" t="s">
        <v>83</v>
      </c>
      <c r="L7" s="87" t="s">
        <v>83</v>
      </c>
      <c r="M7" s="87" t="s">
        <v>156</v>
      </c>
      <c r="N7" s="87" t="s">
        <v>156</v>
      </c>
      <c r="O7" s="87" t="s">
        <v>156</v>
      </c>
      <c r="P7" s="87" t="s">
        <v>156</v>
      </c>
      <c r="Q7" s="87" t="s">
        <v>181</v>
      </c>
      <c r="R7" s="87" t="s">
        <v>181</v>
      </c>
      <c r="S7" s="87" t="s">
        <v>109</v>
      </c>
      <c r="T7" s="87" t="s">
        <v>109</v>
      </c>
      <c r="U7" s="87" t="s">
        <v>62</v>
      </c>
      <c r="V7" s="87" t="s">
        <v>62</v>
      </c>
      <c r="W7" s="87" t="s">
        <v>78</v>
      </c>
      <c r="X7" s="87" t="s">
        <v>78</v>
      </c>
      <c r="Y7" s="87" t="s">
        <v>68</v>
      </c>
      <c r="Z7" s="87" t="s">
        <v>68</v>
      </c>
      <c r="AA7" s="87" t="s">
        <v>113</v>
      </c>
      <c r="AB7" s="87" t="s">
        <v>113</v>
      </c>
      <c r="AC7" s="87" t="s">
        <v>71</v>
      </c>
      <c r="AD7" s="87" t="s">
        <v>71</v>
      </c>
      <c r="AE7" s="87" t="s">
        <v>103</v>
      </c>
      <c r="AF7" s="87" t="s">
        <v>104</v>
      </c>
      <c r="AG7" s="87" t="s">
        <v>16</v>
      </c>
      <c r="AH7" s="87" t="s">
        <v>105</v>
      </c>
      <c r="AI7" s="87" t="s">
        <v>107</v>
      </c>
      <c r="AJ7" s="87" t="s">
        <v>111</v>
      </c>
      <c r="AK7" s="87" t="s">
        <v>155</v>
      </c>
      <c r="AL7" s="87" t="s">
        <v>271</v>
      </c>
      <c r="AM7" s="87" t="s">
        <v>112</v>
      </c>
      <c r="AN7" s="87" t="s">
        <v>91</v>
      </c>
      <c r="AO7" s="87" t="s">
        <v>174</v>
      </c>
      <c r="AP7" s="87" t="s">
        <v>174</v>
      </c>
      <c r="AQ7" s="87" t="s">
        <v>36</v>
      </c>
      <c r="AR7" s="87" t="s">
        <v>36</v>
      </c>
      <c r="AS7" s="87" t="s">
        <v>174</v>
      </c>
      <c r="AT7" s="87" t="s">
        <v>157</v>
      </c>
      <c r="AU7" s="87" t="s">
        <v>157</v>
      </c>
      <c r="AV7" s="87" t="s">
        <v>157</v>
      </c>
      <c r="AW7" s="87" t="s">
        <v>75</v>
      </c>
      <c r="AX7" s="87" t="s">
        <v>74</v>
      </c>
      <c r="AY7" s="87" t="s">
        <v>77</v>
      </c>
      <c r="AZ7" s="87" t="s">
        <v>85</v>
      </c>
      <c r="BA7" s="87" t="s">
        <v>69</v>
      </c>
      <c r="BB7" s="87" t="s">
        <v>65</v>
      </c>
      <c r="BC7" s="87" t="s">
        <v>278</v>
      </c>
      <c r="BD7" s="87" t="s">
        <v>96</v>
      </c>
      <c r="BE7" s="87" t="s">
        <v>66</v>
      </c>
      <c r="BF7" s="87" t="s">
        <v>67</v>
      </c>
      <c r="BG7" s="87" t="s">
        <v>281</v>
      </c>
      <c r="BH7" s="87" t="s">
        <v>76</v>
      </c>
      <c r="BI7" s="87" t="s">
        <v>81</v>
      </c>
      <c r="BJ7" s="87" t="s">
        <v>110</v>
      </c>
      <c r="BK7" s="87" t="s">
        <v>80</v>
      </c>
      <c r="BL7" s="87" t="s">
        <v>95</v>
      </c>
      <c r="BM7" s="87" t="s">
        <v>280</v>
      </c>
      <c r="BN7" s="87" t="s">
        <v>17</v>
      </c>
      <c r="BO7" s="87" t="s">
        <v>17</v>
      </c>
      <c r="BP7" s="87" t="s">
        <v>18</v>
      </c>
      <c r="BQ7" s="87" t="s">
        <v>18</v>
      </c>
      <c r="BR7" s="87" t="s">
        <v>191</v>
      </c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90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</row>
    <row r="8" spans="1:95" x14ac:dyDescent="0.2">
      <c r="A8" s="55" t="s">
        <v>158</v>
      </c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</row>
    <row r="9" spans="1:95" x14ac:dyDescent="0.2">
      <c r="A9" s="58" t="s">
        <v>162</v>
      </c>
      <c r="B9" s="57"/>
      <c r="C9" s="64"/>
      <c r="D9" s="64">
        <v>4.6153846153846158E-3</v>
      </c>
      <c r="E9" s="64"/>
      <c r="F9" s="64"/>
      <c r="G9" s="64"/>
      <c r="H9" s="64">
        <v>4.6153846153846156E-2</v>
      </c>
      <c r="I9" s="64"/>
      <c r="J9" s="64"/>
      <c r="K9" s="64"/>
      <c r="L9" s="64">
        <v>9.2307692307692316E-3</v>
      </c>
      <c r="M9" s="64"/>
      <c r="N9" s="64"/>
      <c r="O9" s="64"/>
      <c r="P9" s="64">
        <v>9.2307692307692313E-2</v>
      </c>
      <c r="Q9" s="64"/>
      <c r="R9" s="64">
        <v>2.1538461538461538E-2</v>
      </c>
      <c r="S9" s="64"/>
      <c r="T9" s="64">
        <v>4.6153846153846156E-2</v>
      </c>
      <c r="U9" s="64"/>
      <c r="V9" s="64">
        <v>1.5331868131868131E-2</v>
      </c>
      <c r="W9" s="64"/>
      <c r="X9" s="64"/>
      <c r="Y9" s="64"/>
      <c r="Z9" s="64"/>
      <c r="AA9" s="64"/>
      <c r="AB9" s="64">
        <v>6.0319999999999999E-2</v>
      </c>
      <c r="AC9" s="64"/>
      <c r="AD9" s="64"/>
      <c r="AE9" s="64"/>
      <c r="AF9" s="64"/>
      <c r="AG9" s="64">
        <v>2.5</v>
      </c>
      <c r="AH9" s="64"/>
      <c r="AI9" s="64"/>
      <c r="AJ9" s="64"/>
      <c r="AK9" s="64"/>
      <c r="AL9" s="64">
        <v>8.9599999999999991</v>
      </c>
      <c r="AM9" s="64"/>
      <c r="AN9" s="64">
        <v>0.16923076923076924</v>
      </c>
      <c r="AO9" s="64"/>
      <c r="AP9" s="64"/>
      <c r="AQ9" s="64"/>
      <c r="AR9" s="64"/>
      <c r="AS9" s="64"/>
      <c r="AT9" s="64">
        <v>0.6</v>
      </c>
      <c r="AU9" s="64"/>
      <c r="AV9" s="64"/>
      <c r="AW9" s="64"/>
      <c r="AX9" s="64"/>
      <c r="AY9" s="64"/>
      <c r="AZ9" s="64"/>
      <c r="BA9" s="64">
        <v>2.7692307692307693E-2</v>
      </c>
      <c r="BB9" s="64"/>
      <c r="BC9" s="64"/>
      <c r="BD9" s="64">
        <v>8.4615384615384613E-3</v>
      </c>
      <c r="BE9" s="64">
        <v>8.4615384615384613E-3</v>
      </c>
      <c r="BF9" s="64"/>
      <c r="BG9" s="64"/>
      <c r="BH9" s="64"/>
      <c r="BI9" s="64"/>
      <c r="BJ9" s="64"/>
      <c r="BK9" s="64"/>
      <c r="BL9" s="64">
        <v>4.2222222222222223E-2</v>
      </c>
      <c r="BM9" s="64"/>
      <c r="BN9" s="64">
        <v>1.4639804639804639E-2</v>
      </c>
      <c r="BO9" s="64"/>
      <c r="BP9" s="64">
        <v>1.0769230769230769E-2</v>
      </c>
      <c r="BQ9" s="64"/>
      <c r="BR9" s="64"/>
      <c r="BS9" s="57"/>
      <c r="BT9" s="57"/>
      <c r="BU9" s="57"/>
      <c r="BV9" s="57"/>
      <c r="BW9" s="57"/>
      <c r="BX9" s="57"/>
      <c r="BY9" s="60"/>
      <c r="BZ9" s="60"/>
      <c r="CA9" s="60"/>
      <c r="CB9" s="60"/>
      <c r="CC9" s="57"/>
      <c r="CD9" s="57"/>
      <c r="CE9" s="57"/>
    </row>
    <row r="10" spans="1:95" x14ac:dyDescent="0.2">
      <c r="A10" s="58" t="s">
        <v>164</v>
      </c>
      <c r="C10" s="64">
        <v>1.466</v>
      </c>
      <c r="D10" s="64"/>
      <c r="E10" s="64">
        <v>3</v>
      </c>
      <c r="F10" s="64"/>
      <c r="G10" s="64"/>
      <c r="H10" s="64"/>
      <c r="I10" s="64"/>
      <c r="J10" s="64"/>
      <c r="K10" s="64">
        <v>2.1333333333333333</v>
      </c>
      <c r="L10" s="64"/>
      <c r="M10" s="64"/>
      <c r="N10" s="64"/>
      <c r="O10" s="64">
        <v>10</v>
      </c>
      <c r="P10" s="64"/>
      <c r="Q10" s="64">
        <v>1.6</v>
      </c>
      <c r="R10" s="64"/>
      <c r="S10" s="64">
        <v>1.52</v>
      </c>
      <c r="T10" s="64"/>
      <c r="U10" s="64">
        <v>4.666666666666667</v>
      </c>
      <c r="V10" s="64"/>
      <c r="W10" s="64"/>
      <c r="X10" s="64"/>
      <c r="Y10" s="64">
        <v>1.06</v>
      </c>
      <c r="Z10" s="64"/>
      <c r="AA10" s="64">
        <v>1.732</v>
      </c>
      <c r="AB10" s="64"/>
      <c r="AC10" s="64"/>
      <c r="AD10" s="64"/>
      <c r="AE10" s="64">
        <v>10</v>
      </c>
      <c r="AF10" s="64">
        <v>1.4</v>
      </c>
      <c r="AG10" s="64">
        <v>2</v>
      </c>
      <c r="AH10" s="64">
        <v>5</v>
      </c>
      <c r="AI10" s="64"/>
      <c r="AJ10" s="64"/>
      <c r="AK10" s="64"/>
      <c r="AL10" s="64">
        <v>4.9018099547511316</v>
      </c>
      <c r="AM10" s="64">
        <v>0.7</v>
      </c>
      <c r="AN10" s="64">
        <v>2.9107142857142856E-2</v>
      </c>
      <c r="AO10" s="64"/>
      <c r="AP10" s="64"/>
      <c r="AQ10" s="64"/>
      <c r="AR10" s="64"/>
      <c r="AS10" s="64"/>
      <c r="AT10" s="64"/>
      <c r="AU10" s="64"/>
      <c r="AV10" s="64">
        <v>1.5</v>
      </c>
      <c r="AW10" s="64"/>
      <c r="AX10" s="64"/>
      <c r="AY10" s="64"/>
      <c r="AZ10" s="64"/>
      <c r="BA10" s="64">
        <v>3.6901785714285713E-2</v>
      </c>
      <c r="BB10" s="64"/>
      <c r="BC10" s="64"/>
      <c r="BD10" s="64">
        <v>7.1428571428571426E-3</v>
      </c>
      <c r="BE10" s="64"/>
      <c r="BF10" s="64"/>
      <c r="BG10" s="64">
        <v>5.5555555555555552E-2</v>
      </c>
      <c r="BH10" s="64">
        <v>0.26600000000000001</v>
      </c>
      <c r="BI10" s="64"/>
      <c r="BJ10" s="64"/>
      <c r="BK10" s="64"/>
      <c r="BL10" s="64"/>
      <c r="BM10" s="64"/>
      <c r="BN10" s="64">
        <v>1.7093846153846154E-2</v>
      </c>
      <c r="BO10" s="64"/>
      <c r="BP10" s="64"/>
      <c r="BQ10" s="64">
        <v>1.5</v>
      </c>
      <c r="BR10" s="64">
        <v>4.4642857142857144E-2</v>
      </c>
    </row>
    <row r="11" spans="1:95" x14ac:dyDescent="0.2">
      <c r="A11" s="58" t="s">
        <v>166</v>
      </c>
      <c r="C11" s="64">
        <v>1.4441666666666666</v>
      </c>
      <c r="D11" s="64"/>
      <c r="E11" s="64">
        <v>3</v>
      </c>
      <c r="F11" s="64"/>
      <c r="G11" s="64">
        <v>0.53200000000000003</v>
      </c>
      <c r="H11" s="64"/>
      <c r="I11" s="64"/>
      <c r="J11" s="64"/>
      <c r="K11" s="64">
        <v>2.1314285714285712</v>
      </c>
      <c r="L11" s="64"/>
      <c r="M11" s="64"/>
      <c r="N11" s="64"/>
      <c r="O11" s="64">
        <v>10</v>
      </c>
      <c r="P11" s="64"/>
      <c r="Q11" s="64">
        <v>1.6</v>
      </c>
      <c r="R11" s="64"/>
      <c r="S11" s="64">
        <v>4</v>
      </c>
      <c r="T11" s="64"/>
      <c r="U11" s="64">
        <v>5</v>
      </c>
      <c r="V11" s="64"/>
      <c r="W11" s="64"/>
      <c r="X11" s="64"/>
      <c r="Y11" s="64">
        <v>1.06</v>
      </c>
      <c r="Z11" s="64"/>
      <c r="AA11" s="64">
        <v>3.3325</v>
      </c>
      <c r="AB11" s="64"/>
      <c r="AC11" s="64"/>
      <c r="AD11" s="64"/>
      <c r="AE11" s="64">
        <v>10</v>
      </c>
      <c r="AF11" s="64">
        <v>1.4</v>
      </c>
      <c r="AG11" s="64">
        <v>1.7</v>
      </c>
      <c r="AH11" s="64">
        <v>5</v>
      </c>
      <c r="AI11" s="64"/>
      <c r="AJ11" s="64"/>
      <c r="AK11" s="64"/>
      <c r="AL11" s="64">
        <v>4.9019607843137258</v>
      </c>
      <c r="AM11" s="64">
        <v>0.73333333333333328</v>
      </c>
      <c r="AN11" s="64">
        <v>2.9687499999999999E-2</v>
      </c>
      <c r="AO11" s="64"/>
      <c r="AP11" s="64"/>
      <c r="AQ11" s="64"/>
      <c r="AR11" s="64"/>
      <c r="AS11" s="64"/>
      <c r="AT11" s="64"/>
      <c r="AU11" s="64"/>
      <c r="AV11" s="64">
        <v>1.5</v>
      </c>
      <c r="AW11" s="64"/>
      <c r="AX11" s="64"/>
      <c r="AY11" s="64"/>
      <c r="AZ11" s="64"/>
      <c r="BA11" s="64">
        <v>2.7627551020408165E-2</v>
      </c>
      <c r="BB11" s="64"/>
      <c r="BC11" s="64"/>
      <c r="BD11" s="64">
        <v>7.1428571428571426E-3</v>
      </c>
      <c r="BE11" s="64"/>
      <c r="BF11" s="64"/>
      <c r="BG11" s="64">
        <v>5.5555555555555552E-2</v>
      </c>
      <c r="BH11" s="64"/>
      <c r="BI11" s="64"/>
      <c r="BJ11" s="64"/>
      <c r="BK11" s="64"/>
      <c r="BL11" s="64"/>
      <c r="BM11" s="64"/>
      <c r="BN11" s="64">
        <v>1.7093743589743589E-2</v>
      </c>
      <c r="BO11" s="64"/>
      <c r="BP11" s="64"/>
      <c r="BQ11" s="64">
        <v>1</v>
      </c>
      <c r="BR11" s="64">
        <v>4.4642857142857144E-2</v>
      </c>
    </row>
    <row r="12" spans="1:95" x14ac:dyDescent="0.2">
      <c r="A12" s="58" t="s">
        <v>167</v>
      </c>
      <c r="C12" s="64">
        <v>1.6657142857142857</v>
      </c>
      <c r="D12" s="64"/>
      <c r="E12" s="64">
        <v>2</v>
      </c>
      <c r="F12" s="64"/>
      <c r="G12" s="64"/>
      <c r="H12" s="64">
        <v>3.3720238095238095E-2</v>
      </c>
      <c r="I12" s="64">
        <v>3</v>
      </c>
      <c r="J12" s="64"/>
      <c r="K12" s="64">
        <v>3.3319999999999999</v>
      </c>
      <c r="L12" s="64"/>
      <c r="M12" s="64">
        <v>13.333333333333334</v>
      </c>
      <c r="N12" s="64"/>
      <c r="O12" s="64">
        <v>21.66</v>
      </c>
      <c r="P12" s="64"/>
      <c r="Q12" s="64">
        <v>3</v>
      </c>
      <c r="R12" s="64"/>
      <c r="S12" s="64"/>
      <c r="T12" s="64"/>
      <c r="U12" s="64">
        <v>4.2662500000000003</v>
      </c>
      <c r="V12" s="64"/>
      <c r="W12" s="64"/>
      <c r="X12" s="64"/>
      <c r="Y12" s="64">
        <v>0.93</v>
      </c>
      <c r="Z12" s="64"/>
      <c r="AA12" s="64">
        <v>1.568888888888889</v>
      </c>
      <c r="AB12" s="64"/>
      <c r="AC12" s="64">
        <v>10.6625</v>
      </c>
      <c r="AD12" s="64"/>
      <c r="AE12" s="64">
        <v>15</v>
      </c>
      <c r="AF12" s="64"/>
      <c r="AG12" s="64">
        <v>2.3333333333333335</v>
      </c>
      <c r="AH12" s="64">
        <v>1.0666666666666667</v>
      </c>
      <c r="AI12" s="64">
        <v>12.5</v>
      </c>
      <c r="AJ12" s="64">
        <v>5.3</v>
      </c>
      <c r="AK12" s="64"/>
      <c r="AL12" s="64">
        <v>4.9015837104072402</v>
      </c>
      <c r="AM12" s="64">
        <v>0.86</v>
      </c>
      <c r="AN12" s="64">
        <v>8.1632653061224497E-3</v>
      </c>
      <c r="AO12" s="64">
        <v>12.5</v>
      </c>
      <c r="AP12" s="64"/>
      <c r="AQ12" s="64"/>
      <c r="AR12" s="64"/>
      <c r="AS12" s="64"/>
      <c r="AT12" s="64"/>
      <c r="AU12" s="64">
        <v>0.66649999999999998</v>
      </c>
      <c r="AV12" s="64">
        <v>0.73333333333333328</v>
      </c>
      <c r="AW12" s="64"/>
      <c r="AY12" s="64"/>
      <c r="AZ12" s="64"/>
      <c r="BA12" s="64">
        <v>3.6901785714285713E-2</v>
      </c>
      <c r="BB12" s="64"/>
      <c r="BC12" s="64"/>
      <c r="BD12" s="64">
        <v>9.5142857142857147E-3</v>
      </c>
      <c r="BE12" s="64"/>
      <c r="BF12" s="64"/>
      <c r="BG12" s="64">
        <v>4.8000000000000001E-2</v>
      </c>
      <c r="BH12" s="64">
        <v>0.2</v>
      </c>
      <c r="BI12" s="64"/>
      <c r="BJ12" s="64"/>
      <c r="BK12" s="64"/>
      <c r="BL12" s="64"/>
      <c r="BM12" s="64"/>
      <c r="BN12" s="64">
        <v>1.3653846153846154E-2</v>
      </c>
      <c r="BO12" s="64"/>
      <c r="BP12" s="64">
        <v>1.7093333333333332E-2</v>
      </c>
      <c r="BQ12" s="64"/>
      <c r="BR12" s="64">
        <v>1.2500000000000001E-2</v>
      </c>
    </row>
    <row r="13" spans="1:95" x14ac:dyDescent="0.2">
      <c r="A13" s="58" t="s">
        <v>168</v>
      </c>
      <c r="C13" s="64">
        <v>1.1198402130492677</v>
      </c>
      <c r="D13" s="64"/>
      <c r="E13" s="64">
        <v>2.7922705314009661</v>
      </c>
      <c r="F13" s="64"/>
      <c r="G13" s="64"/>
      <c r="H13" s="64">
        <v>3.3329455560725918E-2</v>
      </c>
      <c r="I13" s="64">
        <v>5.583333333333333</v>
      </c>
      <c r="J13" s="64"/>
      <c r="K13" s="64">
        <v>2.2379518072289155</v>
      </c>
      <c r="L13" s="64"/>
      <c r="M13" s="64">
        <v>12.6</v>
      </c>
      <c r="N13" s="64"/>
      <c r="O13" s="64">
        <v>18</v>
      </c>
      <c r="P13" s="64"/>
      <c r="Q13" s="64">
        <v>2.7982456140350878</v>
      </c>
      <c r="R13" s="64"/>
      <c r="S13" s="64"/>
      <c r="T13" s="64"/>
      <c r="U13" s="64">
        <v>3</v>
      </c>
      <c r="V13" s="64"/>
      <c r="W13" s="64">
        <v>2.2285714285714286</v>
      </c>
      <c r="X13" s="64"/>
      <c r="Y13" s="64">
        <v>1.1172413793103448</v>
      </c>
      <c r="Z13" s="64"/>
      <c r="AA13" s="64">
        <v>1.7320872274143302</v>
      </c>
      <c r="AB13" s="64"/>
      <c r="AC13" s="64">
        <v>8.4</v>
      </c>
      <c r="AD13" s="64"/>
      <c r="AE13" s="64">
        <v>9.7727272727272734</v>
      </c>
      <c r="AF13" s="64">
        <v>1.6782407407407407</v>
      </c>
      <c r="AG13" s="64">
        <v>2.4</v>
      </c>
      <c r="AH13" s="64">
        <v>3</v>
      </c>
      <c r="AI13" s="64">
        <v>16</v>
      </c>
      <c r="AJ13" s="64">
        <v>4.75</v>
      </c>
      <c r="AK13" s="64"/>
      <c r="AL13" s="64">
        <v>1.3572411683743693</v>
      </c>
      <c r="AM13" s="64">
        <v>0.828125</v>
      </c>
      <c r="AN13" s="64">
        <v>3.930890538033395E-2</v>
      </c>
      <c r="AO13" s="64">
        <v>16</v>
      </c>
      <c r="AP13" s="64"/>
      <c r="AQ13" s="64">
        <v>1.2</v>
      </c>
      <c r="AR13" s="64"/>
      <c r="AS13" s="64"/>
      <c r="AT13" s="64"/>
      <c r="AU13" s="64">
        <v>0.64749999999999996</v>
      </c>
      <c r="AV13" s="64">
        <v>0.69819078947368418</v>
      </c>
      <c r="AW13" s="64"/>
      <c r="AY13" s="64"/>
      <c r="AZ13" s="64"/>
      <c r="BA13" s="64">
        <v>6.0094117647058826E-2</v>
      </c>
      <c r="BB13" s="64"/>
      <c r="BC13" s="64"/>
      <c r="BD13" s="64">
        <v>8.5662369126936061E-3</v>
      </c>
      <c r="BE13" s="64"/>
      <c r="BF13" s="64"/>
      <c r="BG13" s="64">
        <v>0.1111111111111111</v>
      </c>
      <c r="BH13" s="64">
        <v>0.27979274611398963</v>
      </c>
      <c r="BI13" s="64"/>
      <c r="BJ13" s="64">
        <v>0.66666666666666663</v>
      </c>
      <c r="BK13" s="64"/>
      <c r="BL13" s="64"/>
      <c r="BM13" s="64"/>
      <c r="BN13" s="64">
        <v>1.4572307692307692E-2</v>
      </c>
      <c r="BO13" s="64"/>
      <c r="BP13" s="64">
        <v>1.641025641025641E-2</v>
      </c>
      <c r="BQ13" s="64"/>
      <c r="BR13" s="64">
        <v>1.0714285714285714E-2</v>
      </c>
      <c r="CE13" s="61"/>
    </row>
    <row r="14" spans="1:95" x14ac:dyDescent="0.2">
      <c r="A14" s="58" t="s">
        <v>169</v>
      </c>
      <c r="C14" s="64"/>
      <c r="D14" s="64">
        <v>1.3736263736263736E-2</v>
      </c>
      <c r="E14" s="64"/>
      <c r="F14" s="64">
        <v>0.41666666666666669</v>
      </c>
      <c r="G14" s="64"/>
      <c r="H14" s="64">
        <v>0.05</v>
      </c>
      <c r="I14" s="64"/>
      <c r="J14" s="64">
        <v>4.2857142857142858E-2</v>
      </c>
      <c r="K14" s="64"/>
      <c r="L14" s="64">
        <v>3.7502343896493533E-2</v>
      </c>
      <c r="M14" s="64"/>
      <c r="N14" s="64">
        <v>0.15</v>
      </c>
      <c r="O14" s="64"/>
      <c r="P14" s="64">
        <v>0.25</v>
      </c>
      <c r="Q14" s="64"/>
      <c r="R14" s="64"/>
      <c r="S14" s="64"/>
      <c r="T14" s="64"/>
      <c r="U14" s="64"/>
      <c r="V14" s="64">
        <v>2.9166423613136556E-2</v>
      </c>
      <c r="W14" s="64"/>
      <c r="X14" s="64"/>
      <c r="Y14" s="64"/>
      <c r="Z14" s="64">
        <v>1.2494505494505495E-2</v>
      </c>
      <c r="AA14" s="64"/>
      <c r="AB14" s="64"/>
      <c r="AC14" s="64"/>
      <c r="AD14" s="64"/>
      <c r="AE14" s="64"/>
      <c r="AF14" s="64"/>
      <c r="AG14" s="64">
        <v>0.4</v>
      </c>
      <c r="AH14" s="64"/>
      <c r="AI14" s="64"/>
      <c r="AJ14" s="64"/>
      <c r="AK14" s="64">
        <v>6.7873303167420813</v>
      </c>
      <c r="AL14" s="64">
        <v>5.0904977375565608</v>
      </c>
      <c r="AM14" s="64"/>
      <c r="AN14" s="64">
        <v>6.2333333333333331E-2</v>
      </c>
      <c r="AO14" s="64"/>
      <c r="AP14" s="64">
        <v>1.3333333333333333</v>
      </c>
      <c r="AQ14" s="64"/>
      <c r="AR14" s="64"/>
      <c r="AS14" s="64"/>
      <c r="AT14" s="64">
        <v>1</v>
      </c>
      <c r="AU14" s="64">
        <v>1</v>
      </c>
      <c r="AV14" s="64"/>
      <c r="AW14" s="64">
        <v>0.75</v>
      </c>
      <c r="AX14" s="64">
        <v>0.4</v>
      </c>
      <c r="AY14" s="64">
        <v>1</v>
      </c>
      <c r="AZ14" s="64"/>
      <c r="BA14" s="64">
        <v>0.05</v>
      </c>
      <c r="BB14" s="64">
        <v>8.3333333333333329E-2</v>
      </c>
      <c r="BC14" s="64"/>
      <c r="BD14" s="64">
        <v>8.3265306122448975E-3</v>
      </c>
      <c r="BE14" s="64">
        <v>8.2993197278911565E-3</v>
      </c>
      <c r="BF14" s="64"/>
      <c r="BG14" s="64">
        <v>0.16666666666666666</v>
      </c>
      <c r="BH14" s="64"/>
      <c r="BI14" s="64"/>
      <c r="BJ14" s="64"/>
      <c r="BK14" s="64"/>
      <c r="BL14" s="64">
        <v>0.1111111111111111</v>
      </c>
      <c r="BM14" s="64">
        <v>3</v>
      </c>
      <c r="BN14" s="64"/>
      <c r="BO14" s="64">
        <v>1.5</v>
      </c>
      <c r="BP14" s="64"/>
      <c r="BQ14" s="64">
        <v>1</v>
      </c>
      <c r="BR14" s="64">
        <v>0.10416666666666667</v>
      </c>
    </row>
    <row r="15" spans="1:95" x14ac:dyDescent="0.2">
      <c r="A15" s="58" t="s">
        <v>159</v>
      </c>
      <c r="C15" s="64"/>
      <c r="D15" s="64">
        <v>1.666153846153846E-2</v>
      </c>
      <c r="E15" s="64"/>
      <c r="F15" s="64">
        <v>4.1648287869994194E-2</v>
      </c>
      <c r="G15" s="64"/>
      <c r="H15" s="64">
        <v>0.05</v>
      </c>
      <c r="I15" s="64"/>
      <c r="J15" s="64">
        <v>0.1</v>
      </c>
      <c r="K15" s="64"/>
      <c r="L15" s="64">
        <v>3.7476923076923074E-2</v>
      </c>
      <c r="M15" s="64"/>
      <c r="N15" s="64">
        <v>0.15</v>
      </c>
      <c r="O15" s="64"/>
      <c r="P15" s="64">
        <v>0.3</v>
      </c>
      <c r="Q15" s="64"/>
      <c r="R15" s="64">
        <v>2.0818505338078292E-2</v>
      </c>
      <c r="S15" s="64"/>
      <c r="T15" s="64"/>
      <c r="U15" s="64"/>
      <c r="V15" s="64">
        <v>3.3326110509209098E-2</v>
      </c>
      <c r="W15" s="64"/>
      <c r="X15" s="64">
        <v>3.7460317460317458E-2</v>
      </c>
      <c r="Y15" s="64"/>
      <c r="Z15" s="64">
        <v>1.666153846153846E-2</v>
      </c>
      <c r="AA15" s="64"/>
      <c r="AB15" s="64"/>
      <c r="AC15" s="64"/>
      <c r="AD15" s="64"/>
      <c r="AE15" s="64"/>
      <c r="AF15" s="64"/>
      <c r="AG15" s="64">
        <v>2.6</v>
      </c>
      <c r="AH15" s="64"/>
      <c r="AI15" s="64"/>
      <c r="AJ15" s="64"/>
      <c r="AK15" s="64">
        <v>5.2036199095022626</v>
      </c>
      <c r="AL15" s="64">
        <v>6.2217194570135748</v>
      </c>
      <c r="AM15" s="64"/>
      <c r="AN15" s="64">
        <v>6.6606334841628964E-2</v>
      </c>
      <c r="AO15" s="64"/>
      <c r="AP15" s="64">
        <v>0.83333333333333337</v>
      </c>
      <c r="AQ15" s="64"/>
      <c r="AR15" s="64">
        <v>3.7619047619047621E-2</v>
      </c>
      <c r="AS15" s="64">
        <v>6</v>
      </c>
      <c r="AT15" s="64">
        <v>0.75</v>
      </c>
      <c r="AU15" s="64">
        <v>0.75</v>
      </c>
      <c r="AV15" s="64"/>
      <c r="AW15" s="64">
        <v>0.8</v>
      </c>
      <c r="AX15" s="64">
        <v>0.3</v>
      </c>
      <c r="AY15" s="64"/>
      <c r="AZ15" s="92">
        <v>3.0000000000000001E-5</v>
      </c>
      <c r="BA15" s="64">
        <v>4.9890750182083027E-2</v>
      </c>
      <c r="BB15" s="64">
        <v>1.2500000000000001E-2</v>
      </c>
      <c r="BC15" s="64">
        <v>0.5</v>
      </c>
      <c r="BD15" s="64"/>
      <c r="BE15" s="64">
        <v>1.2478632478632479E-2</v>
      </c>
      <c r="BF15" s="64"/>
      <c r="BG15" s="64">
        <v>0.12222222222222222</v>
      </c>
      <c r="BH15" s="64">
        <v>0.3</v>
      </c>
      <c r="BI15" s="64">
        <v>3</v>
      </c>
      <c r="BJ15" s="64"/>
      <c r="BK15" s="64">
        <v>0.05</v>
      </c>
      <c r="BL15" s="64">
        <v>8.3333333333333329E-2</v>
      </c>
      <c r="BM15" s="64">
        <v>3</v>
      </c>
      <c r="BN15" s="64">
        <v>2.4999402956559121E-2</v>
      </c>
      <c r="BO15" s="64"/>
      <c r="BP15" s="64">
        <v>2.0823384615384615E-2</v>
      </c>
      <c r="BQ15" s="64"/>
      <c r="BR15" s="64">
        <v>0.1</v>
      </c>
    </row>
    <row r="16" spans="1:95" x14ac:dyDescent="0.2">
      <c r="A16" s="58" t="s">
        <v>160</v>
      </c>
      <c r="C16" s="64"/>
      <c r="D16" s="64">
        <v>1.641025641025641E-2</v>
      </c>
      <c r="E16" s="64"/>
      <c r="F16" s="64">
        <v>4.1666666666666664E-2</v>
      </c>
      <c r="G16" s="64"/>
      <c r="H16" s="64">
        <v>0.05</v>
      </c>
      <c r="I16" s="64"/>
      <c r="J16" s="64">
        <v>5.1428571428571428E-2</v>
      </c>
      <c r="K16" s="64"/>
      <c r="L16" s="64">
        <v>3.7301587301587301E-2</v>
      </c>
      <c r="M16" s="64"/>
      <c r="N16" s="64">
        <v>0.15</v>
      </c>
      <c r="O16" s="64"/>
      <c r="P16" s="64">
        <v>0.27419354838709675</v>
      </c>
      <c r="Q16" s="64"/>
      <c r="R16" s="64">
        <v>2.1428571428571429E-2</v>
      </c>
      <c r="S16" s="64"/>
      <c r="T16" s="64"/>
      <c r="U16" s="64"/>
      <c r="V16" s="64">
        <v>3.7698412698412696E-2</v>
      </c>
      <c r="W16" s="64"/>
      <c r="X16" s="64">
        <v>3.8095238095238099E-2</v>
      </c>
      <c r="Y16" s="64"/>
      <c r="Z16" s="64">
        <v>1.6666666666666666E-2</v>
      </c>
      <c r="AA16" s="64"/>
      <c r="AB16" s="64"/>
      <c r="AC16" s="64"/>
      <c r="AD16" s="64"/>
      <c r="AE16" s="64"/>
      <c r="AF16" s="64"/>
      <c r="AG16" s="64">
        <v>2.6</v>
      </c>
      <c r="AH16" s="64"/>
      <c r="AI16" s="64"/>
      <c r="AJ16" s="64"/>
      <c r="AK16" s="64">
        <v>4.5248868778280542</v>
      </c>
      <c r="AL16" s="64">
        <v>6.1085972850678729</v>
      </c>
      <c r="AM16" s="64"/>
      <c r="AN16" s="64">
        <v>5.019305019305019E-2</v>
      </c>
      <c r="AO16" s="64"/>
      <c r="AP16" s="64">
        <v>0.83333333333333337</v>
      </c>
      <c r="AQ16" s="64"/>
      <c r="AR16" s="64">
        <v>0.04</v>
      </c>
      <c r="AS16" s="64">
        <v>6</v>
      </c>
      <c r="AT16" s="64">
        <v>0.75</v>
      </c>
      <c r="AU16" s="64">
        <v>0.75</v>
      </c>
      <c r="AV16" s="64"/>
      <c r="AW16" s="64">
        <v>0.8</v>
      </c>
      <c r="AX16" s="64">
        <v>0.3</v>
      </c>
      <c r="AY16" s="64">
        <v>0.8</v>
      </c>
      <c r="AZ16" s="92">
        <v>2.9090909090909091E-4</v>
      </c>
      <c r="BA16" s="64">
        <v>0.05</v>
      </c>
      <c r="BB16" s="64">
        <v>0.12428571428571429</v>
      </c>
      <c r="BC16" s="64">
        <v>0.5</v>
      </c>
      <c r="BD16" s="64"/>
      <c r="BE16" s="64">
        <v>1.2466666666666666E-2</v>
      </c>
      <c r="BF16" s="64"/>
      <c r="BG16" s="64">
        <v>0.11666666666666667</v>
      </c>
      <c r="BH16" s="64">
        <v>0.3</v>
      </c>
      <c r="BI16" s="64">
        <v>3</v>
      </c>
      <c r="BJ16" s="64"/>
      <c r="BK16" s="64">
        <v>4.0625000000000001E-2</v>
      </c>
      <c r="BL16" s="64"/>
      <c r="BM16" s="64">
        <v>3</v>
      </c>
      <c r="BN16" s="64">
        <v>1.6666666666666666E-2</v>
      </c>
      <c r="BO16" s="64"/>
      <c r="BP16" s="64">
        <v>1.2500000000000001E-2</v>
      </c>
      <c r="BQ16" s="64"/>
      <c r="BR16" s="64">
        <v>0.1</v>
      </c>
    </row>
    <row r="17" spans="1:70" x14ac:dyDescent="0.2">
      <c r="A17" s="58" t="s">
        <v>161</v>
      </c>
      <c r="C17" s="64"/>
      <c r="D17" s="64">
        <v>1.6666666666666666E-2</v>
      </c>
      <c r="E17" s="64"/>
      <c r="F17" s="64">
        <v>0.05</v>
      </c>
      <c r="G17" s="64"/>
      <c r="H17" s="64">
        <v>7.1428571428571425E-2</v>
      </c>
      <c r="I17" s="64"/>
      <c r="J17" s="64">
        <v>3.8095238095238099E-2</v>
      </c>
      <c r="K17" s="64"/>
      <c r="L17" s="64">
        <v>3.7142857142857144E-2</v>
      </c>
      <c r="M17" s="64"/>
      <c r="N17" s="64">
        <v>9.9206349206349201E-2</v>
      </c>
      <c r="O17" s="64"/>
      <c r="P17" s="64">
        <v>0.4006024096385542</v>
      </c>
      <c r="Q17" s="64"/>
      <c r="R17" s="64">
        <v>3.3333333333333333E-2</v>
      </c>
      <c r="S17" s="64"/>
      <c r="T17" s="64"/>
      <c r="U17" s="64"/>
      <c r="V17" s="64">
        <v>4.7222222222222221E-2</v>
      </c>
      <c r="W17" s="64"/>
      <c r="X17" s="64"/>
      <c r="Y17" s="64"/>
      <c r="Z17" s="64">
        <v>0.02</v>
      </c>
      <c r="AA17" s="64"/>
      <c r="AB17" s="64"/>
      <c r="AC17" s="64"/>
      <c r="AD17" s="64">
        <v>0.14857142857142858</v>
      </c>
      <c r="AE17" s="64"/>
      <c r="AF17" s="64"/>
      <c r="AG17" s="64">
        <v>2.9</v>
      </c>
      <c r="AH17" s="64"/>
      <c r="AI17" s="64"/>
      <c r="AJ17" s="64"/>
      <c r="AK17" s="64">
        <v>3.9592760180995472</v>
      </c>
      <c r="AL17" s="64">
        <v>5.6561085972850682</v>
      </c>
      <c r="AM17" s="64"/>
      <c r="AN17" s="64">
        <v>5.5555555555555552E-2</v>
      </c>
      <c r="AO17" s="64"/>
      <c r="AP17" s="64">
        <v>0.87037037037037035</v>
      </c>
      <c r="AQ17" s="64"/>
      <c r="AR17" s="64">
        <v>3.6666666666666667E-2</v>
      </c>
      <c r="AS17" s="64"/>
      <c r="AT17" s="64">
        <v>0.7</v>
      </c>
      <c r="AU17" s="64">
        <v>0.65</v>
      </c>
      <c r="AV17" s="64"/>
      <c r="AW17" s="64">
        <v>0.81272727272727274</v>
      </c>
      <c r="AX17" s="64">
        <v>0.4</v>
      </c>
      <c r="AY17" s="64">
        <v>0.7</v>
      </c>
      <c r="AZ17" s="92">
        <v>2.9985007496251872E-4</v>
      </c>
      <c r="BA17" s="64">
        <v>6.6857142857142851E-2</v>
      </c>
      <c r="BB17" s="64">
        <v>0.12428571428571429</v>
      </c>
      <c r="BC17" s="64"/>
      <c r="BD17" s="64"/>
      <c r="BE17" s="64">
        <v>1.6666666666666666E-2</v>
      </c>
      <c r="BF17" s="64"/>
      <c r="BG17" s="64">
        <v>0.27777777777777779</v>
      </c>
      <c r="BH17" s="64">
        <v>0.29599999999999999</v>
      </c>
      <c r="BI17" s="64">
        <v>3.1818181818181817</v>
      </c>
      <c r="BJ17" s="64"/>
      <c r="BK17" s="64">
        <v>3.3333333333333333E-2</v>
      </c>
      <c r="BL17" s="64"/>
      <c r="BM17" s="64">
        <v>3</v>
      </c>
      <c r="BN17" s="64">
        <v>2.5000000000000001E-2</v>
      </c>
      <c r="BO17" s="64"/>
      <c r="BP17" s="64">
        <v>1.6666666666666666E-2</v>
      </c>
      <c r="BQ17" s="64"/>
      <c r="BR17" s="64"/>
    </row>
    <row r="18" spans="1:70" x14ac:dyDescent="0.2">
      <c r="AP18" s="64"/>
      <c r="BN18" s="64"/>
      <c r="BO18" s="64"/>
      <c r="BP18" s="64"/>
      <c r="BQ18" s="64"/>
    </row>
    <row r="19" spans="1:70" x14ac:dyDescent="0.2">
      <c r="AP19" s="64"/>
    </row>
    <row r="22" spans="1:70" ht="14.4" x14ac:dyDescent="0.3">
      <c r="BM22" s="3"/>
      <c r="BN22" s="11"/>
      <c r="BO22" s="11"/>
      <c r="BP22" s="3"/>
    </row>
    <row r="23" spans="1:70" ht="14.4" x14ac:dyDescent="0.3">
      <c r="BM23" s="3"/>
      <c r="BN23" s="11"/>
      <c r="BO23" s="11"/>
      <c r="BP23" s="1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0"/>
  <sheetViews>
    <sheetView workbookViewId="0">
      <pane xSplit="2" ySplit="7" topLeftCell="C8" activePane="bottomRight" state="frozenSplit"/>
      <selection activeCell="C8" sqref="C8:Y11"/>
      <selection pane="topRight" activeCell="C8" sqref="C8:Y11"/>
      <selection pane="bottomLeft" activeCell="C8" sqref="C8:Y11"/>
      <selection pane="bottomRight" activeCell="C8" sqref="C8"/>
    </sheetView>
  </sheetViews>
  <sheetFormatPr defaultColWidth="9.6640625" defaultRowHeight="12" x14ac:dyDescent="0.2"/>
  <cols>
    <col min="1" max="1" width="6.44140625" style="43" customWidth="1"/>
    <col min="2" max="2" width="13.88671875" style="42" customWidth="1"/>
    <col min="3" max="3" width="11.88671875" style="42" customWidth="1"/>
    <col min="4" max="4" width="9.88671875" style="42" customWidth="1"/>
    <col min="5" max="5" width="11.77734375" style="42" customWidth="1"/>
    <col min="6" max="6" width="10.88671875" style="42" customWidth="1"/>
    <col min="7" max="7" width="15.44140625" style="42" customWidth="1"/>
    <col min="8" max="8" width="10.6640625" style="42" customWidth="1"/>
    <col min="9" max="10" width="9.6640625" style="42"/>
    <col min="11" max="11" width="7.21875" style="42" customWidth="1"/>
    <col min="12" max="12" width="11.88671875" style="42" customWidth="1"/>
    <col min="13" max="13" width="9" style="42" customWidth="1"/>
    <col min="14" max="16" width="9.6640625" style="42"/>
    <col min="17" max="17" width="12.77734375" style="42" customWidth="1"/>
    <col min="18" max="18" width="7.109375" style="42" customWidth="1"/>
    <col min="19" max="20" width="9.6640625" style="42"/>
    <col min="21" max="22" width="18.6640625" style="42" customWidth="1"/>
    <col min="23" max="23" width="12.77734375" style="42" customWidth="1"/>
    <col min="24" max="24" width="11.109375" style="42" customWidth="1"/>
    <col min="25" max="25" width="12" style="42" customWidth="1"/>
    <col min="26" max="26" width="9.6640625" style="42"/>
    <col min="27" max="27" width="15.33203125" style="42" customWidth="1"/>
    <col min="28" max="28" width="15.21875" style="42" customWidth="1"/>
    <col min="29" max="29" width="21.44140625" style="42" customWidth="1"/>
    <col min="30" max="45" width="9.6640625" style="42"/>
    <col min="46" max="47" width="13.44140625" style="42" customWidth="1"/>
    <col min="48" max="48" width="9.6640625" style="42"/>
    <col min="49" max="49" width="13.88671875" style="42" customWidth="1"/>
    <col min="50" max="50" width="10.6640625" style="42" customWidth="1"/>
    <col min="51" max="51" width="17.33203125" style="42" customWidth="1"/>
    <col min="52" max="53" width="12.6640625" style="42" customWidth="1"/>
    <col min="54" max="54" width="11.21875" style="42" customWidth="1"/>
    <col min="55" max="55" width="18.33203125" style="42" customWidth="1"/>
    <col min="56" max="56" width="12.88671875" style="42" customWidth="1"/>
    <col min="57" max="58" width="13.21875" style="42" customWidth="1"/>
    <col min="59" max="59" width="10.88671875" style="42" customWidth="1"/>
    <col min="60" max="60" width="11.109375" style="42" customWidth="1"/>
    <col min="61" max="61" width="15.21875" style="42" customWidth="1"/>
    <col min="62" max="62" width="9.6640625" style="42"/>
    <col min="63" max="63" width="11" style="42" customWidth="1"/>
    <col min="64" max="64" width="10.77734375" style="42" customWidth="1"/>
    <col min="65" max="65" width="11.44140625" style="42" customWidth="1"/>
    <col min="66" max="66" width="4" style="42" customWidth="1"/>
    <col min="67" max="257" width="9.6640625" style="42"/>
    <col min="258" max="258" width="6.44140625" style="42" customWidth="1"/>
    <col min="259" max="259" width="13.88671875" style="42" customWidth="1"/>
    <col min="260" max="260" width="11.88671875" style="42" customWidth="1"/>
    <col min="261" max="263" width="9.6640625" style="42"/>
    <col min="264" max="264" width="15.44140625" style="42" customWidth="1"/>
    <col min="265" max="265" width="16.21875" style="42" customWidth="1"/>
    <col min="266" max="277" width="9.6640625" style="42"/>
    <col min="278" max="278" width="12" style="42" customWidth="1"/>
    <col min="279" max="279" width="12.77734375" style="42" customWidth="1"/>
    <col min="280" max="280" width="11.109375" style="42" customWidth="1"/>
    <col min="281" max="281" width="12" style="42" customWidth="1"/>
    <col min="282" max="282" width="9.6640625" style="42"/>
    <col min="283" max="283" width="15.33203125" style="42" customWidth="1"/>
    <col min="284" max="284" width="15.21875" style="42" customWidth="1"/>
    <col min="285" max="285" width="21.44140625" style="42" customWidth="1"/>
    <col min="286" max="301" width="9.6640625" style="42"/>
    <col min="302" max="303" width="13.44140625" style="42" customWidth="1"/>
    <col min="304" max="304" width="9.6640625" style="42"/>
    <col min="305" max="305" width="13.88671875" style="42" customWidth="1"/>
    <col min="306" max="306" width="10.6640625" style="42" customWidth="1"/>
    <col min="307" max="307" width="17.33203125" style="42" customWidth="1"/>
    <col min="308" max="309" width="12.6640625" style="42" customWidth="1"/>
    <col min="310" max="310" width="11.21875" style="42" customWidth="1"/>
    <col min="311" max="311" width="18.33203125" style="42" customWidth="1"/>
    <col min="312" max="312" width="12.88671875" style="42" customWidth="1"/>
    <col min="313" max="314" width="13.21875" style="42" customWidth="1"/>
    <col min="315" max="315" width="10.88671875" style="42" customWidth="1"/>
    <col min="316" max="316" width="11.109375" style="42" customWidth="1"/>
    <col min="317" max="317" width="15.21875" style="42" customWidth="1"/>
    <col min="318" max="318" width="9.6640625" style="42"/>
    <col min="319" max="319" width="11" style="42" customWidth="1"/>
    <col min="320" max="320" width="10.77734375" style="42" customWidth="1"/>
    <col min="321" max="321" width="11.44140625" style="42" customWidth="1"/>
    <col min="322" max="322" width="4" style="42" customWidth="1"/>
    <col min="323" max="513" width="9.6640625" style="42"/>
    <col min="514" max="514" width="6.44140625" style="42" customWidth="1"/>
    <col min="515" max="515" width="13.88671875" style="42" customWidth="1"/>
    <col min="516" max="516" width="11.88671875" style="42" customWidth="1"/>
    <col min="517" max="519" width="9.6640625" style="42"/>
    <col min="520" max="520" width="15.44140625" style="42" customWidth="1"/>
    <col min="521" max="521" width="16.21875" style="42" customWidth="1"/>
    <col min="522" max="533" width="9.6640625" style="42"/>
    <col min="534" max="534" width="12" style="42" customWidth="1"/>
    <col min="535" max="535" width="12.77734375" style="42" customWidth="1"/>
    <col min="536" max="536" width="11.109375" style="42" customWidth="1"/>
    <col min="537" max="537" width="12" style="42" customWidth="1"/>
    <col min="538" max="538" width="9.6640625" style="42"/>
    <col min="539" max="539" width="15.33203125" style="42" customWidth="1"/>
    <col min="540" max="540" width="15.21875" style="42" customWidth="1"/>
    <col min="541" max="541" width="21.44140625" style="42" customWidth="1"/>
    <col min="542" max="557" width="9.6640625" style="42"/>
    <col min="558" max="559" width="13.44140625" style="42" customWidth="1"/>
    <col min="560" max="560" width="9.6640625" style="42"/>
    <col min="561" max="561" width="13.88671875" style="42" customWidth="1"/>
    <col min="562" max="562" width="10.6640625" style="42" customWidth="1"/>
    <col min="563" max="563" width="17.33203125" style="42" customWidth="1"/>
    <col min="564" max="565" width="12.6640625" style="42" customWidth="1"/>
    <col min="566" max="566" width="11.21875" style="42" customWidth="1"/>
    <col min="567" max="567" width="18.33203125" style="42" customWidth="1"/>
    <col min="568" max="568" width="12.88671875" style="42" customWidth="1"/>
    <col min="569" max="570" width="13.21875" style="42" customWidth="1"/>
    <col min="571" max="571" width="10.88671875" style="42" customWidth="1"/>
    <col min="572" max="572" width="11.109375" style="42" customWidth="1"/>
    <col min="573" max="573" width="15.21875" style="42" customWidth="1"/>
    <col min="574" max="574" width="9.6640625" style="42"/>
    <col min="575" max="575" width="11" style="42" customWidth="1"/>
    <col min="576" max="576" width="10.77734375" style="42" customWidth="1"/>
    <col min="577" max="577" width="11.44140625" style="42" customWidth="1"/>
    <col min="578" max="578" width="4" style="42" customWidth="1"/>
    <col min="579" max="769" width="9.6640625" style="42"/>
    <col min="770" max="770" width="6.44140625" style="42" customWidth="1"/>
    <col min="771" max="771" width="13.88671875" style="42" customWidth="1"/>
    <col min="772" max="772" width="11.88671875" style="42" customWidth="1"/>
    <col min="773" max="775" width="9.6640625" style="42"/>
    <col min="776" max="776" width="15.44140625" style="42" customWidth="1"/>
    <col min="777" max="777" width="16.21875" style="42" customWidth="1"/>
    <col min="778" max="789" width="9.6640625" style="42"/>
    <col min="790" max="790" width="12" style="42" customWidth="1"/>
    <col min="791" max="791" width="12.77734375" style="42" customWidth="1"/>
    <col min="792" max="792" width="11.109375" style="42" customWidth="1"/>
    <col min="793" max="793" width="12" style="42" customWidth="1"/>
    <col min="794" max="794" width="9.6640625" style="42"/>
    <col min="795" max="795" width="15.33203125" style="42" customWidth="1"/>
    <col min="796" max="796" width="15.21875" style="42" customWidth="1"/>
    <col min="797" max="797" width="21.44140625" style="42" customWidth="1"/>
    <col min="798" max="813" width="9.6640625" style="42"/>
    <col min="814" max="815" width="13.44140625" style="42" customWidth="1"/>
    <col min="816" max="816" width="9.6640625" style="42"/>
    <col min="817" max="817" width="13.88671875" style="42" customWidth="1"/>
    <col min="818" max="818" width="10.6640625" style="42" customWidth="1"/>
    <col min="819" max="819" width="17.33203125" style="42" customWidth="1"/>
    <col min="820" max="821" width="12.6640625" style="42" customWidth="1"/>
    <col min="822" max="822" width="11.21875" style="42" customWidth="1"/>
    <col min="823" max="823" width="18.33203125" style="42" customWidth="1"/>
    <col min="824" max="824" width="12.88671875" style="42" customWidth="1"/>
    <col min="825" max="826" width="13.21875" style="42" customWidth="1"/>
    <col min="827" max="827" width="10.88671875" style="42" customWidth="1"/>
    <col min="828" max="828" width="11.109375" style="42" customWidth="1"/>
    <col min="829" max="829" width="15.21875" style="42" customWidth="1"/>
    <col min="830" max="830" width="9.6640625" style="42"/>
    <col min="831" max="831" width="11" style="42" customWidth="1"/>
    <col min="832" max="832" width="10.77734375" style="42" customWidth="1"/>
    <col min="833" max="833" width="11.44140625" style="42" customWidth="1"/>
    <col min="834" max="834" width="4" style="42" customWidth="1"/>
    <col min="835" max="1025" width="9.6640625" style="42"/>
    <col min="1026" max="1026" width="6.44140625" style="42" customWidth="1"/>
    <col min="1027" max="1027" width="13.88671875" style="42" customWidth="1"/>
    <col min="1028" max="1028" width="11.88671875" style="42" customWidth="1"/>
    <col min="1029" max="1031" width="9.6640625" style="42"/>
    <col min="1032" max="1032" width="15.44140625" style="42" customWidth="1"/>
    <col min="1033" max="1033" width="16.21875" style="42" customWidth="1"/>
    <col min="1034" max="1045" width="9.6640625" style="42"/>
    <col min="1046" max="1046" width="12" style="42" customWidth="1"/>
    <col min="1047" max="1047" width="12.77734375" style="42" customWidth="1"/>
    <col min="1048" max="1048" width="11.109375" style="42" customWidth="1"/>
    <col min="1049" max="1049" width="12" style="42" customWidth="1"/>
    <col min="1050" max="1050" width="9.6640625" style="42"/>
    <col min="1051" max="1051" width="15.33203125" style="42" customWidth="1"/>
    <col min="1052" max="1052" width="15.21875" style="42" customWidth="1"/>
    <col min="1053" max="1053" width="21.44140625" style="42" customWidth="1"/>
    <col min="1054" max="1069" width="9.6640625" style="42"/>
    <col min="1070" max="1071" width="13.44140625" style="42" customWidth="1"/>
    <col min="1072" max="1072" width="9.6640625" style="42"/>
    <col min="1073" max="1073" width="13.88671875" style="42" customWidth="1"/>
    <col min="1074" max="1074" width="10.6640625" style="42" customWidth="1"/>
    <col min="1075" max="1075" width="17.33203125" style="42" customWidth="1"/>
    <col min="1076" max="1077" width="12.6640625" style="42" customWidth="1"/>
    <col min="1078" max="1078" width="11.21875" style="42" customWidth="1"/>
    <col min="1079" max="1079" width="18.33203125" style="42" customWidth="1"/>
    <col min="1080" max="1080" width="12.88671875" style="42" customWidth="1"/>
    <col min="1081" max="1082" width="13.21875" style="42" customWidth="1"/>
    <col min="1083" max="1083" width="10.88671875" style="42" customWidth="1"/>
    <col min="1084" max="1084" width="11.109375" style="42" customWidth="1"/>
    <col min="1085" max="1085" width="15.21875" style="42" customWidth="1"/>
    <col min="1086" max="1086" width="9.6640625" style="42"/>
    <col min="1087" max="1087" width="11" style="42" customWidth="1"/>
    <col min="1088" max="1088" width="10.77734375" style="42" customWidth="1"/>
    <col min="1089" max="1089" width="11.44140625" style="42" customWidth="1"/>
    <col min="1090" max="1090" width="4" style="42" customWidth="1"/>
    <col min="1091" max="1281" width="9.6640625" style="42"/>
    <col min="1282" max="1282" width="6.44140625" style="42" customWidth="1"/>
    <col min="1283" max="1283" width="13.88671875" style="42" customWidth="1"/>
    <col min="1284" max="1284" width="11.88671875" style="42" customWidth="1"/>
    <col min="1285" max="1287" width="9.6640625" style="42"/>
    <col min="1288" max="1288" width="15.44140625" style="42" customWidth="1"/>
    <col min="1289" max="1289" width="16.21875" style="42" customWidth="1"/>
    <col min="1290" max="1301" width="9.6640625" style="42"/>
    <col min="1302" max="1302" width="12" style="42" customWidth="1"/>
    <col min="1303" max="1303" width="12.77734375" style="42" customWidth="1"/>
    <col min="1304" max="1304" width="11.109375" style="42" customWidth="1"/>
    <col min="1305" max="1305" width="12" style="42" customWidth="1"/>
    <col min="1306" max="1306" width="9.6640625" style="42"/>
    <col min="1307" max="1307" width="15.33203125" style="42" customWidth="1"/>
    <col min="1308" max="1308" width="15.21875" style="42" customWidth="1"/>
    <col min="1309" max="1309" width="21.44140625" style="42" customWidth="1"/>
    <col min="1310" max="1325" width="9.6640625" style="42"/>
    <col min="1326" max="1327" width="13.44140625" style="42" customWidth="1"/>
    <col min="1328" max="1328" width="9.6640625" style="42"/>
    <col min="1329" max="1329" width="13.88671875" style="42" customWidth="1"/>
    <col min="1330" max="1330" width="10.6640625" style="42" customWidth="1"/>
    <col min="1331" max="1331" width="17.33203125" style="42" customWidth="1"/>
    <col min="1332" max="1333" width="12.6640625" style="42" customWidth="1"/>
    <col min="1334" max="1334" width="11.21875" style="42" customWidth="1"/>
    <col min="1335" max="1335" width="18.33203125" style="42" customWidth="1"/>
    <col min="1336" max="1336" width="12.88671875" style="42" customWidth="1"/>
    <col min="1337" max="1338" width="13.21875" style="42" customWidth="1"/>
    <col min="1339" max="1339" width="10.88671875" style="42" customWidth="1"/>
    <col min="1340" max="1340" width="11.109375" style="42" customWidth="1"/>
    <col min="1341" max="1341" width="15.21875" style="42" customWidth="1"/>
    <col min="1342" max="1342" width="9.6640625" style="42"/>
    <col min="1343" max="1343" width="11" style="42" customWidth="1"/>
    <col min="1344" max="1344" width="10.77734375" style="42" customWidth="1"/>
    <col min="1345" max="1345" width="11.44140625" style="42" customWidth="1"/>
    <col min="1346" max="1346" width="4" style="42" customWidth="1"/>
    <col min="1347" max="1537" width="9.6640625" style="42"/>
    <col min="1538" max="1538" width="6.44140625" style="42" customWidth="1"/>
    <col min="1539" max="1539" width="13.88671875" style="42" customWidth="1"/>
    <col min="1540" max="1540" width="11.88671875" style="42" customWidth="1"/>
    <col min="1541" max="1543" width="9.6640625" style="42"/>
    <col min="1544" max="1544" width="15.44140625" style="42" customWidth="1"/>
    <col min="1545" max="1545" width="16.21875" style="42" customWidth="1"/>
    <col min="1546" max="1557" width="9.6640625" style="42"/>
    <col min="1558" max="1558" width="12" style="42" customWidth="1"/>
    <col min="1559" max="1559" width="12.77734375" style="42" customWidth="1"/>
    <col min="1560" max="1560" width="11.109375" style="42" customWidth="1"/>
    <col min="1561" max="1561" width="12" style="42" customWidth="1"/>
    <col min="1562" max="1562" width="9.6640625" style="42"/>
    <col min="1563" max="1563" width="15.33203125" style="42" customWidth="1"/>
    <col min="1564" max="1564" width="15.21875" style="42" customWidth="1"/>
    <col min="1565" max="1565" width="21.44140625" style="42" customWidth="1"/>
    <col min="1566" max="1581" width="9.6640625" style="42"/>
    <col min="1582" max="1583" width="13.44140625" style="42" customWidth="1"/>
    <col min="1584" max="1584" width="9.6640625" style="42"/>
    <col min="1585" max="1585" width="13.88671875" style="42" customWidth="1"/>
    <col min="1586" max="1586" width="10.6640625" style="42" customWidth="1"/>
    <col min="1587" max="1587" width="17.33203125" style="42" customWidth="1"/>
    <col min="1588" max="1589" width="12.6640625" style="42" customWidth="1"/>
    <col min="1590" max="1590" width="11.21875" style="42" customWidth="1"/>
    <col min="1591" max="1591" width="18.33203125" style="42" customWidth="1"/>
    <col min="1592" max="1592" width="12.88671875" style="42" customWidth="1"/>
    <col min="1593" max="1594" width="13.21875" style="42" customWidth="1"/>
    <col min="1595" max="1595" width="10.88671875" style="42" customWidth="1"/>
    <col min="1596" max="1596" width="11.109375" style="42" customWidth="1"/>
    <col min="1597" max="1597" width="15.21875" style="42" customWidth="1"/>
    <col min="1598" max="1598" width="9.6640625" style="42"/>
    <col min="1599" max="1599" width="11" style="42" customWidth="1"/>
    <col min="1600" max="1600" width="10.77734375" style="42" customWidth="1"/>
    <col min="1601" max="1601" width="11.44140625" style="42" customWidth="1"/>
    <col min="1602" max="1602" width="4" style="42" customWidth="1"/>
    <col min="1603" max="1793" width="9.6640625" style="42"/>
    <col min="1794" max="1794" width="6.44140625" style="42" customWidth="1"/>
    <col min="1795" max="1795" width="13.88671875" style="42" customWidth="1"/>
    <col min="1796" max="1796" width="11.88671875" style="42" customWidth="1"/>
    <col min="1797" max="1799" width="9.6640625" style="42"/>
    <col min="1800" max="1800" width="15.44140625" style="42" customWidth="1"/>
    <col min="1801" max="1801" width="16.21875" style="42" customWidth="1"/>
    <col min="1802" max="1813" width="9.6640625" style="42"/>
    <col min="1814" max="1814" width="12" style="42" customWidth="1"/>
    <col min="1815" max="1815" width="12.77734375" style="42" customWidth="1"/>
    <col min="1816" max="1816" width="11.109375" style="42" customWidth="1"/>
    <col min="1817" max="1817" width="12" style="42" customWidth="1"/>
    <col min="1818" max="1818" width="9.6640625" style="42"/>
    <col min="1819" max="1819" width="15.33203125" style="42" customWidth="1"/>
    <col min="1820" max="1820" width="15.21875" style="42" customWidth="1"/>
    <col min="1821" max="1821" width="21.44140625" style="42" customWidth="1"/>
    <col min="1822" max="1837" width="9.6640625" style="42"/>
    <col min="1838" max="1839" width="13.44140625" style="42" customWidth="1"/>
    <col min="1840" max="1840" width="9.6640625" style="42"/>
    <col min="1841" max="1841" width="13.88671875" style="42" customWidth="1"/>
    <col min="1842" max="1842" width="10.6640625" style="42" customWidth="1"/>
    <col min="1843" max="1843" width="17.33203125" style="42" customWidth="1"/>
    <col min="1844" max="1845" width="12.6640625" style="42" customWidth="1"/>
    <col min="1846" max="1846" width="11.21875" style="42" customWidth="1"/>
    <col min="1847" max="1847" width="18.33203125" style="42" customWidth="1"/>
    <col min="1848" max="1848" width="12.88671875" style="42" customWidth="1"/>
    <col min="1849" max="1850" width="13.21875" style="42" customWidth="1"/>
    <col min="1851" max="1851" width="10.88671875" style="42" customWidth="1"/>
    <col min="1852" max="1852" width="11.109375" style="42" customWidth="1"/>
    <col min="1853" max="1853" width="15.21875" style="42" customWidth="1"/>
    <col min="1854" max="1854" width="9.6640625" style="42"/>
    <col min="1855" max="1855" width="11" style="42" customWidth="1"/>
    <col min="1856" max="1856" width="10.77734375" style="42" customWidth="1"/>
    <col min="1857" max="1857" width="11.44140625" style="42" customWidth="1"/>
    <col min="1858" max="1858" width="4" style="42" customWidth="1"/>
    <col min="1859" max="2049" width="9.6640625" style="42"/>
    <col min="2050" max="2050" width="6.44140625" style="42" customWidth="1"/>
    <col min="2051" max="2051" width="13.88671875" style="42" customWidth="1"/>
    <col min="2052" max="2052" width="11.88671875" style="42" customWidth="1"/>
    <col min="2053" max="2055" width="9.6640625" style="42"/>
    <col min="2056" max="2056" width="15.44140625" style="42" customWidth="1"/>
    <col min="2057" max="2057" width="16.21875" style="42" customWidth="1"/>
    <col min="2058" max="2069" width="9.6640625" style="42"/>
    <col min="2070" max="2070" width="12" style="42" customWidth="1"/>
    <col min="2071" max="2071" width="12.77734375" style="42" customWidth="1"/>
    <col min="2072" max="2072" width="11.109375" style="42" customWidth="1"/>
    <col min="2073" max="2073" width="12" style="42" customWidth="1"/>
    <col min="2074" max="2074" width="9.6640625" style="42"/>
    <col min="2075" max="2075" width="15.33203125" style="42" customWidth="1"/>
    <col min="2076" max="2076" width="15.21875" style="42" customWidth="1"/>
    <col min="2077" max="2077" width="21.44140625" style="42" customWidth="1"/>
    <col min="2078" max="2093" width="9.6640625" style="42"/>
    <col min="2094" max="2095" width="13.44140625" style="42" customWidth="1"/>
    <col min="2096" max="2096" width="9.6640625" style="42"/>
    <col min="2097" max="2097" width="13.88671875" style="42" customWidth="1"/>
    <col min="2098" max="2098" width="10.6640625" style="42" customWidth="1"/>
    <col min="2099" max="2099" width="17.33203125" style="42" customWidth="1"/>
    <col min="2100" max="2101" width="12.6640625" style="42" customWidth="1"/>
    <col min="2102" max="2102" width="11.21875" style="42" customWidth="1"/>
    <col min="2103" max="2103" width="18.33203125" style="42" customWidth="1"/>
    <col min="2104" max="2104" width="12.88671875" style="42" customWidth="1"/>
    <col min="2105" max="2106" width="13.21875" style="42" customWidth="1"/>
    <col min="2107" max="2107" width="10.88671875" style="42" customWidth="1"/>
    <col min="2108" max="2108" width="11.109375" style="42" customWidth="1"/>
    <col min="2109" max="2109" width="15.21875" style="42" customWidth="1"/>
    <col min="2110" max="2110" width="9.6640625" style="42"/>
    <col min="2111" max="2111" width="11" style="42" customWidth="1"/>
    <col min="2112" max="2112" width="10.77734375" style="42" customWidth="1"/>
    <col min="2113" max="2113" width="11.44140625" style="42" customWidth="1"/>
    <col min="2114" max="2114" width="4" style="42" customWidth="1"/>
    <col min="2115" max="2305" width="9.6640625" style="42"/>
    <col min="2306" max="2306" width="6.44140625" style="42" customWidth="1"/>
    <col min="2307" max="2307" width="13.88671875" style="42" customWidth="1"/>
    <col min="2308" max="2308" width="11.88671875" style="42" customWidth="1"/>
    <col min="2309" max="2311" width="9.6640625" style="42"/>
    <col min="2312" max="2312" width="15.44140625" style="42" customWidth="1"/>
    <col min="2313" max="2313" width="16.21875" style="42" customWidth="1"/>
    <col min="2314" max="2325" width="9.6640625" style="42"/>
    <col min="2326" max="2326" width="12" style="42" customWidth="1"/>
    <col min="2327" max="2327" width="12.77734375" style="42" customWidth="1"/>
    <col min="2328" max="2328" width="11.109375" style="42" customWidth="1"/>
    <col min="2329" max="2329" width="12" style="42" customWidth="1"/>
    <col min="2330" max="2330" width="9.6640625" style="42"/>
    <col min="2331" max="2331" width="15.33203125" style="42" customWidth="1"/>
    <col min="2332" max="2332" width="15.21875" style="42" customWidth="1"/>
    <col min="2333" max="2333" width="21.44140625" style="42" customWidth="1"/>
    <col min="2334" max="2349" width="9.6640625" style="42"/>
    <col min="2350" max="2351" width="13.44140625" style="42" customWidth="1"/>
    <col min="2352" max="2352" width="9.6640625" style="42"/>
    <col min="2353" max="2353" width="13.88671875" style="42" customWidth="1"/>
    <col min="2354" max="2354" width="10.6640625" style="42" customWidth="1"/>
    <col min="2355" max="2355" width="17.33203125" style="42" customWidth="1"/>
    <col min="2356" max="2357" width="12.6640625" style="42" customWidth="1"/>
    <col min="2358" max="2358" width="11.21875" style="42" customWidth="1"/>
    <col min="2359" max="2359" width="18.33203125" style="42" customWidth="1"/>
    <col min="2360" max="2360" width="12.88671875" style="42" customWidth="1"/>
    <col min="2361" max="2362" width="13.21875" style="42" customWidth="1"/>
    <col min="2363" max="2363" width="10.88671875" style="42" customWidth="1"/>
    <col min="2364" max="2364" width="11.109375" style="42" customWidth="1"/>
    <col min="2365" max="2365" width="15.21875" style="42" customWidth="1"/>
    <col min="2366" max="2366" width="9.6640625" style="42"/>
    <col min="2367" max="2367" width="11" style="42" customWidth="1"/>
    <col min="2368" max="2368" width="10.77734375" style="42" customWidth="1"/>
    <col min="2369" max="2369" width="11.44140625" style="42" customWidth="1"/>
    <col min="2370" max="2370" width="4" style="42" customWidth="1"/>
    <col min="2371" max="2561" width="9.6640625" style="42"/>
    <col min="2562" max="2562" width="6.44140625" style="42" customWidth="1"/>
    <col min="2563" max="2563" width="13.88671875" style="42" customWidth="1"/>
    <col min="2564" max="2564" width="11.88671875" style="42" customWidth="1"/>
    <col min="2565" max="2567" width="9.6640625" style="42"/>
    <col min="2568" max="2568" width="15.44140625" style="42" customWidth="1"/>
    <col min="2569" max="2569" width="16.21875" style="42" customWidth="1"/>
    <col min="2570" max="2581" width="9.6640625" style="42"/>
    <col min="2582" max="2582" width="12" style="42" customWidth="1"/>
    <col min="2583" max="2583" width="12.77734375" style="42" customWidth="1"/>
    <col min="2584" max="2584" width="11.109375" style="42" customWidth="1"/>
    <col min="2585" max="2585" width="12" style="42" customWidth="1"/>
    <col min="2586" max="2586" width="9.6640625" style="42"/>
    <col min="2587" max="2587" width="15.33203125" style="42" customWidth="1"/>
    <col min="2588" max="2588" width="15.21875" style="42" customWidth="1"/>
    <col min="2589" max="2589" width="21.44140625" style="42" customWidth="1"/>
    <col min="2590" max="2605" width="9.6640625" style="42"/>
    <col min="2606" max="2607" width="13.44140625" style="42" customWidth="1"/>
    <col min="2608" max="2608" width="9.6640625" style="42"/>
    <col min="2609" max="2609" width="13.88671875" style="42" customWidth="1"/>
    <col min="2610" max="2610" width="10.6640625" style="42" customWidth="1"/>
    <col min="2611" max="2611" width="17.33203125" style="42" customWidth="1"/>
    <col min="2612" max="2613" width="12.6640625" style="42" customWidth="1"/>
    <col min="2614" max="2614" width="11.21875" style="42" customWidth="1"/>
    <col min="2615" max="2615" width="18.33203125" style="42" customWidth="1"/>
    <col min="2616" max="2616" width="12.88671875" style="42" customWidth="1"/>
    <col min="2617" max="2618" width="13.21875" style="42" customWidth="1"/>
    <col min="2619" max="2619" width="10.88671875" style="42" customWidth="1"/>
    <col min="2620" max="2620" width="11.109375" style="42" customWidth="1"/>
    <col min="2621" max="2621" width="15.21875" style="42" customWidth="1"/>
    <col min="2622" max="2622" width="9.6640625" style="42"/>
    <col min="2623" max="2623" width="11" style="42" customWidth="1"/>
    <col min="2624" max="2624" width="10.77734375" style="42" customWidth="1"/>
    <col min="2625" max="2625" width="11.44140625" style="42" customWidth="1"/>
    <col min="2626" max="2626" width="4" style="42" customWidth="1"/>
    <col min="2627" max="2817" width="9.6640625" style="42"/>
    <col min="2818" max="2818" width="6.44140625" style="42" customWidth="1"/>
    <col min="2819" max="2819" width="13.88671875" style="42" customWidth="1"/>
    <col min="2820" max="2820" width="11.88671875" style="42" customWidth="1"/>
    <col min="2821" max="2823" width="9.6640625" style="42"/>
    <col min="2824" max="2824" width="15.44140625" style="42" customWidth="1"/>
    <col min="2825" max="2825" width="16.21875" style="42" customWidth="1"/>
    <col min="2826" max="2837" width="9.6640625" style="42"/>
    <col min="2838" max="2838" width="12" style="42" customWidth="1"/>
    <col min="2839" max="2839" width="12.77734375" style="42" customWidth="1"/>
    <col min="2840" max="2840" width="11.109375" style="42" customWidth="1"/>
    <col min="2841" max="2841" width="12" style="42" customWidth="1"/>
    <col min="2842" max="2842" width="9.6640625" style="42"/>
    <col min="2843" max="2843" width="15.33203125" style="42" customWidth="1"/>
    <col min="2844" max="2844" width="15.21875" style="42" customWidth="1"/>
    <col min="2845" max="2845" width="21.44140625" style="42" customWidth="1"/>
    <col min="2846" max="2861" width="9.6640625" style="42"/>
    <col min="2862" max="2863" width="13.44140625" style="42" customWidth="1"/>
    <col min="2864" max="2864" width="9.6640625" style="42"/>
    <col min="2865" max="2865" width="13.88671875" style="42" customWidth="1"/>
    <col min="2866" max="2866" width="10.6640625" style="42" customWidth="1"/>
    <col min="2867" max="2867" width="17.33203125" style="42" customWidth="1"/>
    <col min="2868" max="2869" width="12.6640625" style="42" customWidth="1"/>
    <col min="2870" max="2870" width="11.21875" style="42" customWidth="1"/>
    <col min="2871" max="2871" width="18.33203125" style="42" customWidth="1"/>
    <col min="2872" max="2872" width="12.88671875" style="42" customWidth="1"/>
    <col min="2873" max="2874" width="13.21875" style="42" customWidth="1"/>
    <col min="2875" max="2875" width="10.88671875" style="42" customWidth="1"/>
    <col min="2876" max="2876" width="11.109375" style="42" customWidth="1"/>
    <col min="2877" max="2877" width="15.21875" style="42" customWidth="1"/>
    <col min="2878" max="2878" width="9.6640625" style="42"/>
    <col min="2879" max="2879" width="11" style="42" customWidth="1"/>
    <col min="2880" max="2880" width="10.77734375" style="42" customWidth="1"/>
    <col min="2881" max="2881" width="11.44140625" style="42" customWidth="1"/>
    <col min="2882" max="2882" width="4" style="42" customWidth="1"/>
    <col min="2883" max="3073" width="9.6640625" style="42"/>
    <col min="3074" max="3074" width="6.44140625" style="42" customWidth="1"/>
    <col min="3075" max="3075" width="13.88671875" style="42" customWidth="1"/>
    <col min="3076" max="3076" width="11.88671875" style="42" customWidth="1"/>
    <col min="3077" max="3079" width="9.6640625" style="42"/>
    <col min="3080" max="3080" width="15.44140625" style="42" customWidth="1"/>
    <col min="3081" max="3081" width="16.21875" style="42" customWidth="1"/>
    <col min="3082" max="3093" width="9.6640625" style="42"/>
    <col min="3094" max="3094" width="12" style="42" customWidth="1"/>
    <col min="3095" max="3095" width="12.77734375" style="42" customWidth="1"/>
    <col min="3096" max="3096" width="11.109375" style="42" customWidth="1"/>
    <col min="3097" max="3097" width="12" style="42" customWidth="1"/>
    <col min="3098" max="3098" width="9.6640625" style="42"/>
    <col min="3099" max="3099" width="15.33203125" style="42" customWidth="1"/>
    <col min="3100" max="3100" width="15.21875" style="42" customWidth="1"/>
    <col min="3101" max="3101" width="21.44140625" style="42" customWidth="1"/>
    <col min="3102" max="3117" width="9.6640625" style="42"/>
    <col min="3118" max="3119" width="13.44140625" style="42" customWidth="1"/>
    <col min="3120" max="3120" width="9.6640625" style="42"/>
    <col min="3121" max="3121" width="13.88671875" style="42" customWidth="1"/>
    <col min="3122" max="3122" width="10.6640625" style="42" customWidth="1"/>
    <col min="3123" max="3123" width="17.33203125" style="42" customWidth="1"/>
    <col min="3124" max="3125" width="12.6640625" style="42" customWidth="1"/>
    <col min="3126" max="3126" width="11.21875" style="42" customWidth="1"/>
    <col min="3127" max="3127" width="18.33203125" style="42" customWidth="1"/>
    <col min="3128" max="3128" width="12.88671875" style="42" customWidth="1"/>
    <col min="3129" max="3130" width="13.21875" style="42" customWidth="1"/>
    <col min="3131" max="3131" width="10.88671875" style="42" customWidth="1"/>
    <col min="3132" max="3132" width="11.109375" style="42" customWidth="1"/>
    <col min="3133" max="3133" width="15.21875" style="42" customWidth="1"/>
    <col min="3134" max="3134" width="9.6640625" style="42"/>
    <col min="3135" max="3135" width="11" style="42" customWidth="1"/>
    <col min="3136" max="3136" width="10.77734375" style="42" customWidth="1"/>
    <col min="3137" max="3137" width="11.44140625" style="42" customWidth="1"/>
    <col min="3138" max="3138" width="4" style="42" customWidth="1"/>
    <col min="3139" max="3329" width="9.6640625" style="42"/>
    <col min="3330" max="3330" width="6.44140625" style="42" customWidth="1"/>
    <col min="3331" max="3331" width="13.88671875" style="42" customWidth="1"/>
    <col min="3332" max="3332" width="11.88671875" style="42" customWidth="1"/>
    <col min="3333" max="3335" width="9.6640625" style="42"/>
    <col min="3336" max="3336" width="15.44140625" style="42" customWidth="1"/>
    <col min="3337" max="3337" width="16.21875" style="42" customWidth="1"/>
    <col min="3338" max="3349" width="9.6640625" style="42"/>
    <col min="3350" max="3350" width="12" style="42" customWidth="1"/>
    <col min="3351" max="3351" width="12.77734375" style="42" customWidth="1"/>
    <col min="3352" max="3352" width="11.109375" style="42" customWidth="1"/>
    <col min="3353" max="3353" width="12" style="42" customWidth="1"/>
    <col min="3354" max="3354" width="9.6640625" style="42"/>
    <col min="3355" max="3355" width="15.33203125" style="42" customWidth="1"/>
    <col min="3356" max="3356" width="15.21875" style="42" customWidth="1"/>
    <col min="3357" max="3357" width="21.44140625" style="42" customWidth="1"/>
    <col min="3358" max="3373" width="9.6640625" style="42"/>
    <col min="3374" max="3375" width="13.44140625" style="42" customWidth="1"/>
    <col min="3376" max="3376" width="9.6640625" style="42"/>
    <col min="3377" max="3377" width="13.88671875" style="42" customWidth="1"/>
    <col min="3378" max="3378" width="10.6640625" style="42" customWidth="1"/>
    <col min="3379" max="3379" width="17.33203125" style="42" customWidth="1"/>
    <col min="3380" max="3381" width="12.6640625" style="42" customWidth="1"/>
    <col min="3382" max="3382" width="11.21875" style="42" customWidth="1"/>
    <col min="3383" max="3383" width="18.33203125" style="42" customWidth="1"/>
    <col min="3384" max="3384" width="12.88671875" style="42" customWidth="1"/>
    <col min="3385" max="3386" width="13.21875" style="42" customWidth="1"/>
    <col min="3387" max="3387" width="10.88671875" style="42" customWidth="1"/>
    <col min="3388" max="3388" width="11.109375" style="42" customWidth="1"/>
    <col min="3389" max="3389" width="15.21875" style="42" customWidth="1"/>
    <col min="3390" max="3390" width="9.6640625" style="42"/>
    <col min="3391" max="3391" width="11" style="42" customWidth="1"/>
    <col min="3392" max="3392" width="10.77734375" style="42" customWidth="1"/>
    <col min="3393" max="3393" width="11.44140625" style="42" customWidth="1"/>
    <col min="3394" max="3394" width="4" style="42" customWidth="1"/>
    <col min="3395" max="3585" width="9.6640625" style="42"/>
    <col min="3586" max="3586" width="6.44140625" style="42" customWidth="1"/>
    <col min="3587" max="3587" width="13.88671875" style="42" customWidth="1"/>
    <col min="3588" max="3588" width="11.88671875" style="42" customWidth="1"/>
    <col min="3589" max="3591" width="9.6640625" style="42"/>
    <col min="3592" max="3592" width="15.44140625" style="42" customWidth="1"/>
    <col min="3593" max="3593" width="16.21875" style="42" customWidth="1"/>
    <col min="3594" max="3605" width="9.6640625" style="42"/>
    <col min="3606" max="3606" width="12" style="42" customWidth="1"/>
    <col min="3607" max="3607" width="12.77734375" style="42" customWidth="1"/>
    <col min="3608" max="3608" width="11.109375" style="42" customWidth="1"/>
    <col min="3609" max="3609" width="12" style="42" customWidth="1"/>
    <col min="3610" max="3610" width="9.6640625" style="42"/>
    <col min="3611" max="3611" width="15.33203125" style="42" customWidth="1"/>
    <col min="3612" max="3612" width="15.21875" style="42" customWidth="1"/>
    <col min="3613" max="3613" width="21.44140625" style="42" customWidth="1"/>
    <col min="3614" max="3629" width="9.6640625" style="42"/>
    <col min="3630" max="3631" width="13.44140625" style="42" customWidth="1"/>
    <col min="3632" max="3632" width="9.6640625" style="42"/>
    <col min="3633" max="3633" width="13.88671875" style="42" customWidth="1"/>
    <col min="3634" max="3634" width="10.6640625" style="42" customWidth="1"/>
    <col min="3635" max="3635" width="17.33203125" style="42" customWidth="1"/>
    <col min="3636" max="3637" width="12.6640625" style="42" customWidth="1"/>
    <col min="3638" max="3638" width="11.21875" style="42" customWidth="1"/>
    <col min="3639" max="3639" width="18.33203125" style="42" customWidth="1"/>
    <col min="3640" max="3640" width="12.88671875" style="42" customWidth="1"/>
    <col min="3641" max="3642" width="13.21875" style="42" customWidth="1"/>
    <col min="3643" max="3643" width="10.88671875" style="42" customWidth="1"/>
    <col min="3644" max="3644" width="11.109375" style="42" customWidth="1"/>
    <col min="3645" max="3645" width="15.21875" style="42" customWidth="1"/>
    <col min="3646" max="3646" width="9.6640625" style="42"/>
    <col min="3647" max="3647" width="11" style="42" customWidth="1"/>
    <col min="3648" max="3648" width="10.77734375" style="42" customWidth="1"/>
    <col min="3649" max="3649" width="11.44140625" style="42" customWidth="1"/>
    <col min="3650" max="3650" width="4" style="42" customWidth="1"/>
    <col min="3651" max="3841" width="9.6640625" style="42"/>
    <col min="3842" max="3842" width="6.44140625" style="42" customWidth="1"/>
    <col min="3843" max="3843" width="13.88671875" style="42" customWidth="1"/>
    <col min="3844" max="3844" width="11.88671875" style="42" customWidth="1"/>
    <col min="3845" max="3847" width="9.6640625" style="42"/>
    <col min="3848" max="3848" width="15.44140625" style="42" customWidth="1"/>
    <col min="3849" max="3849" width="16.21875" style="42" customWidth="1"/>
    <col min="3850" max="3861" width="9.6640625" style="42"/>
    <col min="3862" max="3862" width="12" style="42" customWidth="1"/>
    <col min="3863" max="3863" width="12.77734375" style="42" customWidth="1"/>
    <col min="3864" max="3864" width="11.109375" style="42" customWidth="1"/>
    <col min="3865" max="3865" width="12" style="42" customWidth="1"/>
    <col min="3866" max="3866" width="9.6640625" style="42"/>
    <col min="3867" max="3867" width="15.33203125" style="42" customWidth="1"/>
    <col min="3868" max="3868" width="15.21875" style="42" customWidth="1"/>
    <col min="3869" max="3869" width="21.44140625" style="42" customWidth="1"/>
    <col min="3870" max="3885" width="9.6640625" style="42"/>
    <col min="3886" max="3887" width="13.44140625" style="42" customWidth="1"/>
    <col min="3888" max="3888" width="9.6640625" style="42"/>
    <col min="3889" max="3889" width="13.88671875" style="42" customWidth="1"/>
    <col min="3890" max="3890" width="10.6640625" style="42" customWidth="1"/>
    <col min="3891" max="3891" width="17.33203125" style="42" customWidth="1"/>
    <col min="3892" max="3893" width="12.6640625" style="42" customWidth="1"/>
    <col min="3894" max="3894" width="11.21875" style="42" customWidth="1"/>
    <col min="3895" max="3895" width="18.33203125" style="42" customWidth="1"/>
    <col min="3896" max="3896" width="12.88671875" style="42" customWidth="1"/>
    <col min="3897" max="3898" width="13.21875" style="42" customWidth="1"/>
    <col min="3899" max="3899" width="10.88671875" style="42" customWidth="1"/>
    <col min="3900" max="3900" width="11.109375" style="42" customWidth="1"/>
    <col min="3901" max="3901" width="15.21875" style="42" customWidth="1"/>
    <col min="3902" max="3902" width="9.6640625" style="42"/>
    <col min="3903" max="3903" width="11" style="42" customWidth="1"/>
    <col min="3904" max="3904" width="10.77734375" style="42" customWidth="1"/>
    <col min="3905" max="3905" width="11.44140625" style="42" customWidth="1"/>
    <col min="3906" max="3906" width="4" style="42" customWidth="1"/>
    <col min="3907" max="4097" width="9.6640625" style="42"/>
    <col min="4098" max="4098" width="6.44140625" style="42" customWidth="1"/>
    <col min="4099" max="4099" width="13.88671875" style="42" customWidth="1"/>
    <col min="4100" max="4100" width="11.88671875" style="42" customWidth="1"/>
    <col min="4101" max="4103" width="9.6640625" style="42"/>
    <col min="4104" max="4104" width="15.44140625" style="42" customWidth="1"/>
    <col min="4105" max="4105" width="16.21875" style="42" customWidth="1"/>
    <col min="4106" max="4117" width="9.6640625" style="42"/>
    <col min="4118" max="4118" width="12" style="42" customWidth="1"/>
    <col min="4119" max="4119" width="12.77734375" style="42" customWidth="1"/>
    <col min="4120" max="4120" width="11.109375" style="42" customWidth="1"/>
    <col min="4121" max="4121" width="12" style="42" customWidth="1"/>
    <col min="4122" max="4122" width="9.6640625" style="42"/>
    <col min="4123" max="4123" width="15.33203125" style="42" customWidth="1"/>
    <col min="4124" max="4124" width="15.21875" style="42" customWidth="1"/>
    <col min="4125" max="4125" width="21.44140625" style="42" customWidth="1"/>
    <col min="4126" max="4141" width="9.6640625" style="42"/>
    <col min="4142" max="4143" width="13.44140625" style="42" customWidth="1"/>
    <col min="4144" max="4144" width="9.6640625" style="42"/>
    <col min="4145" max="4145" width="13.88671875" style="42" customWidth="1"/>
    <col min="4146" max="4146" width="10.6640625" style="42" customWidth="1"/>
    <col min="4147" max="4147" width="17.33203125" style="42" customWidth="1"/>
    <col min="4148" max="4149" width="12.6640625" style="42" customWidth="1"/>
    <col min="4150" max="4150" width="11.21875" style="42" customWidth="1"/>
    <col min="4151" max="4151" width="18.33203125" style="42" customWidth="1"/>
    <col min="4152" max="4152" width="12.88671875" style="42" customWidth="1"/>
    <col min="4153" max="4154" width="13.21875" style="42" customWidth="1"/>
    <col min="4155" max="4155" width="10.88671875" style="42" customWidth="1"/>
    <col min="4156" max="4156" width="11.109375" style="42" customWidth="1"/>
    <col min="4157" max="4157" width="15.21875" style="42" customWidth="1"/>
    <col min="4158" max="4158" width="9.6640625" style="42"/>
    <col min="4159" max="4159" width="11" style="42" customWidth="1"/>
    <col min="4160" max="4160" width="10.77734375" style="42" customWidth="1"/>
    <col min="4161" max="4161" width="11.44140625" style="42" customWidth="1"/>
    <col min="4162" max="4162" width="4" style="42" customWidth="1"/>
    <col min="4163" max="4353" width="9.6640625" style="42"/>
    <col min="4354" max="4354" width="6.44140625" style="42" customWidth="1"/>
    <col min="4355" max="4355" width="13.88671875" style="42" customWidth="1"/>
    <col min="4356" max="4356" width="11.88671875" style="42" customWidth="1"/>
    <col min="4357" max="4359" width="9.6640625" style="42"/>
    <col min="4360" max="4360" width="15.44140625" style="42" customWidth="1"/>
    <col min="4361" max="4361" width="16.21875" style="42" customWidth="1"/>
    <col min="4362" max="4373" width="9.6640625" style="42"/>
    <col min="4374" max="4374" width="12" style="42" customWidth="1"/>
    <col min="4375" max="4375" width="12.77734375" style="42" customWidth="1"/>
    <col min="4376" max="4376" width="11.109375" style="42" customWidth="1"/>
    <col min="4377" max="4377" width="12" style="42" customWidth="1"/>
    <col min="4378" max="4378" width="9.6640625" style="42"/>
    <col min="4379" max="4379" width="15.33203125" style="42" customWidth="1"/>
    <col min="4380" max="4380" width="15.21875" style="42" customWidth="1"/>
    <col min="4381" max="4381" width="21.44140625" style="42" customWidth="1"/>
    <col min="4382" max="4397" width="9.6640625" style="42"/>
    <col min="4398" max="4399" width="13.44140625" style="42" customWidth="1"/>
    <col min="4400" max="4400" width="9.6640625" style="42"/>
    <col min="4401" max="4401" width="13.88671875" style="42" customWidth="1"/>
    <col min="4402" max="4402" width="10.6640625" style="42" customWidth="1"/>
    <col min="4403" max="4403" width="17.33203125" style="42" customWidth="1"/>
    <col min="4404" max="4405" width="12.6640625" style="42" customWidth="1"/>
    <col min="4406" max="4406" width="11.21875" style="42" customWidth="1"/>
    <col min="4407" max="4407" width="18.33203125" style="42" customWidth="1"/>
    <col min="4408" max="4408" width="12.88671875" style="42" customWidth="1"/>
    <col min="4409" max="4410" width="13.21875" style="42" customWidth="1"/>
    <col min="4411" max="4411" width="10.88671875" style="42" customWidth="1"/>
    <col min="4412" max="4412" width="11.109375" style="42" customWidth="1"/>
    <col min="4413" max="4413" width="15.21875" style="42" customWidth="1"/>
    <col min="4414" max="4414" width="9.6640625" style="42"/>
    <col min="4415" max="4415" width="11" style="42" customWidth="1"/>
    <col min="4416" max="4416" width="10.77734375" style="42" customWidth="1"/>
    <col min="4417" max="4417" width="11.44140625" style="42" customWidth="1"/>
    <col min="4418" max="4418" width="4" style="42" customWidth="1"/>
    <col min="4419" max="4609" width="9.6640625" style="42"/>
    <col min="4610" max="4610" width="6.44140625" style="42" customWidth="1"/>
    <col min="4611" max="4611" width="13.88671875" style="42" customWidth="1"/>
    <col min="4612" max="4612" width="11.88671875" style="42" customWidth="1"/>
    <col min="4613" max="4615" width="9.6640625" style="42"/>
    <col min="4616" max="4616" width="15.44140625" style="42" customWidth="1"/>
    <col min="4617" max="4617" width="16.21875" style="42" customWidth="1"/>
    <col min="4618" max="4629" width="9.6640625" style="42"/>
    <col min="4630" max="4630" width="12" style="42" customWidth="1"/>
    <col min="4631" max="4631" width="12.77734375" style="42" customWidth="1"/>
    <col min="4632" max="4632" width="11.109375" style="42" customWidth="1"/>
    <col min="4633" max="4633" width="12" style="42" customWidth="1"/>
    <col min="4634" max="4634" width="9.6640625" style="42"/>
    <col min="4635" max="4635" width="15.33203125" style="42" customWidth="1"/>
    <col min="4636" max="4636" width="15.21875" style="42" customWidth="1"/>
    <col min="4637" max="4637" width="21.44140625" style="42" customWidth="1"/>
    <col min="4638" max="4653" width="9.6640625" style="42"/>
    <col min="4654" max="4655" width="13.44140625" style="42" customWidth="1"/>
    <col min="4656" max="4656" width="9.6640625" style="42"/>
    <col min="4657" max="4657" width="13.88671875" style="42" customWidth="1"/>
    <col min="4658" max="4658" width="10.6640625" style="42" customWidth="1"/>
    <col min="4659" max="4659" width="17.33203125" style="42" customWidth="1"/>
    <col min="4660" max="4661" width="12.6640625" style="42" customWidth="1"/>
    <col min="4662" max="4662" width="11.21875" style="42" customWidth="1"/>
    <col min="4663" max="4663" width="18.33203125" style="42" customWidth="1"/>
    <col min="4664" max="4664" width="12.88671875" style="42" customWidth="1"/>
    <col min="4665" max="4666" width="13.21875" style="42" customWidth="1"/>
    <col min="4667" max="4667" width="10.88671875" style="42" customWidth="1"/>
    <col min="4668" max="4668" width="11.109375" style="42" customWidth="1"/>
    <col min="4669" max="4669" width="15.21875" style="42" customWidth="1"/>
    <col min="4670" max="4670" width="9.6640625" style="42"/>
    <col min="4671" max="4671" width="11" style="42" customWidth="1"/>
    <col min="4672" max="4672" width="10.77734375" style="42" customWidth="1"/>
    <col min="4673" max="4673" width="11.44140625" style="42" customWidth="1"/>
    <col min="4674" max="4674" width="4" style="42" customWidth="1"/>
    <col min="4675" max="4865" width="9.6640625" style="42"/>
    <col min="4866" max="4866" width="6.44140625" style="42" customWidth="1"/>
    <col min="4867" max="4867" width="13.88671875" style="42" customWidth="1"/>
    <col min="4868" max="4868" width="11.88671875" style="42" customWidth="1"/>
    <col min="4869" max="4871" width="9.6640625" style="42"/>
    <col min="4872" max="4872" width="15.44140625" style="42" customWidth="1"/>
    <col min="4873" max="4873" width="16.21875" style="42" customWidth="1"/>
    <col min="4874" max="4885" width="9.6640625" style="42"/>
    <col min="4886" max="4886" width="12" style="42" customWidth="1"/>
    <col min="4887" max="4887" width="12.77734375" style="42" customWidth="1"/>
    <col min="4888" max="4888" width="11.109375" style="42" customWidth="1"/>
    <col min="4889" max="4889" width="12" style="42" customWidth="1"/>
    <col min="4890" max="4890" width="9.6640625" style="42"/>
    <col min="4891" max="4891" width="15.33203125" style="42" customWidth="1"/>
    <col min="4892" max="4892" width="15.21875" style="42" customWidth="1"/>
    <col min="4893" max="4893" width="21.44140625" style="42" customWidth="1"/>
    <col min="4894" max="4909" width="9.6640625" style="42"/>
    <col min="4910" max="4911" width="13.44140625" style="42" customWidth="1"/>
    <col min="4912" max="4912" width="9.6640625" style="42"/>
    <col min="4913" max="4913" width="13.88671875" style="42" customWidth="1"/>
    <col min="4914" max="4914" width="10.6640625" style="42" customWidth="1"/>
    <col min="4915" max="4915" width="17.33203125" style="42" customWidth="1"/>
    <col min="4916" max="4917" width="12.6640625" style="42" customWidth="1"/>
    <col min="4918" max="4918" width="11.21875" style="42" customWidth="1"/>
    <col min="4919" max="4919" width="18.33203125" style="42" customWidth="1"/>
    <col min="4920" max="4920" width="12.88671875" style="42" customWidth="1"/>
    <col min="4921" max="4922" width="13.21875" style="42" customWidth="1"/>
    <col min="4923" max="4923" width="10.88671875" style="42" customWidth="1"/>
    <col min="4924" max="4924" width="11.109375" style="42" customWidth="1"/>
    <col min="4925" max="4925" width="15.21875" style="42" customWidth="1"/>
    <col min="4926" max="4926" width="9.6640625" style="42"/>
    <col min="4927" max="4927" width="11" style="42" customWidth="1"/>
    <col min="4928" max="4928" width="10.77734375" style="42" customWidth="1"/>
    <col min="4929" max="4929" width="11.44140625" style="42" customWidth="1"/>
    <col min="4930" max="4930" width="4" style="42" customWidth="1"/>
    <col min="4931" max="5121" width="9.6640625" style="42"/>
    <col min="5122" max="5122" width="6.44140625" style="42" customWidth="1"/>
    <col min="5123" max="5123" width="13.88671875" style="42" customWidth="1"/>
    <col min="5124" max="5124" width="11.88671875" style="42" customWidth="1"/>
    <col min="5125" max="5127" width="9.6640625" style="42"/>
    <col min="5128" max="5128" width="15.44140625" style="42" customWidth="1"/>
    <col min="5129" max="5129" width="16.21875" style="42" customWidth="1"/>
    <col min="5130" max="5141" width="9.6640625" style="42"/>
    <col min="5142" max="5142" width="12" style="42" customWidth="1"/>
    <col min="5143" max="5143" width="12.77734375" style="42" customWidth="1"/>
    <col min="5144" max="5144" width="11.109375" style="42" customWidth="1"/>
    <col min="5145" max="5145" width="12" style="42" customWidth="1"/>
    <col min="5146" max="5146" width="9.6640625" style="42"/>
    <col min="5147" max="5147" width="15.33203125" style="42" customWidth="1"/>
    <col min="5148" max="5148" width="15.21875" style="42" customWidth="1"/>
    <col min="5149" max="5149" width="21.44140625" style="42" customWidth="1"/>
    <col min="5150" max="5165" width="9.6640625" style="42"/>
    <col min="5166" max="5167" width="13.44140625" style="42" customWidth="1"/>
    <col min="5168" max="5168" width="9.6640625" style="42"/>
    <col min="5169" max="5169" width="13.88671875" style="42" customWidth="1"/>
    <col min="5170" max="5170" width="10.6640625" style="42" customWidth="1"/>
    <col min="5171" max="5171" width="17.33203125" style="42" customWidth="1"/>
    <col min="5172" max="5173" width="12.6640625" style="42" customWidth="1"/>
    <col min="5174" max="5174" width="11.21875" style="42" customWidth="1"/>
    <col min="5175" max="5175" width="18.33203125" style="42" customWidth="1"/>
    <col min="5176" max="5176" width="12.88671875" style="42" customWidth="1"/>
    <col min="5177" max="5178" width="13.21875" style="42" customWidth="1"/>
    <col min="5179" max="5179" width="10.88671875" style="42" customWidth="1"/>
    <col min="5180" max="5180" width="11.109375" style="42" customWidth="1"/>
    <col min="5181" max="5181" width="15.21875" style="42" customWidth="1"/>
    <col min="5182" max="5182" width="9.6640625" style="42"/>
    <col min="5183" max="5183" width="11" style="42" customWidth="1"/>
    <col min="5184" max="5184" width="10.77734375" style="42" customWidth="1"/>
    <col min="5185" max="5185" width="11.44140625" style="42" customWidth="1"/>
    <col min="5186" max="5186" width="4" style="42" customWidth="1"/>
    <col min="5187" max="5377" width="9.6640625" style="42"/>
    <col min="5378" max="5378" width="6.44140625" style="42" customWidth="1"/>
    <col min="5379" max="5379" width="13.88671875" style="42" customWidth="1"/>
    <col min="5380" max="5380" width="11.88671875" style="42" customWidth="1"/>
    <col min="5381" max="5383" width="9.6640625" style="42"/>
    <col min="5384" max="5384" width="15.44140625" style="42" customWidth="1"/>
    <col min="5385" max="5385" width="16.21875" style="42" customWidth="1"/>
    <col min="5386" max="5397" width="9.6640625" style="42"/>
    <col min="5398" max="5398" width="12" style="42" customWidth="1"/>
    <col min="5399" max="5399" width="12.77734375" style="42" customWidth="1"/>
    <col min="5400" max="5400" width="11.109375" style="42" customWidth="1"/>
    <col min="5401" max="5401" width="12" style="42" customWidth="1"/>
    <col min="5402" max="5402" width="9.6640625" style="42"/>
    <col min="5403" max="5403" width="15.33203125" style="42" customWidth="1"/>
    <col min="5404" max="5404" width="15.21875" style="42" customWidth="1"/>
    <col min="5405" max="5405" width="21.44140625" style="42" customWidth="1"/>
    <col min="5406" max="5421" width="9.6640625" style="42"/>
    <col min="5422" max="5423" width="13.44140625" style="42" customWidth="1"/>
    <col min="5424" max="5424" width="9.6640625" style="42"/>
    <col min="5425" max="5425" width="13.88671875" style="42" customWidth="1"/>
    <col min="5426" max="5426" width="10.6640625" style="42" customWidth="1"/>
    <col min="5427" max="5427" width="17.33203125" style="42" customWidth="1"/>
    <col min="5428" max="5429" width="12.6640625" style="42" customWidth="1"/>
    <col min="5430" max="5430" width="11.21875" style="42" customWidth="1"/>
    <col min="5431" max="5431" width="18.33203125" style="42" customWidth="1"/>
    <col min="5432" max="5432" width="12.88671875" style="42" customWidth="1"/>
    <col min="5433" max="5434" width="13.21875" style="42" customWidth="1"/>
    <col min="5435" max="5435" width="10.88671875" style="42" customWidth="1"/>
    <col min="5436" max="5436" width="11.109375" style="42" customWidth="1"/>
    <col min="5437" max="5437" width="15.21875" style="42" customWidth="1"/>
    <col min="5438" max="5438" width="9.6640625" style="42"/>
    <col min="5439" max="5439" width="11" style="42" customWidth="1"/>
    <col min="5440" max="5440" width="10.77734375" style="42" customWidth="1"/>
    <col min="5441" max="5441" width="11.44140625" style="42" customWidth="1"/>
    <col min="5442" max="5442" width="4" style="42" customWidth="1"/>
    <col min="5443" max="5633" width="9.6640625" style="42"/>
    <col min="5634" max="5634" width="6.44140625" style="42" customWidth="1"/>
    <col min="5635" max="5635" width="13.88671875" style="42" customWidth="1"/>
    <col min="5636" max="5636" width="11.88671875" style="42" customWidth="1"/>
    <col min="5637" max="5639" width="9.6640625" style="42"/>
    <col min="5640" max="5640" width="15.44140625" style="42" customWidth="1"/>
    <col min="5641" max="5641" width="16.21875" style="42" customWidth="1"/>
    <col min="5642" max="5653" width="9.6640625" style="42"/>
    <col min="5654" max="5654" width="12" style="42" customWidth="1"/>
    <col min="5655" max="5655" width="12.77734375" style="42" customWidth="1"/>
    <col min="5656" max="5656" width="11.109375" style="42" customWidth="1"/>
    <col min="5657" max="5657" width="12" style="42" customWidth="1"/>
    <col min="5658" max="5658" width="9.6640625" style="42"/>
    <col min="5659" max="5659" width="15.33203125" style="42" customWidth="1"/>
    <col min="5660" max="5660" width="15.21875" style="42" customWidth="1"/>
    <col min="5661" max="5661" width="21.44140625" style="42" customWidth="1"/>
    <col min="5662" max="5677" width="9.6640625" style="42"/>
    <col min="5678" max="5679" width="13.44140625" style="42" customWidth="1"/>
    <col min="5680" max="5680" width="9.6640625" style="42"/>
    <col min="5681" max="5681" width="13.88671875" style="42" customWidth="1"/>
    <col min="5682" max="5682" width="10.6640625" style="42" customWidth="1"/>
    <col min="5683" max="5683" width="17.33203125" style="42" customWidth="1"/>
    <col min="5684" max="5685" width="12.6640625" style="42" customWidth="1"/>
    <col min="5686" max="5686" width="11.21875" style="42" customWidth="1"/>
    <col min="5687" max="5687" width="18.33203125" style="42" customWidth="1"/>
    <col min="5688" max="5688" width="12.88671875" style="42" customWidth="1"/>
    <col min="5689" max="5690" width="13.21875" style="42" customWidth="1"/>
    <col min="5691" max="5691" width="10.88671875" style="42" customWidth="1"/>
    <col min="5692" max="5692" width="11.109375" style="42" customWidth="1"/>
    <col min="5693" max="5693" width="15.21875" style="42" customWidth="1"/>
    <col min="5694" max="5694" width="9.6640625" style="42"/>
    <col min="5695" max="5695" width="11" style="42" customWidth="1"/>
    <col min="5696" max="5696" width="10.77734375" style="42" customWidth="1"/>
    <col min="5697" max="5697" width="11.44140625" style="42" customWidth="1"/>
    <col min="5698" max="5698" width="4" style="42" customWidth="1"/>
    <col min="5699" max="5889" width="9.6640625" style="42"/>
    <col min="5890" max="5890" width="6.44140625" style="42" customWidth="1"/>
    <col min="5891" max="5891" width="13.88671875" style="42" customWidth="1"/>
    <col min="5892" max="5892" width="11.88671875" style="42" customWidth="1"/>
    <col min="5893" max="5895" width="9.6640625" style="42"/>
    <col min="5896" max="5896" width="15.44140625" style="42" customWidth="1"/>
    <col min="5897" max="5897" width="16.21875" style="42" customWidth="1"/>
    <col min="5898" max="5909" width="9.6640625" style="42"/>
    <col min="5910" max="5910" width="12" style="42" customWidth="1"/>
    <col min="5911" max="5911" width="12.77734375" style="42" customWidth="1"/>
    <col min="5912" max="5912" width="11.109375" style="42" customWidth="1"/>
    <col min="5913" max="5913" width="12" style="42" customWidth="1"/>
    <col min="5914" max="5914" width="9.6640625" style="42"/>
    <col min="5915" max="5915" width="15.33203125" style="42" customWidth="1"/>
    <col min="5916" max="5916" width="15.21875" style="42" customWidth="1"/>
    <col min="5917" max="5917" width="21.44140625" style="42" customWidth="1"/>
    <col min="5918" max="5933" width="9.6640625" style="42"/>
    <col min="5934" max="5935" width="13.44140625" style="42" customWidth="1"/>
    <col min="5936" max="5936" width="9.6640625" style="42"/>
    <col min="5937" max="5937" width="13.88671875" style="42" customWidth="1"/>
    <col min="5938" max="5938" width="10.6640625" style="42" customWidth="1"/>
    <col min="5939" max="5939" width="17.33203125" style="42" customWidth="1"/>
    <col min="5940" max="5941" width="12.6640625" style="42" customWidth="1"/>
    <col min="5942" max="5942" width="11.21875" style="42" customWidth="1"/>
    <col min="5943" max="5943" width="18.33203125" style="42" customWidth="1"/>
    <col min="5944" max="5944" width="12.88671875" style="42" customWidth="1"/>
    <col min="5945" max="5946" width="13.21875" style="42" customWidth="1"/>
    <col min="5947" max="5947" width="10.88671875" style="42" customWidth="1"/>
    <col min="5948" max="5948" width="11.109375" style="42" customWidth="1"/>
    <col min="5949" max="5949" width="15.21875" style="42" customWidth="1"/>
    <col min="5950" max="5950" width="9.6640625" style="42"/>
    <col min="5951" max="5951" width="11" style="42" customWidth="1"/>
    <col min="5952" max="5952" width="10.77734375" style="42" customWidth="1"/>
    <col min="5953" max="5953" width="11.44140625" style="42" customWidth="1"/>
    <col min="5954" max="5954" width="4" style="42" customWidth="1"/>
    <col min="5955" max="6145" width="9.6640625" style="42"/>
    <col min="6146" max="6146" width="6.44140625" style="42" customWidth="1"/>
    <col min="6147" max="6147" width="13.88671875" style="42" customWidth="1"/>
    <col min="6148" max="6148" width="11.88671875" style="42" customWidth="1"/>
    <col min="6149" max="6151" width="9.6640625" style="42"/>
    <col min="6152" max="6152" width="15.44140625" style="42" customWidth="1"/>
    <col min="6153" max="6153" width="16.21875" style="42" customWidth="1"/>
    <col min="6154" max="6165" width="9.6640625" style="42"/>
    <col min="6166" max="6166" width="12" style="42" customWidth="1"/>
    <col min="6167" max="6167" width="12.77734375" style="42" customWidth="1"/>
    <col min="6168" max="6168" width="11.109375" style="42" customWidth="1"/>
    <col min="6169" max="6169" width="12" style="42" customWidth="1"/>
    <col min="6170" max="6170" width="9.6640625" style="42"/>
    <col min="6171" max="6171" width="15.33203125" style="42" customWidth="1"/>
    <col min="6172" max="6172" width="15.21875" style="42" customWidth="1"/>
    <col min="6173" max="6173" width="21.44140625" style="42" customWidth="1"/>
    <col min="6174" max="6189" width="9.6640625" style="42"/>
    <col min="6190" max="6191" width="13.44140625" style="42" customWidth="1"/>
    <col min="6192" max="6192" width="9.6640625" style="42"/>
    <col min="6193" max="6193" width="13.88671875" style="42" customWidth="1"/>
    <col min="6194" max="6194" width="10.6640625" style="42" customWidth="1"/>
    <col min="6195" max="6195" width="17.33203125" style="42" customWidth="1"/>
    <col min="6196" max="6197" width="12.6640625" style="42" customWidth="1"/>
    <col min="6198" max="6198" width="11.21875" style="42" customWidth="1"/>
    <col min="6199" max="6199" width="18.33203125" style="42" customWidth="1"/>
    <col min="6200" max="6200" width="12.88671875" style="42" customWidth="1"/>
    <col min="6201" max="6202" width="13.21875" style="42" customWidth="1"/>
    <col min="6203" max="6203" width="10.88671875" style="42" customWidth="1"/>
    <col min="6204" max="6204" width="11.109375" style="42" customWidth="1"/>
    <col min="6205" max="6205" width="15.21875" style="42" customWidth="1"/>
    <col min="6206" max="6206" width="9.6640625" style="42"/>
    <col min="6207" max="6207" width="11" style="42" customWidth="1"/>
    <col min="6208" max="6208" width="10.77734375" style="42" customWidth="1"/>
    <col min="6209" max="6209" width="11.44140625" style="42" customWidth="1"/>
    <col min="6210" max="6210" width="4" style="42" customWidth="1"/>
    <col min="6211" max="6401" width="9.6640625" style="42"/>
    <col min="6402" max="6402" width="6.44140625" style="42" customWidth="1"/>
    <col min="6403" max="6403" width="13.88671875" style="42" customWidth="1"/>
    <col min="6404" max="6404" width="11.88671875" style="42" customWidth="1"/>
    <col min="6405" max="6407" width="9.6640625" style="42"/>
    <col min="6408" max="6408" width="15.44140625" style="42" customWidth="1"/>
    <col min="6409" max="6409" width="16.21875" style="42" customWidth="1"/>
    <col min="6410" max="6421" width="9.6640625" style="42"/>
    <col min="6422" max="6422" width="12" style="42" customWidth="1"/>
    <col min="6423" max="6423" width="12.77734375" style="42" customWidth="1"/>
    <col min="6424" max="6424" width="11.109375" style="42" customWidth="1"/>
    <col min="6425" max="6425" width="12" style="42" customWidth="1"/>
    <col min="6426" max="6426" width="9.6640625" style="42"/>
    <col min="6427" max="6427" width="15.33203125" style="42" customWidth="1"/>
    <col min="6428" max="6428" width="15.21875" style="42" customWidth="1"/>
    <col min="6429" max="6429" width="21.44140625" style="42" customWidth="1"/>
    <col min="6430" max="6445" width="9.6640625" style="42"/>
    <col min="6446" max="6447" width="13.44140625" style="42" customWidth="1"/>
    <col min="6448" max="6448" width="9.6640625" style="42"/>
    <col min="6449" max="6449" width="13.88671875" style="42" customWidth="1"/>
    <col min="6450" max="6450" width="10.6640625" style="42" customWidth="1"/>
    <col min="6451" max="6451" width="17.33203125" style="42" customWidth="1"/>
    <col min="6452" max="6453" width="12.6640625" style="42" customWidth="1"/>
    <col min="6454" max="6454" width="11.21875" style="42" customWidth="1"/>
    <col min="6455" max="6455" width="18.33203125" style="42" customWidth="1"/>
    <col min="6456" max="6456" width="12.88671875" style="42" customWidth="1"/>
    <col min="6457" max="6458" width="13.21875" style="42" customWidth="1"/>
    <col min="6459" max="6459" width="10.88671875" style="42" customWidth="1"/>
    <col min="6460" max="6460" width="11.109375" style="42" customWidth="1"/>
    <col min="6461" max="6461" width="15.21875" style="42" customWidth="1"/>
    <col min="6462" max="6462" width="9.6640625" style="42"/>
    <col min="6463" max="6463" width="11" style="42" customWidth="1"/>
    <col min="6464" max="6464" width="10.77734375" style="42" customWidth="1"/>
    <col min="6465" max="6465" width="11.44140625" style="42" customWidth="1"/>
    <col min="6466" max="6466" width="4" style="42" customWidth="1"/>
    <col min="6467" max="6657" width="9.6640625" style="42"/>
    <col min="6658" max="6658" width="6.44140625" style="42" customWidth="1"/>
    <col min="6659" max="6659" width="13.88671875" style="42" customWidth="1"/>
    <col min="6660" max="6660" width="11.88671875" style="42" customWidth="1"/>
    <col min="6661" max="6663" width="9.6640625" style="42"/>
    <col min="6664" max="6664" width="15.44140625" style="42" customWidth="1"/>
    <col min="6665" max="6665" width="16.21875" style="42" customWidth="1"/>
    <col min="6666" max="6677" width="9.6640625" style="42"/>
    <col min="6678" max="6678" width="12" style="42" customWidth="1"/>
    <col min="6679" max="6679" width="12.77734375" style="42" customWidth="1"/>
    <col min="6680" max="6680" width="11.109375" style="42" customWidth="1"/>
    <col min="6681" max="6681" width="12" style="42" customWidth="1"/>
    <col min="6682" max="6682" width="9.6640625" style="42"/>
    <col min="6683" max="6683" width="15.33203125" style="42" customWidth="1"/>
    <col min="6684" max="6684" width="15.21875" style="42" customWidth="1"/>
    <col min="6685" max="6685" width="21.44140625" style="42" customWidth="1"/>
    <col min="6686" max="6701" width="9.6640625" style="42"/>
    <col min="6702" max="6703" width="13.44140625" style="42" customWidth="1"/>
    <col min="6704" max="6704" width="9.6640625" style="42"/>
    <col min="6705" max="6705" width="13.88671875" style="42" customWidth="1"/>
    <col min="6706" max="6706" width="10.6640625" style="42" customWidth="1"/>
    <col min="6707" max="6707" width="17.33203125" style="42" customWidth="1"/>
    <col min="6708" max="6709" width="12.6640625" style="42" customWidth="1"/>
    <col min="6710" max="6710" width="11.21875" style="42" customWidth="1"/>
    <col min="6711" max="6711" width="18.33203125" style="42" customWidth="1"/>
    <col min="6712" max="6712" width="12.88671875" style="42" customWidth="1"/>
    <col min="6713" max="6714" width="13.21875" style="42" customWidth="1"/>
    <col min="6715" max="6715" width="10.88671875" style="42" customWidth="1"/>
    <col min="6716" max="6716" width="11.109375" style="42" customWidth="1"/>
    <col min="6717" max="6717" width="15.21875" style="42" customWidth="1"/>
    <col min="6718" max="6718" width="9.6640625" style="42"/>
    <col min="6719" max="6719" width="11" style="42" customWidth="1"/>
    <col min="6720" max="6720" width="10.77734375" style="42" customWidth="1"/>
    <col min="6721" max="6721" width="11.44140625" style="42" customWidth="1"/>
    <col min="6722" max="6722" width="4" style="42" customWidth="1"/>
    <col min="6723" max="6913" width="9.6640625" style="42"/>
    <col min="6914" max="6914" width="6.44140625" style="42" customWidth="1"/>
    <col min="6915" max="6915" width="13.88671875" style="42" customWidth="1"/>
    <col min="6916" max="6916" width="11.88671875" style="42" customWidth="1"/>
    <col min="6917" max="6919" width="9.6640625" style="42"/>
    <col min="6920" max="6920" width="15.44140625" style="42" customWidth="1"/>
    <col min="6921" max="6921" width="16.21875" style="42" customWidth="1"/>
    <col min="6922" max="6933" width="9.6640625" style="42"/>
    <col min="6934" max="6934" width="12" style="42" customWidth="1"/>
    <col min="6935" max="6935" width="12.77734375" style="42" customWidth="1"/>
    <col min="6936" max="6936" width="11.109375" style="42" customWidth="1"/>
    <col min="6937" max="6937" width="12" style="42" customWidth="1"/>
    <col min="6938" max="6938" width="9.6640625" style="42"/>
    <col min="6939" max="6939" width="15.33203125" style="42" customWidth="1"/>
    <col min="6940" max="6940" width="15.21875" style="42" customWidth="1"/>
    <col min="6941" max="6941" width="21.44140625" style="42" customWidth="1"/>
    <col min="6942" max="6957" width="9.6640625" style="42"/>
    <col min="6958" max="6959" width="13.44140625" style="42" customWidth="1"/>
    <col min="6960" max="6960" width="9.6640625" style="42"/>
    <col min="6961" max="6961" width="13.88671875" style="42" customWidth="1"/>
    <col min="6962" max="6962" width="10.6640625" style="42" customWidth="1"/>
    <col min="6963" max="6963" width="17.33203125" style="42" customWidth="1"/>
    <col min="6964" max="6965" width="12.6640625" style="42" customWidth="1"/>
    <col min="6966" max="6966" width="11.21875" style="42" customWidth="1"/>
    <col min="6967" max="6967" width="18.33203125" style="42" customWidth="1"/>
    <col min="6968" max="6968" width="12.88671875" style="42" customWidth="1"/>
    <col min="6969" max="6970" width="13.21875" style="42" customWidth="1"/>
    <col min="6971" max="6971" width="10.88671875" style="42" customWidth="1"/>
    <col min="6972" max="6972" width="11.109375" style="42" customWidth="1"/>
    <col min="6973" max="6973" width="15.21875" style="42" customWidth="1"/>
    <col min="6974" max="6974" width="9.6640625" style="42"/>
    <col min="6975" max="6975" width="11" style="42" customWidth="1"/>
    <col min="6976" max="6976" width="10.77734375" style="42" customWidth="1"/>
    <col min="6977" max="6977" width="11.44140625" style="42" customWidth="1"/>
    <col min="6978" max="6978" width="4" style="42" customWidth="1"/>
    <col min="6979" max="7169" width="9.6640625" style="42"/>
    <col min="7170" max="7170" width="6.44140625" style="42" customWidth="1"/>
    <col min="7171" max="7171" width="13.88671875" style="42" customWidth="1"/>
    <col min="7172" max="7172" width="11.88671875" style="42" customWidth="1"/>
    <col min="7173" max="7175" width="9.6640625" style="42"/>
    <col min="7176" max="7176" width="15.44140625" style="42" customWidth="1"/>
    <col min="7177" max="7177" width="16.21875" style="42" customWidth="1"/>
    <col min="7178" max="7189" width="9.6640625" style="42"/>
    <col min="7190" max="7190" width="12" style="42" customWidth="1"/>
    <col min="7191" max="7191" width="12.77734375" style="42" customWidth="1"/>
    <col min="7192" max="7192" width="11.109375" style="42" customWidth="1"/>
    <col min="7193" max="7193" width="12" style="42" customWidth="1"/>
    <col min="7194" max="7194" width="9.6640625" style="42"/>
    <col min="7195" max="7195" width="15.33203125" style="42" customWidth="1"/>
    <col min="7196" max="7196" width="15.21875" style="42" customWidth="1"/>
    <col min="7197" max="7197" width="21.44140625" style="42" customWidth="1"/>
    <col min="7198" max="7213" width="9.6640625" style="42"/>
    <col min="7214" max="7215" width="13.44140625" style="42" customWidth="1"/>
    <col min="7216" max="7216" width="9.6640625" style="42"/>
    <col min="7217" max="7217" width="13.88671875" style="42" customWidth="1"/>
    <col min="7218" max="7218" width="10.6640625" style="42" customWidth="1"/>
    <col min="7219" max="7219" width="17.33203125" style="42" customWidth="1"/>
    <col min="7220" max="7221" width="12.6640625" style="42" customWidth="1"/>
    <col min="7222" max="7222" width="11.21875" style="42" customWidth="1"/>
    <col min="7223" max="7223" width="18.33203125" style="42" customWidth="1"/>
    <col min="7224" max="7224" width="12.88671875" style="42" customWidth="1"/>
    <col min="7225" max="7226" width="13.21875" style="42" customWidth="1"/>
    <col min="7227" max="7227" width="10.88671875" style="42" customWidth="1"/>
    <col min="7228" max="7228" width="11.109375" style="42" customWidth="1"/>
    <col min="7229" max="7229" width="15.21875" style="42" customWidth="1"/>
    <col min="7230" max="7230" width="9.6640625" style="42"/>
    <col min="7231" max="7231" width="11" style="42" customWidth="1"/>
    <col min="7232" max="7232" width="10.77734375" style="42" customWidth="1"/>
    <col min="7233" max="7233" width="11.44140625" style="42" customWidth="1"/>
    <col min="7234" max="7234" width="4" style="42" customWidth="1"/>
    <col min="7235" max="7425" width="9.6640625" style="42"/>
    <col min="7426" max="7426" width="6.44140625" style="42" customWidth="1"/>
    <col min="7427" max="7427" width="13.88671875" style="42" customWidth="1"/>
    <col min="7428" max="7428" width="11.88671875" style="42" customWidth="1"/>
    <col min="7429" max="7431" width="9.6640625" style="42"/>
    <col min="7432" max="7432" width="15.44140625" style="42" customWidth="1"/>
    <col min="7433" max="7433" width="16.21875" style="42" customWidth="1"/>
    <col min="7434" max="7445" width="9.6640625" style="42"/>
    <col min="7446" max="7446" width="12" style="42" customWidth="1"/>
    <col min="7447" max="7447" width="12.77734375" style="42" customWidth="1"/>
    <col min="7448" max="7448" width="11.109375" style="42" customWidth="1"/>
    <col min="7449" max="7449" width="12" style="42" customWidth="1"/>
    <col min="7450" max="7450" width="9.6640625" style="42"/>
    <col min="7451" max="7451" width="15.33203125" style="42" customWidth="1"/>
    <col min="7452" max="7452" width="15.21875" style="42" customWidth="1"/>
    <col min="7453" max="7453" width="21.44140625" style="42" customWidth="1"/>
    <col min="7454" max="7469" width="9.6640625" style="42"/>
    <col min="7470" max="7471" width="13.44140625" style="42" customWidth="1"/>
    <col min="7472" max="7472" width="9.6640625" style="42"/>
    <col min="7473" max="7473" width="13.88671875" style="42" customWidth="1"/>
    <col min="7474" max="7474" width="10.6640625" style="42" customWidth="1"/>
    <col min="7475" max="7475" width="17.33203125" style="42" customWidth="1"/>
    <col min="7476" max="7477" width="12.6640625" style="42" customWidth="1"/>
    <col min="7478" max="7478" width="11.21875" style="42" customWidth="1"/>
    <col min="7479" max="7479" width="18.33203125" style="42" customWidth="1"/>
    <col min="7480" max="7480" width="12.88671875" style="42" customWidth="1"/>
    <col min="7481" max="7482" width="13.21875" style="42" customWidth="1"/>
    <col min="7483" max="7483" width="10.88671875" style="42" customWidth="1"/>
    <col min="7484" max="7484" width="11.109375" style="42" customWidth="1"/>
    <col min="7485" max="7485" width="15.21875" style="42" customWidth="1"/>
    <col min="7486" max="7486" width="9.6640625" style="42"/>
    <col min="7487" max="7487" width="11" style="42" customWidth="1"/>
    <col min="7488" max="7488" width="10.77734375" style="42" customWidth="1"/>
    <col min="7489" max="7489" width="11.44140625" style="42" customWidth="1"/>
    <col min="7490" max="7490" width="4" style="42" customWidth="1"/>
    <col min="7491" max="7681" width="9.6640625" style="42"/>
    <col min="7682" max="7682" width="6.44140625" style="42" customWidth="1"/>
    <col min="7683" max="7683" width="13.88671875" style="42" customWidth="1"/>
    <col min="7684" max="7684" width="11.88671875" style="42" customWidth="1"/>
    <col min="7685" max="7687" width="9.6640625" style="42"/>
    <col min="7688" max="7688" width="15.44140625" style="42" customWidth="1"/>
    <col min="7689" max="7689" width="16.21875" style="42" customWidth="1"/>
    <col min="7690" max="7701" width="9.6640625" style="42"/>
    <col min="7702" max="7702" width="12" style="42" customWidth="1"/>
    <col min="7703" max="7703" width="12.77734375" style="42" customWidth="1"/>
    <col min="7704" max="7704" width="11.109375" style="42" customWidth="1"/>
    <col min="7705" max="7705" width="12" style="42" customWidth="1"/>
    <col min="7706" max="7706" width="9.6640625" style="42"/>
    <col min="7707" max="7707" width="15.33203125" style="42" customWidth="1"/>
    <col min="7708" max="7708" width="15.21875" style="42" customWidth="1"/>
    <col min="7709" max="7709" width="21.44140625" style="42" customWidth="1"/>
    <col min="7710" max="7725" width="9.6640625" style="42"/>
    <col min="7726" max="7727" width="13.44140625" style="42" customWidth="1"/>
    <col min="7728" max="7728" width="9.6640625" style="42"/>
    <col min="7729" max="7729" width="13.88671875" style="42" customWidth="1"/>
    <col min="7730" max="7730" width="10.6640625" style="42" customWidth="1"/>
    <col min="7731" max="7731" width="17.33203125" style="42" customWidth="1"/>
    <col min="7732" max="7733" width="12.6640625" style="42" customWidth="1"/>
    <col min="7734" max="7734" width="11.21875" style="42" customWidth="1"/>
    <col min="7735" max="7735" width="18.33203125" style="42" customWidth="1"/>
    <col min="7736" max="7736" width="12.88671875" style="42" customWidth="1"/>
    <col min="7737" max="7738" width="13.21875" style="42" customWidth="1"/>
    <col min="7739" max="7739" width="10.88671875" style="42" customWidth="1"/>
    <col min="7740" max="7740" width="11.109375" style="42" customWidth="1"/>
    <col min="7741" max="7741" width="15.21875" style="42" customWidth="1"/>
    <col min="7742" max="7742" width="9.6640625" style="42"/>
    <col min="7743" max="7743" width="11" style="42" customWidth="1"/>
    <col min="7744" max="7744" width="10.77734375" style="42" customWidth="1"/>
    <col min="7745" max="7745" width="11.44140625" style="42" customWidth="1"/>
    <col min="7746" max="7746" width="4" style="42" customWidth="1"/>
    <col min="7747" max="7937" width="9.6640625" style="42"/>
    <col min="7938" max="7938" width="6.44140625" style="42" customWidth="1"/>
    <col min="7939" max="7939" width="13.88671875" style="42" customWidth="1"/>
    <col min="7940" max="7940" width="11.88671875" style="42" customWidth="1"/>
    <col min="7941" max="7943" width="9.6640625" style="42"/>
    <col min="7944" max="7944" width="15.44140625" style="42" customWidth="1"/>
    <col min="7945" max="7945" width="16.21875" style="42" customWidth="1"/>
    <col min="7946" max="7957" width="9.6640625" style="42"/>
    <col min="7958" max="7958" width="12" style="42" customWidth="1"/>
    <col min="7959" max="7959" width="12.77734375" style="42" customWidth="1"/>
    <col min="7960" max="7960" width="11.109375" style="42" customWidth="1"/>
    <col min="7961" max="7961" width="12" style="42" customWidth="1"/>
    <col min="7962" max="7962" width="9.6640625" style="42"/>
    <col min="7963" max="7963" width="15.33203125" style="42" customWidth="1"/>
    <col min="7964" max="7964" width="15.21875" style="42" customWidth="1"/>
    <col min="7965" max="7965" width="21.44140625" style="42" customWidth="1"/>
    <col min="7966" max="7981" width="9.6640625" style="42"/>
    <col min="7982" max="7983" width="13.44140625" style="42" customWidth="1"/>
    <col min="7984" max="7984" width="9.6640625" style="42"/>
    <col min="7985" max="7985" width="13.88671875" style="42" customWidth="1"/>
    <col min="7986" max="7986" width="10.6640625" style="42" customWidth="1"/>
    <col min="7987" max="7987" width="17.33203125" style="42" customWidth="1"/>
    <col min="7988" max="7989" width="12.6640625" style="42" customWidth="1"/>
    <col min="7990" max="7990" width="11.21875" style="42" customWidth="1"/>
    <col min="7991" max="7991" width="18.33203125" style="42" customWidth="1"/>
    <col min="7992" max="7992" width="12.88671875" style="42" customWidth="1"/>
    <col min="7993" max="7994" width="13.21875" style="42" customWidth="1"/>
    <col min="7995" max="7995" width="10.88671875" style="42" customWidth="1"/>
    <col min="7996" max="7996" width="11.109375" style="42" customWidth="1"/>
    <col min="7997" max="7997" width="15.21875" style="42" customWidth="1"/>
    <col min="7998" max="7998" width="9.6640625" style="42"/>
    <col min="7999" max="7999" width="11" style="42" customWidth="1"/>
    <col min="8000" max="8000" width="10.77734375" style="42" customWidth="1"/>
    <col min="8001" max="8001" width="11.44140625" style="42" customWidth="1"/>
    <col min="8002" max="8002" width="4" style="42" customWidth="1"/>
    <col min="8003" max="8193" width="9.6640625" style="42"/>
    <col min="8194" max="8194" width="6.44140625" style="42" customWidth="1"/>
    <col min="8195" max="8195" width="13.88671875" style="42" customWidth="1"/>
    <col min="8196" max="8196" width="11.88671875" style="42" customWidth="1"/>
    <col min="8197" max="8199" width="9.6640625" style="42"/>
    <col min="8200" max="8200" width="15.44140625" style="42" customWidth="1"/>
    <col min="8201" max="8201" width="16.21875" style="42" customWidth="1"/>
    <col min="8202" max="8213" width="9.6640625" style="42"/>
    <col min="8214" max="8214" width="12" style="42" customWidth="1"/>
    <col min="8215" max="8215" width="12.77734375" style="42" customWidth="1"/>
    <col min="8216" max="8216" width="11.109375" style="42" customWidth="1"/>
    <col min="8217" max="8217" width="12" style="42" customWidth="1"/>
    <col min="8218" max="8218" width="9.6640625" style="42"/>
    <col min="8219" max="8219" width="15.33203125" style="42" customWidth="1"/>
    <col min="8220" max="8220" width="15.21875" style="42" customWidth="1"/>
    <col min="8221" max="8221" width="21.44140625" style="42" customWidth="1"/>
    <col min="8222" max="8237" width="9.6640625" style="42"/>
    <col min="8238" max="8239" width="13.44140625" style="42" customWidth="1"/>
    <col min="8240" max="8240" width="9.6640625" style="42"/>
    <col min="8241" max="8241" width="13.88671875" style="42" customWidth="1"/>
    <col min="8242" max="8242" width="10.6640625" style="42" customWidth="1"/>
    <col min="8243" max="8243" width="17.33203125" style="42" customWidth="1"/>
    <col min="8244" max="8245" width="12.6640625" style="42" customWidth="1"/>
    <col min="8246" max="8246" width="11.21875" style="42" customWidth="1"/>
    <col min="8247" max="8247" width="18.33203125" style="42" customWidth="1"/>
    <col min="8248" max="8248" width="12.88671875" style="42" customWidth="1"/>
    <col min="8249" max="8250" width="13.21875" style="42" customWidth="1"/>
    <col min="8251" max="8251" width="10.88671875" style="42" customWidth="1"/>
    <col min="8252" max="8252" width="11.109375" style="42" customWidth="1"/>
    <col min="8253" max="8253" width="15.21875" style="42" customWidth="1"/>
    <col min="8254" max="8254" width="9.6640625" style="42"/>
    <col min="8255" max="8255" width="11" style="42" customWidth="1"/>
    <col min="8256" max="8256" width="10.77734375" style="42" customWidth="1"/>
    <col min="8257" max="8257" width="11.44140625" style="42" customWidth="1"/>
    <col min="8258" max="8258" width="4" style="42" customWidth="1"/>
    <col min="8259" max="8449" width="9.6640625" style="42"/>
    <col min="8450" max="8450" width="6.44140625" style="42" customWidth="1"/>
    <col min="8451" max="8451" width="13.88671875" style="42" customWidth="1"/>
    <col min="8452" max="8452" width="11.88671875" style="42" customWidth="1"/>
    <col min="8453" max="8455" width="9.6640625" style="42"/>
    <col min="8456" max="8456" width="15.44140625" style="42" customWidth="1"/>
    <col min="8457" max="8457" width="16.21875" style="42" customWidth="1"/>
    <col min="8458" max="8469" width="9.6640625" style="42"/>
    <col min="8470" max="8470" width="12" style="42" customWidth="1"/>
    <col min="8471" max="8471" width="12.77734375" style="42" customWidth="1"/>
    <col min="8472" max="8472" width="11.109375" style="42" customWidth="1"/>
    <col min="8473" max="8473" width="12" style="42" customWidth="1"/>
    <col min="8474" max="8474" width="9.6640625" style="42"/>
    <col min="8475" max="8475" width="15.33203125" style="42" customWidth="1"/>
    <col min="8476" max="8476" width="15.21875" style="42" customWidth="1"/>
    <col min="8477" max="8477" width="21.44140625" style="42" customWidth="1"/>
    <col min="8478" max="8493" width="9.6640625" style="42"/>
    <col min="8494" max="8495" width="13.44140625" style="42" customWidth="1"/>
    <col min="8496" max="8496" width="9.6640625" style="42"/>
    <col min="8497" max="8497" width="13.88671875" style="42" customWidth="1"/>
    <col min="8498" max="8498" width="10.6640625" style="42" customWidth="1"/>
    <col min="8499" max="8499" width="17.33203125" style="42" customWidth="1"/>
    <col min="8500" max="8501" width="12.6640625" style="42" customWidth="1"/>
    <col min="8502" max="8502" width="11.21875" style="42" customWidth="1"/>
    <col min="8503" max="8503" width="18.33203125" style="42" customWidth="1"/>
    <col min="8504" max="8504" width="12.88671875" style="42" customWidth="1"/>
    <col min="8505" max="8506" width="13.21875" style="42" customWidth="1"/>
    <col min="8507" max="8507" width="10.88671875" style="42" customWidth="1"/>
    <col min="8508" max="8508" width="11.109375" style="42" customWidth="1"/>
    <col min="8509" max="8509" width="15.21875" style="42" customWidth="1"/>
    <col min="8510" max="8510" width="9.6640625" style="42"/>
    <col min="8511" max="8511" width="11" style="42" customWidth="1"/>
    <col min="8512" max="8512" width="10.77734375" style="42" customWidth="1"/>
    <col min="8513" max="8513" width="11.44140625" style="42" customWidth="1"/>
    <col min="8514" max="8514" width="4" style="42" customWidth="1"/>
    <col min="8515" max="8705" width="9.6640625" style="42"/>
    <col min="8706" max="8706" width="6.44140625" style="42" customWidth="1"/>
    <col min="8707" max="8707" width="13.88671875" style="42" customWidth="1"/>
    <col min="8708" max="8708" width="11.88671875" style="42" customWidth="1"/>
    <col min="8709" max="8711" width="9.6640625" style="42"/>
    <col min="8712" max="8712" width="15.44140625" style="42" customWidth="1"/>
    <col min="8713" max="8713" width="16.21875" style="42" customWidth="1"/>
    <col min="8714" max="8725" width="9.6640625" style="42"/>
    <col min="8726" max="8726" width="12" style="42" customWidth="1"/>
    <col min="8727" max="8727" width="12.77734375" style="42" customWidth="1"/>
    <col min="8728" max="8728" width="11.109375" style="42" customWidth="1"/>
    <col min="8729" max="8729" width="12" style="42" customWidth="1"/>
    <col min="8730" max="8730" width="9.6640625" style="42"/>
    <col min="8731" max="8731" width="15.33203125" style="42" customWidth="1"/>
    <col min="8732" max="8732" width="15.21875" style="42" customWidth="1"/>
    <col min="8733" max="8733" width="21.44140625" style="42" customWidth="1"/>
    <col min="8734" max="8749" width="9.6640625" style="42"/>
    <col min="8750" max="8751" width="13.44140625" style="42" customWidth="1"/>
    <col min="8752" max="8752" width="9.6640625" style="42"/>
    <col min="8753" max="8753" width="13.88671875" style="42" customWidth="1"/>
    <col min="8754" max="8754" width="10.6640625" style="42" customWidth="1"/>
    <col min="8755" max="8755" width="17.33203125" style="42" customWidth="1"/>
    <col min="8756" max="8757" width="12.6640625" style="42" customWidth="1"/>
    <col min="8758" max="8758" width="11.21875" style="42" customWidth="1"/>
    <col min="8759" max="8759" width="18.33203125" style="42" customWidth="1"/>
    <col min="8760" max="8760" width="12.88671875" style="42" customWidth="1"/>
    <col min="8761" max="8762" width="13.21875" style="42" customWidth="1"/>
    <col min="8763" max="8763" width="10.88671875" style="42" customWidth="1"/>
    <col min="8764" max="8764" width="11.109375" style="42" customWidth="1"/>
    <col min="8765" max="8765" width="15.21875" style="42" customWidth="1"/>
    <col min="8766" max="8766" width="9.6640625" style="42"/>
    <col min="8767" max="8767" width="11" style="42" customWidth="1"/>
    <col min="8768" max="8768" width="10.77734375" style="42" customWidth="1"/>
    <col min="8769" max="8769" width="11.44140625" style="42" customWidth="1"/>
    <col min="8770" max="8770" width="4" style="42" customWidth="1"/>
    <col min="8771" max="8961" width="9.6640625" style="42"/>
    <col min="8962" max="8962" width="6.44140625" style="42" customWidth="1"/>
    <col min="8963" max="8963" width="13.88671875" style="42" customWidth="1"/>
    <col min="8964" max="8964" width="11.88671875" style="42" customWidth="1"/>
    <col min="8965" max="8967" width="9.6640625" style="42"/>
    <col min="8968" max="8968" width="15.44140625" style="42" customWidth="1"/>
    <col min="8969" max="8969" width="16.21875" style="42" customWidth="1"/>
    <col min="8970" max="8981" width="9.6640625" style="42"/>
    <col min="8982" max="8982" width="12" style="42" customWidth="1"/>
    <col min="8983" max="8983" width="12.77734375" style="42" customWidth="1"/>
    <col min="8984" max="8984" width="11.109375" style="42" customWidth="1"/>
    <col min="8985" max="8985" width="12" style="42" customWidth="1"/>
    <col min="8986" max="8986" width="9.6640625" style="42"/>
    <col min="8987" max="8987" width="15.33203125" style="42" customWidth="1"/>
    <col min="8988" max="8988" width="15.21875" style="42" customWidth="1"/>
    <col min="8989" max="8989" width="21.44140625" style="42" customWidth="1"/>
    <col min="8990" max="9005" width="9.6640625" style="42"/>
    <col min="9006" max="9007" width="13.44140625" style="42" customWidth="1"/>
    <col min="9008" max="9008" width="9.6640625" style="42"/>
    <col min="9009" max="9009" width="13.88671875" style="42" customWidth="1"/>
    <col min="9010" max="9010" width="10.6640625" style="42" customWidth="1"/>
    <col min="9011" max="9011" width="17.33203125" style="42" customWidth="1"/>
    <col min="9012" max="9013" width="12.6640625" style="42" customWidth="1"/>
    <col min="9014" max="9014" width="11.21875" style="42" customWidth="1"/>
    <col min="9015" max="9015" width="18.33203125" style="42" customWidth="1"/>
    <col min="9016" max="9016" width="12.88671875" style="42" customWidth="1"/>
    <col min="9017" max="9018" width="13.21875" style="42" customWidth="1"/>
    <col min="9019" max="9019" width="10.88671875" style="42" customWidth="1"/>
    <col min="9020" max="9020" width="11.109375" style="42" customWidth="1"/>
    <col min="9021" max="9021" width="15.21875" style="42" customWidth="1"/>
    <col min="9022" max="9022" width="9.6640625" style="42"/>
    <col min="9023" max="9023" width="11" style="42" customWidth="1"/>
    <col min="9024" max="9024" width="10.77734375" style="42" customWidth="1"/>
    <col min="9025" max="9025" width="11.44140625" style="42" customWidth="1"/>
    <col min="9026" max="9026" width="4" style="42" customWidth="1"/>
    <col min="9027" max="9217" width="9.6640625" style="42"/>
    <col min="9218" max="9218" width="6.44140625" style="42" customWidth="1"/>
    <col min="9219" max="9219" width="13.88671875" style="42" customWidth="1"/>
    <col min="9220" max="9220" width="11.88671875" style="42" customWidth="1"/>
    <col min="9221" max="9223" width="9.6640625" style="42"/>
    <col min="9224" max="9224" width="15.44140625" style="42" customWidth="1"/>
    <col min="9225" max="9225" width="16.21875" style="42" customWidth="1"/>
    <col min="9226" max="9237" width="9.6640625" style="42"/>
    <col min="9238" max="9238" width="12" style="42" customWidth="1"/>
    <col min="9239" max="9239" width="12.77734375" style="42" customWidth="1"/>
    <col min="9240" max="9240" width="11.109375" style="42" customWidth="1"/>
    <col min="9241" max="9241" width="12" style="42" customWidth="1"/>
    <col min="9242" max="9242" width="9.6640625" style="42"/>
    <col min="9243" max="9243" width="15.33203125" style="42" customWidth="1"/>
    <col min="9244" max="9244" width="15.21875" style="42" customWidth="1"/>
    <col min="9245" max="9245" width="21.44140625" style="42" customWidth="1"/>
    <col min="9246" max="9261" width="9.6640625" style="42"/>
    <col min="9262" max="9263" width="13.44140625" style="42" customWidth="1"/>
    <col min="9264" max="9264" width="9.6640625" style="42"/>
    <col min="9265" max="9265" width="13.88671875" style="42" customWidth="1"/>
    <col min="9266" max="9266" width="10.6640625" style="42" customWidth="1"/>
    <col min="9267" max="9267" width="17.33203125" style="42" customWidth="1"/>
    <col min="9268" max="9269" width="12.6640625" style="42" customWidth="1"/>
    <col min="9270" max="9270" width="11.21875" style="42" customWidth="1"/>
    <col min="9271" max="9271" width="18.33203125" style="42" customWidth="1"/>
    <col min="9272" max="9272" width="12.88671875" style="42" customWidth="1"/>
    <col min="9273" max="9274" width="13.21875" style="42" customWidth="1"/>
    <col min="9275" max="9275" width="10.88671875" style="42" customWidth="1"/>
    <col min="9276" max="9276" width="11.109375" style="42" customWidth="1"/>
    <col min="9277" max="9277" width="15.21875" style="42" customWidth="1"/>
    <col min="9278" max="9278" width="9.6640625" style="42"/>
    <col min="9279" max="9279" width="11" style="42" customWidth="1"/>
    <col min="9280" max="9280" width="10.77734375" style="42" customWidth="1"/>
    <col min="9281" max="9281" width="11.44140625" style="42" customWidth="1"/>
    <col min="9282" max="9282" width="4" style="42" customWidth="1"/>
    <col min="9283" max="9473" width="9.6640625" style="42"/>
    <col min="9474" max="9474" width="6.44140625" style="42" customWidth="1"/>
    <col min="9475" max="9475" width="13.88671875" style="42" customWidth="1"/>
    <col min="9476" max="9476" width="11.88671875" style="42" customWidth="1"/>
    <col min="9477" max="9479" width="9.6640625" style="42"/>
    <col min="9480" max="9480" width="15.44140625" style="42" customWidth="1"/>
    <col min="9481" max="9481" width="16.21875" style="42" customWidth="1"/>
    <col min="9482" max="9493" width="9.6640625" style="42"/>
    <col min="9494" max="9494" width="12" style="42" customWidth="1"/>
    <col min="9495" max="9495" width="12.77734375" style="42" customWidth="1"/>
    <col min="9496" max="9496" width="11.109375" style="42" customWidth="1"/>
    <col min="9497" max="9497" width="12" style="42" customWidth="1"/>
    <col min="9498" max="9498" width="9.6640625" style="42"/>
    <col min="9499" max="9499" width="15.33203125" style="42" customWidth="1"/>
    <col min="9500" max="9500" width="15.21875" style="42" customWidth="1"/>
    <col min="9501" max="9501" width="21.44140625" style="42" customWidth="1"/>
    <col min="9502" max="9517" width="9.6640625" style="42"/>
    <col min="9518" max="9519" width="13.44140625" style="42" customWidth="1"/>
    <col min="9520" max="9520" width="9.6640625" style="42"/>
    <col min="9521" max="9521" width="13.88671875" style="42" customWidth="1"/>
    <col min="9522" max="9522" width="10.6640625" style="42" customWidth="1"/>
    <col min="9523" max="9523" width="17.33203125" style="42" customWidth="1"/>
    <col min="9524" max="9525" width="12.6640625" style="42" customWidth="1"/>
    <col min="9526" max="9526" width="11.21875" style="42" customWidth="1"/>
    <col min="9527" max="9527" width="18.33203125" style="42" customWidth="1"/>
    <col min="9528" max="9528" width="12.88671875" style="42" customWidth="1"/>
    <col min="9529" max="9530" width="13.21875" style="42" customWidth="1"/>
    <col min="9531" max="9531" width="10.88671875" style="42" customWidth="1"/>
    <col min="9532" max="9532" width="11.109375" style="42" customWidth="1"/>
    <col min="9533" max="9533" width="15.21875" style="42" customWidth="1"/>
    <col min="9534" max="9534" width="9.6640625" style="42"/>
    <col min="9535" max="9535" width="11" style="42" customWidth="1"/>
    <col min="9536" max="9536" width="10.77734375" style="42" customWidth="1"/>
    <col min="9537" max="9537" width="11.44140625" style="42" customWidth="1"/>
    <col min="9538" max="9538" width="4" style="42" customWidth="1"/>
    <col min="9539" max="9729" width="9.6640625" style="42"/>
    <col min="9730" max="9730" width="6.44140625" style="42" customWidth="1"/>
    <col min="9731" max="9731" width="13.88671875" style="42" customWidth="1"/>
    <col min="9732" max="9732" width="11.88671875" style="42" customWidth="1"/>
    <col min="9733" max="9735" width="9.6640625" style="42"/>
    <col min="9736" max="9736" width="15.44140625" style="42" customWidth="1"/>
    <col min="9737" max="9737" width="16.21875" style="42" customWidth="1"/>
    <col min="9738" max="9749" width="9.6640625" style="42"/>
    <col min="9750" max="9750" width="12" style="42" customWidth="1"/>
    <col min="9751" max="9751" width="12.77734375" style="42" customWidth="1"/>
    <col min="9752" max="9752" width="11.109375" style="42" customWidth="1"/>
    <col min="9753" max="9753" width="12" style="42" customWidth="1"/>
    <col min="9754" max="9754" width="9.6640625" style="42"/>
    <col min="9755" max="9755" width="15.33203125" style="42" customWidth="1"/>
    <col min="9756" max="9756" width="15.21875" style="42" customWidth="1"/>
    <col min="9757" max="9757" width="21.44140625" style="42" customWidth="1"/>
    <col min="9758" max="9773" width="9.6640625" style="42"/>
    <col min="9774" max="9775" width="13.44140625" style="42" customWidth="1"/>
    <col min="9776" max="9776" width="9.6640625" style="42"/>
    <col min="9777" max="9777" width="13.88671875" style="42" customWidth="1"/>
    <col min="9778" max="9778" width="10.6640625" style="42" customWidth="1"/>
    <col min="9779" max="9779" width="17.33203125" style="42" customWidth="1"/>
    <col min="9780" max="9781" width="12.6640625" style="42" customWidth="1"/>
    <col min="9782" max="9782" width="11.21875" style="42" customWidth="1"/>
    <col min="9783" max="9783" width="18.33203125" style="42" customWidth="1"/>
    <col min="9784" max="9784" width="12.88671875" style="42" customWidth="1"/>
    <col min="9785" max="9786" width="13.21875" style="42" customWidth="1"/>
    <col min="9787" max="9787" width="10.88671875" style="42" customWidth="1"/>
    <col min="9788" max="9788" width="11.109375" style="42" customWidth="1"/>
    <col min="9789" max="9789" width="15.21875" style="42" customWidth="1"/>
    <col min="9790" max="9790" width="9.6640625" style="42"/>
    <col min="9791" max="9791" width="11" style="42" customWidth="1"/>
    <col min="9792" max="9792" width="10.77734375" style="42" customWidth="1"/>
    <col min="9793" max="9793" width="11.44140625" style="42" customWidth="1"/>
    <col min="9794" max="9794" width="4" style="42" customWidth="1"/>
    <col min="9795" max="9985" width="9.6640625" style="42"/>
    <col min="9986" max="9986" width="6.44140625" style="42" customWidth="1"/>
    <col min="9987" max="9987" width="13.88671875" style="42" customWidth="1"/>
    <col min="9988" max="9988" width="11.88671875" style="42" customWidth="1"/>
    <col min="9989" max="9991" width="9.6640625" style="42"/>
    <col min="9992" max="9992" width="15.44140625" style="42" customWidth="1"/>
    <col min="9993" max="9993" width="16.21875" style="42" customWidth="1"/>
    <col min="9994" max="10005" width="9.6640625" style="42"/>
    <col min="10006" max="10006" width="12" style="42" customWidth="1"/>
    <col min="10007" max="10007" width="12.77734375" style="42" customWidth="1"/>
    <col min="10008" max="10008" width="11.109375" style="42" customWidth="1"/>
    <col min="10009" max="10009" width="12" style="42" customWidth="1"/>
    <col min="10010" max="10010" width="9.6640625" style="42"/>
    <col min="10011" max="10011" width="15.33203125" style="42" customWidth="1"/>
    <col min="10012" max="10012" width="15.21875" style="42" customWidth="1"/>
    <col min="10013" max="10013" width="21.44140625" style="42" customWidth="1"/>
    <col min="10014" max="10029" width="9.6640625" style="42"/>
    <col min="10030" max="10031" width="13.44140625" style="42" customWidth="1"/>
    <col min="10032" max="10032" width="9.6640625" style="42"/>
    <col min="10033" max="10033" width="13.88671875" style="42" customWidth="1"/>
    <col min="10034" max="10034" width="10.6640625" style="42" customWidth="1"/>
    <col min="10035" max="10035" width="17.33203125" style="42" customWidth="1"/>
    <col min="10036" max="10037" width="12.6640625" style="42" customWidth="1"/>
    <col min="10038" max="10038" width="11.21875" style="42" customWidth="1"/>
    <col min="10039" max="10039" width="18.33203125" style="42" customWidth="1"/>
    <col min="10040" max="10040" width="12.88671875" style="42" customWidth="1"/>
    <col min="10041" max="10042" width="13.21875" style="42" customWidth="1"/>
    <col min="10043" max="10043" width="10.88671875" style="42" customWidth="1"/>
    <col min="10044" max="10044" width="11.109375" style="42" customWidth="1"/>
    <col min="10045" max="10045" width="15.21875" style="42" customWidth="1"/>
    <col min="10046" max="10046" width="9.6640625" style="42"/>
    <col min="10047" max="10047" width="11" style="42" customWidth="1"/>
    <col min="10048" max="10048" width="10.77734375" style="42" customWidth="1"/>
    <col min="10049" max="10049" width="11.44140625" style="42" customWidth="1"/>
    <col min="10050" max="10050" width="4" style="42" customWidth="1"/>
    <col min="10051" max="10241" width="9.6640625" style="42"/>
    <col min="10242" max="10242" width="6.44140625" style="42" customWidth="1"/>
    <col min="10243" max="10243" width="13.88671875" style="42" customWidth="1"/>
    <col min="10244" max="10244" width="11.88671875" style="42" customWidth="1"/>
    <col min="10245" max="10247" width="9.6640625" style="42"/>
    <col min="10248" max="10248" width="15.44140625" style="42" customWidth="1"/>
    <col min="10249" max="10249" width="16.21875" style="42" customWidth="1"/>
    <col min="10250" max="10261" width="9.6640625" style="42"/>
    <col min="10262" max="10262" width="12" style="42" customWidth="1"/>
    <col min="10263" max="10263" width="12.77734375" style="42" customWidth="1"/>
    <col min="10264" max="10264" width="11.109375" style="42" customWidth="1"/>
    <col min="10265" max="10265" width="12" style="42" customWidth="1"/>
    <col min="10266" max="10266" width="9.6640625" style="42"/>
    <col min="10267" max="10267" width="15.33203125" style="42" customWidth="1"/>
    <col min="10268" max="10268" width="15.21875" style="42" customWidth="1"/>
    <col min="10269" max="10269" width="21.44140625" style="42" customWidth="1"/>
    <col min="10270" max="10285" width="9.6640625" style="42"/>
    <col min="10286" max="10287" width="13.44140625" style="42" customWidth="1"/>
    <col min="10288" max="10288" width="9.6640625" style="42"/>
    <col min="10289" max="10289" width="13.88671875" style="42" customWidth="1"/>
    <col min="10290" max="10290" width="10.6640625" style="42" customWidth="1"/>
    <col min="10291" max="10291" width="17.33203125" style="42" customWidth="1"/>
    <col min="10292" max="10293" width="12.6640625" style="42" customWidth="1"/>
    <col min="10294" max="10294" width="11.21875" style="42" customWidth="1"/>
    <col min="10295" max="10295" width="18.33203125" style="42" customWidth="1"/>
    <col min="10296" max="10296" width="12.88671875" style="42" customWidth="1"/>
    <col min="10297" max="10298" width="13.21875" style="42" customWidth="1"/>
    <col min="10299" max="10299" width="10.88671875" style="42" customWidth="1"/>
    <col min="10300" max="10300" width="11.109375" style="42" customWidth="1"/>
    <col min="10301" max="10301" width="15.21875" style="42" customWidth="1"/>
    <col min="10302" max="10302" width="9.6640625" style="42"/>
    <col min="10303" max="10303" width="11" style="42" customWidth="1"/>
    <col min="10304" max="10304" width="10.77734375" style="42" customWidth="1"/>
    <col min="10305" max="10305" width="11.44140625" style="42" customWidth="1"/>
    <col min="10306" max="10306" width="4" style="42" customWidth="1"/>
    <col min="10307" max="10497" width="9.6640625" style="42"/>
    <col min="10498" max="10498" width="6.44140625" style="42" customWidth="1"/>
    <col min="10499" max="10499" width="13.88671875" style="42" customWidth="1"/>
    <col min="10500" max="10500" width="11.88671875" style="42" customWidth="1"/>
    <col min="10501" max="10503" width="9.6640625" style="42"/>
    <col min="10504" max="10504" width="15.44140625" style="42" customWidth="1"/>
    <col min="10505" max="10505" width="16.21875" style="42" customWidth="1"/>
    <col min="10506" max="10517" width="9.6640625" style="42"/>
    <col min="10518" max="10518" width="12" style="42" customWidth="1"/>
    <col min="10519" max="10519" width="12.77734375" style="42" customWidth="1"/>
    <col min="10520" max="10520" width="11.109375" style="42" customWidth="1"/>
    <col min="10521" max="10521" width="12" style="42" customWidth="1"/>
    <col min="10522" max="10522" width="9.6640625" style="42"/>
    <col min="10523" max="10523" width="15.33203125" style="42" customWidth="1"/>
    <col min="10524" max="10524" width="15.21875" style="42" customWidth="1"/>
    <col min="10525" max="10525" width="21.44140625" style="42" customWidth="1"/>
    <col min="10526" max="10541" width="9.6640625" style="42"/>
    <col min="10542" max="10543" width="13.44140625" style="42" customWidth="1"/>
    <col min="10544" max="10544" width="9.6640625" style="42"/>
    <col min="10545" max="10545" width="13.88671875" style="42" customWidth="1"/>
    <col min="10546" max="10546" width="10.6640625" style="42" customWidth="1"/>
    <col min="10547" max="10547" width="17.33203125" style="42" customWidth="1"/>
    <col min="10548" max="10549" width="12.6640625" style="42" customWidth="1"/>
    <col min="10550" max="10550" width="11.21875" style="42" customWidth="1"/>
    <col min="10551" max="10551" width="18.33203125" style="42" customWidth="1"/>
    <col min="10552" max="10552" width="12.88671875" style="42" customWidth="1"/>
    <col min="10553" max="10554" width="13.21875" style="42" customWidth="1"/>
    <col min="10555" max="10555" width="10.88671875" style="42" customWidth="1"/>
    <col min="10556" max="10556" width="11.109375" style="42" customWidth="1"/>
    <col min="10557" max="10557" width="15.21875" style="42" customWidth="1"/>
    <col min="10558" max="10558" width="9.6640625" style="42"/>
    <col min="10559" max="10559" width="11" style="42" customWidth="1"/>
    <col min="10560" max="10560" width="10.77734375" style="42" customWidth="1"/>
    <col min="10561" max="10561" width="11.44140625" style="42" customWidth="1"/>
    <col min="10562" max="10562" width="4" style="42" customWidth="1"/>
    <col min="10563" max="10753" width="9.6640625" style="42"/>
    <col min="10754" max="10754" width="6.44140625" style="42" customWidth="1"/>
    <col min="10755" max="10755" width="13.88671875" style="42" customWidth="1"/>
    <col min="10756" max="10756" width="11.88671875" style="42" customWidth="1"/>
    <col min="10757" max="10759" width="9.6640625" style="42"/>
    <col min="10760" max="10760" width="15.44140625" style="42" customWidth="1"/>
    <col min="10761" max="10761" width="16.21875" style="42" customWidth="1"/>
    <col min="10762" max="10773" width="9.6640625" style="42"/>
    <col min="10774" max="10774" width="12" style="42" customWidth="1"/>
    <col min="10775" max="10775" width="12.77734375" style="42" customWidth="1"/>
    <col min="10776" max="10776" width="11.109375" style="42" customWidth="1"/>
    <col min="10777" max="10777" width="12" style="42" customWidth="1"/>
    <col min="10778" max="10778" width="9.6640625" style="42"/>
    <col min="10779" max="10779" width="15.33203125" style="42" customWidth="1"/>
    <col min="10780" max="10780" width="15.21875" style="42" customWidth="1"/>
    <col min="10781" max="10781" width="21.44140625" style="42" customWidth="1"/>
    <col min="10782" max="10797" width="9.6640625" style="42"/>
    <col min="10798" max="10799" width="13.44140625" style="42" customWidth="1"/>
    <col min="10800" max="10800" width="9.6640625" style="42"/>
    <col min="10801" max="10801" width="13.88671875" style="42" customWidth="1"/>
    <col min="10802" max="10802" width="10.6640625" style="42" customWidth="1"/>
    <col min="10803" max="10803" width="17.33203125" style="42" customWidth="1"/>
    <col min="10804" max="10805" width="12.6640625" style="42" customWidth="1"/>
    <col min="10806" max="10806" width="11.21875" style="42" customWidth="1"/>
    <col min="10807" max="10807" width="18.33203125" style="42" customWidth="1"/>
    <col min="10808" max="10808" width="12.88671875" style="42" customWidth="1"/>
    <col min="10809" max="10810" width="13.21875" style="42" customWidth="1"/>
    <col min="10811" max="10811" width="10.88671875" style="42" customWidth="1"/>
    <col min="10812" max="10812" width="11.109375" style="42" customWidth="1"/>
    <col min="10813" max="10813" width="15.21875" style="42" customWidth="1"/>
    <col min="10814" max="10814" width="9.6640625" style="42"/>
    <col min="10815" max="10815" width="11" style="42" customWidth="1"/>
    <col min="10816" max="10816" width="10.77734375" style="42" customWidth="1"/>
    <col min="10817" max="10817" width="11.44140625" style="42" customWidth="1"/>
    <col min="10818" max="10818" width="4" style="42" customWidth="1"/>
    <col min="10819" max="11009" width="9.6640625" style="42"/>
    <col min="11010" max="11010" width="6.44140625" style="42" customWidth="1"/>
    <col min="11011" max="11011" width="13.88671875" style="42" customWidth="1"/>
    <col min="11012" max="11012" width="11.88671875" style="42" customWidth="1"/>
    <col min="11013" max="11015" width="9.6640625" style="42"/>
    <col min="11016" max="11016" width="15.44140625" style="42" customWidth="1"/>
    <col min="11017" max="11017" width="16.21875" style="42" customWidth="1"/>
    <col min="11018" max="11029" width="9.6640625" style="42"/>
    <col min="11030" max="11030" width="12" style="42" customWidth="1"/>
    <col min="11031" max="11031" width="12.77734375" style="42" customWidth="1"/>
    <col min="11032" max="11032" width="11.109375" style="42" customWidth="1"/>
    <col min="11033" max="11033" width="12" style="42" customWidth="1"/>
    <col min="11034" max="11034" width="9.6640625" style="42"/>
    <col min="11035" max="11035" width="15.33203125" style="42" customWidth="1"/>
    <col min="11036" max="11036" width="15.21875" style="42" customWidth="1"/>
    <col min="11037" max="11037" width="21.44140625" style="42" customWidth="1"/>
    <col min="11038" max="11053" width="9.6640625" style="42"/>
    <col min="11054" max="11055" width="13.44140625" style="42" customWidth="1"/>
    <col min="11056" max="11056" width="9.6640625" style="42"/>
    <col min="11057" max="11057" width="13.88671875" style="42" customWidth="1"/>
    <col min="11058" max="11058" width="10.6640625" style="42" customWidth="1"/>
    <col min="11059" max="11059" width="17.33203125" style="42" customWidth="1"/>
    <col min="11060" max="11061" width="12.6640625" style="42" customWidth="1"/>
    <col min="11062" max="11062" width="11.21875" style="42" customWidth="1"/>
    <col min="11063" max="11063" width="18.33203125" style="42" customWidth="1"/>
    <col min="11064" max="11064" width="12.88671875" style="42" customWidth="1"/>
    <col min="11065" max="11066" width="13.21875" style="42" customWidth="1"/>
    <col min="11067" max="11067" width="10.88671875" style="42" customWidth="1"/>
    <col min="11068" max="11068" width="11.109375" style="42" customWidth="1"/>
    <col min="11069" max="11069" width="15.21875" style="42" customWidth="1"/>
    <col min="11070" max="11070" width="9.6640625" style="42"/>
    <col min="11071" max="11071" width="11" style="42" customWidth="1"/>
    <col min="11072" max="11072" width="10.77734375" style="42" customWidth="1"/>
    <col min="11073" max="11073" width="11.44140625" style="42" customWidth="1"/>
    <col min="11074" max="11074" width="4" style="42" customWidth="1"/>
    <col min="11075" max="11265" width="9.6640625" style="42"/>
    <col min="11266" max="11266" width="6.44140625" style="42" customWidth="1"/>
    <col min="11267" max="11267" width="13.88671875" style="42" customWidth="1"/>
    <col min="11268" max="11268" width="11.88671875" style="42" customWidth="1"/>
    <col min="11269" max="11271" width="9.6640625" style="42"/>
    <col min="11272" max="11272" width="15.44140625" style="42" customWidth="1"/>
    <col min="11273" max="11273" width="16.21875" style="42" customWidth="1"/>
    <col min="11274" max="11285" width="9.6640625" style="42"/>
    <col min="11286" max="11286" width="12" style="42" customWidth="1"/>
    <col min="11287" max="11287" width="12.77734375" style="42" customWidth="1"/>
    <col min="11288" max="11288" width="11.109375" style="42" customWidth="1"/>
    <col min="11289" max="11289" width="12" style="42" customWidth="1"/>
    <col min="11290" max="11290" width="9.6640625" style="42"/>
    <col min="11291" max="11291" width="15.33203125" style="42" customWidth="1"/>
    <col min="11292" max="11292" width="15.21875" style="42" customWidth="1"/>
    <col min="11293" max="11293" width="21.44140625" style="42" customWidth="1"/>
    <col min="11294" max="11309" width="9.6640625" style="42"/>
    <col min="11310" max="11311" width="13.44140625" style="42" customWidth="1"/>
    <col min="11312" max="11312" width="9.6640625" style="42"/>
    <col min="11313" max="11313" width="13.88671875" style="42" customWidth="1"/>
    <col min="11314" max="11314" width="10.6640625" style="42" customWidth="1"/>
    <col min="11315" max="11315" width="17.33203125" style="42" customWidth="1"/>
    <col min="11316" max="11317" width="12.6640625" style="42" customWidth="1"/>
    <col min="11318" max="11318" width="11.21875" style="42" customWidth="1"/>
    <col min="11319" max="11319" width="18.33203125" style="42" customWidth="1"/>
    <col min="11320" max="11320" width="12.88671875" style="42" customWidth="1"/>
    <col min="11321" max="11322" width="13.21875" style="42" customWidth="1"/>
    <col min="11323" max="11323" width="10.88671875" style="42" customWidth="1"/>
    <col min="11324" max="11324" width="11.109375" style="42" customWidth="1"/>
    <col min="11325" max="11325" width="15.21875" style="42" customWidth="1"/>
    <col min="11326" max="11326" width="9.6640625" style="42"/>
    <col min="11327" max="11327" width="11" style="42" customWidth="1"/>
    <col min="11328" max="11328" width="10.77734375" style="42" customWidth="1"/>
    <col min="11329" max="11329" width="11.44140625" style="42" customWidth="1"/>
    <col min="11330" max="11330" width="4" style="42" customWidth="1"/>
    <col min="11331" max="11521" width="9.6640625" style="42"/>
    <col min="11522" max="11522" width="6.44140625" style="42" customWidth="1"/>
    <col min="11523" max="11523" width="13.88671875" style="42" customWidth="1"/>
    <col min="11524" max="11524" width="11.88671875" style="42" customWidth="1"/>
    <col min="11525" max="11527" width="9.6640625" style="42"/>
    <col min="11528" max="11528" width="15.44140625" style="42" customWidth="1"/>
    <col min="11529" max="11529" width="16.21875" style="42" customWidth="1"/>
    <col min="11530" max="11541" width="9.6640625" style="42"/>
    <col min="11542" max="11542" width="12" style="42" customWidth="1"/>
    <col min="11543" max="11543" width="12.77734375" style="42" customWidth="1"/>
    <col min="11544" max="11544" width="11.109375" style="42" customWidth="1"/>
    <col min="11545" max="11545" width="12" style="42" customWidth="1"/>
    <col min="11546" max="11546" width="9.6640625" style="42"/>
    <col min="11547" max="11547" width="15.33203125" style="42" customWidth="1"/>
    <col min="11548" max="11548" width="15.21875" style="42" customWidth="1"/>
    <col min="11549" max="11549" width="21.44140625" style="42" customWidth="1"/>
    <col min="11550" max="11565" width="9.6640625" style="42"/>
    <col min="11566" max="11567" width="13.44140625" style="42" customWidth="1"/>
    <col min="11568" max="11568" width="9.6640625" style="42"/>
    <col min="11569" max="11569" width="13.88671875" style="42" customWidth="1"/>
    <col min="11570" max="11570" width="10.6640625" style="42" customWidth="1"/>
    <col min="11571" max="11571" width="17.33203125" style="42" customWidth="1"/>
    <col min="11572" max="11573" width="12.6640625" style="42" customWidth="1"/>
    <col min="11574" max="11574" width="11.21875" style="42" customWidth="1"/>
    <col min="11575" max="11575" width="18.33203125" style="42" customWidth="1"/>
    <col min="11576" max="11576" width="12.88671875" style="42" customWidth="1"/>
    <col min="11577" max="11578" width="13.21875" style="42" customWidth="1"/>
    <col min="11579" max="11579" width="10.88671875" style="42" customWidth="1"/>
    <col min="11580" max="11580" width="11.109375" style="42" customWidth="1"/>
    <col min="11581" max="11581" width="15.21875" style="42" customWidth="1"/>
    <col min="11582" max="11582" width="9.6640625" style="42"/>
    <col min="11583" max="11583" width="11" style="42" customWidth="1"/>
    <col min="11584" max="11584" width="10.77734375" style="42" customWidth="1"/>
    <col min="11585" max="11585" width="11.44140625" style="42" customWidth="1"/>
    <col min="11586" max="11586" width="4" style="42" customWidth="1"/>
    <col min="11587" max="11777" width="9.6640625" style="42"/>
    <col min="11778" max="11778" width="6.44140625" style="42" customWidth="1"/>
    <col min="11779" max="11779" width="13.88671875" style="42" customWidth="1"/>
    <col min="11780" max="11780" width="11.88671875" style="42" customWidth="1"/>
    <col min="11781" max="11783" width="9.6640625" style="42"/>
    <col min="11784" max="11784" width="15.44140625" style="42" customWidth="1"/>
    <col min="11785" max="11785" width="16.21875" style="42" customWidth="1"/>
    <col min="11786" max="11797" width="9.6640625" style="42"/>
    <col min="11798" max="11798" width="12" style="42" customWidth="1"/>
    <col min="11799" max="11799" width="12.77734375" style="42" customWidth="1"/>
    <col min="11800" max="11800" width="11.109375" style="42" customWidth="1"/>
    <col min="11801" max="11801" width="12" style="42" customWidth="1"/>
    <col min="11802" max="11802" width="9.6640625" style="42"/>
    <col min="11803" max="11803" width="15.33203125" style="42" customWidth="1"/>
    <col min="11804" max="11804" width="15.21875" style="42" customWidth="1"/>
    <col min="11805" max="11805" width="21.44140625" style="42" customWidth="1"/>
    <col min="11806" max="11821" width="9.6640625" style="42"/>
    <col min="11822" max="11823" width="13.44140625" style="42" customWidth="1"/>
    <col min="11824" max="11824" width="9.6640625" style="42"/>
    <col min="11825" max="11825" width="13.88671875" style="42" customWidth="1"/>
    <col min="11826" max="11826" width="10.6640625" style="42" customWidth="1"/>
    <col min="11827" max="11827" width="17.33203125" style="42" customWidth="1"/>
    <col min="11828" max="11829" width="12.6640625" style="42" customWidth="1"/>
    <col min="11830" max="11830" width="11.21875" style="42" customWidth="1"/>
    <col min="11831" max="11831" width="18.33203125" style="42" customWidth="1"/>
    <col min="11832" max="11832" width="12.88671875" style="42" customWidth="1"/>
    <col min="11833" max="11834" width="13.21875" style="42" customWidth="1"/>
    <col min="11835" max="11835" width="10.88671875" style="42" customWidth="1"/>
    <col min="11836" max="11836" width="11.109375" style="42" customWidth="1"/>
    <col min="11837" max="11837" width="15.21875" style="42" customWidth="1"/>
    <col min="11838" max="11838" width="9.6640625" style="42"/>
    <col min="11839" max="11839" width="11" style="42" customWidth="1"/>
    <col min="11840" max="11840" width="10.77734375" style="42" customWidth="1"/>
    <col min="11841" max="11841" width="11.44140625" style="42" customWidth="1"/>
    <col min="11842" max="11842" width="4" style="42" customWidth="1"/>
    <col min="11843" max="12033" width="9.6640625" style="42"/>
    <col min="12034" max="12034" width="6.44140625" style="42" customWidth="1"/>
    <col min="12035" max="12035" width="13.88671875" style="42" customWidth="1"/>
    <col min="12036" max="12036" width="11.88671875" style="42" customWidth="1"/>
    <col min="12037" max="12039" width="9.6640625" style="42"/>
    <col min="12040" max="12040" width="15.44140625" style="42" customWidth="1"/>
    <col min="12041" max="12041" width="16.21875" style="42" customWidth="1"/>
    <col min="12042" max="12053" width="9.6640625" style="42"/>
    <col min="12054" max="12054" width="12" style="42" customWidth="1"/>
    <col min="12055" max="12055" width="12.77734375" style="42" customWidth="1"/>
    <col min="12056" max="12056" width="11.109375" style="42" customWidth="1"/>
    <col min="12057" max="12057" width="12" style="42" customWidth="1"/>
    <col min="12058" max="12058" width="9.6640625" style="42"/>
    <col min="12059" max="12059" width="15.33203125" style="42" customWidth="1"/>
    <col min="12060" max="12060" width="15.21875" style="42" customWidth="1"/>
    <col min="12061" max="12061" width="21.44140625" style="42" customWidth="1"/>
    <col min="12062" max="12077" width="9.6640625" style="42"/>
    <col min="12078" max="12079" width="13.44140625" style="42" customWidth="1"/>
    <col min="12080" max="12080" width="9.6640625" style="42"/>
    <col min="12081" max="12081" width="13.88671875" style="42" customWidth="1"/>
    <col min="12082" max="12082" width="10.6640625" style="42" customWidth="1"/>
    <col min="12083" max="12083" width="17.33203125" style="42" customWidth="1"/>
    <col min="12084" max="12085" width="12.6640625" style="42" customWidth="1"/>
    <col min="12086" max="12086" width="11.21875" style="42" customWidth="1"/>
    <col min="12087" max="12087" width="18.33203125" style="42" customWidth="1"/>
    <col min="12088" max="12088" width="12.88671875" style="42" customWidth="1"/>
    <col min="12089" max="12090" width="13.21875" style="42" customWidth="1"/>
    <col min="12091" max="12091" width="10.88671875" style="42" customWidth="1"/>
    <col min="12092" max="12092" width="11.109375" style="42" customWidth="1"/>
    <col min="12093" max="12093" width="15.21875" style="42" customWidth="1"/>
    <col min="12094" max="12094" width="9.6640625" style="42"/>
    <col min="12095" max="12095" width="11" style="42" customWidth="1"/>
    <col min="12096" max="12096" width="10.77734375" style="42" customWidth="1"/>
    <col min="12097" max="12097" width="11.44140625" style="42" customWidth="1"/>
    <col min="12098" max="12098" width="4" style="42" customWidth="1"/>
    <col min="12099" max="12289" width="9.6640625" style="42"/>
    <col min="12290" max="12290" width="6.44140625" style="42" customWidth="1"/>
    <col min="12291" max="12291" width="13.88671875" style="42" customWidth="1"/>
    <col min="12292" max="12292" width="11.88671875" style="42" customWidth="1"/>
    <col min="12293" max="12295" width="9.6640625" style="42"/>
    <col min="12296" max="12296" width="15.44140625" style="42" customWidth="1"/>
    <col min="12297" max="12297" width="16.21875" style="42" customWidth="1"/>
    <col min="12298" max="12309" width="9.6640625" style="42"/>
    <col min="12310" max="12310" width="12" style="42" customWidth="1"/>
    <col min="12311" max="12311" width="12.77734375" style="42" customWidth="1"/>
    <col min="12312" max="12312" width="11.109375" style="42" customWidth="1"/>
    <col min="12313" max="12313" width="12" style="42" customWidth="1"/>
    <col min="12314" max="12314" width="9.6640625" style="42"/>
    <col min="12315" max="12315" width="15.33203125" style="42" customWidth="1"/>
    <col min="12316" max="12316" width="15.21875" style="42" customWidth="1"/>
    <col min="12317" max="12317" width="21.44140625" style="42" customWidth="1"/>
    <col min="12318" max="12333" width="9.6640625" style="42"/>
    <col min="12334" max="12335" width="13.44140625" style="42" customWidth="1"/>
    <col min="12336" max="12336" width="9.6640625" style="42"/>
    <col min="12337" max="12337" width="13.88671875" style="42" customWidth="1"/>
    <col min="12338" max="12338" width="10.6640625" style="42" customWidth="1"/>
    <col min="12339" max="12339" width="17.33203125" style="42" customWidth="1"/>
    <col min="12340" max="12341" width="12.6640625" style="42" customWidth="1"/>
    <col min="12342" max="12342" width="11.21875" style="42" customWidth="1"/>
    <col min="12343" max="12343" width="18.33203125" style="42" customWidth="1"/>
    <col min="12344" max="12344" width="12.88671875" style="42" customWidth="1"/>
    <col min="12345" max="12346" width="13.21875" style="42" customWidth="1"/>
    <col min="12347" max="12347" width="10.88671875" style="42" customWidth="1"/>
    <col min="12348" max="12348" width="11.109375" style="42" customWidth="1"/>
    <col min="12349" max="12349" width="15.21875" style="42" customWidth="1"/>
    <col min="12350" max="12350" width="9.6640625" style="42"/>
    <col min="12351" max="12351" width="11" style="42" customWidth="1"/>
    <col min="12352" max="12352" width="10.77734375" style="42" customWidth="1"/>
    <col min="12353" max="12353" width="11.44140625" style="42" customWidth="1"/>
    <col min="12354" max="12354" width="4" style="42" customWidth="1"/>
    <col min="12355" max="12545" width="9.6640625" style="42"/>
    <col min="12546" max="12546" width="6.44140625" style="42" customWidth="1"/>
    <col min="12547" max="12547" width="13.88671875" style="42" customWidth="1"/>
    <col min="12548" max="12548" width="11.88671875" style="42" customWidth="1"/>
    <col min="12549" max="12551" width="9.6640625" style="42"/>
    <col min="12552" max="12552" width="15.44140625" style="42" customWidth="1"/>
    <col min="12553" max="12553" width="16.21875" style="42" customWidth="1"/>
    <col min="12554" max="12565" width="9.6640625" style="42"/>
    <col min="12566" max="12566" width="12" style="42" customWidth="1"/>
    <col min="12567" max="12567" width="12.77734375" style="42" customWidth="1"/>
    <col min="12568" max="12568" width="11.109375" style="42" customWidth="1"/>
    <col min="12569" max="12569" width="12" style="42" customWidth="1"/>
    <col min="12570" max="12570" width="9.6640625" style="42"/>
    <col min="12571" max="12571" width="15.33203125" style="42" customWidth="1"/>
    <col min="12572" max="12572" width="15.21875" style="42" customWidth="1"/>
    <col min="12573" max="12573" width="21.44140625" style="42" customWidth="1"/>
    <col min="12574" max="12589" width="9.6640625" style="42"/>
    <col min="12590" max="12591" width="13.44140625" style="42" customWidth="1"/>
    <col min="12592" max="12592" width="9.6640625" style="42"/>
    <col min="12593" max="12593" width="13.88671875" style="42" customWidth="1"/>
    <col min="12594" max="12594" width="10.6640625" style="42" customWidth="1"/>
    <col min="12595" max="12595" width="17.33203125" style="42" customWidth="1"/>
    <col min="12596" max="12597" width="12.6640625" style="42" customWidth="1"/>
    <col min="12598" max="12598" width="11.21875" style="42" customWidth="1"/>
    <col min="12599" max="12599" width="18.33203125" style="42" customWidth="1"/>
    <col min="12600" max="12600" width="12.88671875" style="42" customWidth="1"/>
    <col min="12601" max="12602" width="13.21875" style="42" customWidth="1"/>
    <col min="12603" max="12603" width="10.88671875" style="42" customWidth="1"/>
    <col min="12604" max="12604" width="11.109375" style="42" customWidth="1"/>
    <col min="12605" max="12605" width="15.21875" style="42" customWidth="1"/>
    <col min="12606" max="12606" width="9.6640625" style="42"/>
    <col min="12607" max="12607" width="11" style="42" customWidth="1"/>
    <col min="12608" max="12608" width="10.77734375" style="42" customWidth="1"/>
    <col min="12609" max="12609" width="11.44140625" style="42" customWidth="1"/>
    <col min="12610" max="12610" width="4" style="42" customWidth="1"/>
    <col min="12611" max="12801" width="9.6640625" style="42"/>
    <col min="12802" max="12802" width="6.44140625" style="42" customWidth="1"/>
    <col min="12803" max="12803" width="13.88671875" style="42" customWidth="1"/>
    <col min="12804" max="12804" width="11.88671875" style="42" customWidth="1"/>
    <col min="12805" max="12807" width="9.6640625" style="42"/>
    <col min="12808" max="12808" width="15.44140625" style="42" customWidth="1"/>
    <col min="12809" max="12809" width="16.21875" style="42" customWidth="1"/>
    <col min="12810" max="12821" width="9.6640625" style="42"/>
    <col min="12822" max="12822" width="12" style="42" customWidth="1"/>
    <col min="12823" max="12823" width="12.77734375" style="42" customWidth="1"/>
    <col min="12824" max="12824" width="11.109375" style="42" customWidth="1"/>
    <col min="12825" max="12825" width="12" style="42" customWidth="1"/>
    <col min="12826" max="12826" width="9.6640625" style="42"/>
    <col min="12827" max="12827" width="15.33203125" style="42" customWidth="1"/>
    <col min="12828" max="12828" width="15.21875" style="42" customWidth="1"/>
    <col min="12829" max="12829" width="21.44140625" style="42" customWidth="1"/>
    <col min="12830" max="12845" width="9.6640625" style="42"/>
    <col min="12846" max="12847" width="13.44140625" style="42" customWidth="1"/>
    <col min="12848" max="12848" width="9.6640625" style="42"/>
    <col min="12849" max="12849" width="13.88671875" style="42" customWidth="1"/>
    <col min="12850" max="12850" width="10.6640625" style="42" customWidth="1"/>
    <col min="12851" max="12851" width="17.33203125" style="42" customWidth="1"/>
    <col min="12852" max="12853" width="12.6640625" style="42" customWidth="1"/>
    <col min="12854" max="12854" width="11.21875" style="42" customWidth="1"/>
    <col min="12855" max="12855" width="18.33203125" style="42" customWidth="1"/>
    <col min="12856" max="12856" width="12.88671875" style="42" customWidth="1"/>
    <col min="12857" max="12858" width="13.21875" style="42" customWidth="1"/>
    <col min="12859" max="12859" width="10.88671875" style="42" customWidth="1"/>
    <col min="12860" max="12860" width="11.109375" style="42" customWidth="1"/>
    <col min="12861" max="12861" width="15.21875" style="42" customWidth="1"/>
    <col min="12862" max="12862" width="9.6640625" style="42"/>
    <col min="12863" max="12863" width="11" style="42" customWidth="1"/>
    <col min="12864" max="12864" width="10.77734375" style="42" customWidth="1"/>
    <col min="12865" max="12865" width="11.44140625" style="42" customWidth="1"/>
    <col min="12866" max="12866" width="4" style="42" customWidth="1"/>
    <col min="12867" max="13057" width="9.6640625" style="42"/>
    <col min="13058" max="13058" width="6.44140625" style="42" customWidth="1"/>
    <col min="13059" max="13059" width="13.88671875" style="42" customWidth="1"/>
    <col min="13060" max="13060" width="11.88671875" style="42" customWidth="1"/>
    <col min="13061" max="13063" width="9.6640625" style="42"/>
    <col min="13064" max="13064" width="15.44140625" style="42" customWidth="1"/>
    <col min="13065" max="13065" width="16.21875" style="42" customWidth="1"/>
    <col min="13066" max="13077" width="9.6640625" style="42"/>
    <col min="13078" max="13078" width="12" style="42" customWidth="1"/>
    <col min="13079" max="13079" width="12.77734375" style="42" customWidth="1"/>
    <col min="13080" max="13080" width="11.109375" style="42" customWidth="1"/>
    <col min="13081" max="13081" width="12" style="42" customWidth="1"/>
    <col min="13082" max="13082" width="9.6640625" style="42"/>
    <col min="13083" max="13083" width="15.33203125" style="42" customWidth="1"/>
    <col min="13084" max="13084" width="15.21875" style="42" customWidth="1"/>
    <col min="13085" max="13085" width="21.44140625" style="42" customWidth="1"/>
    <col min="13086" max="13101" width="9.6640625" style="42"/>
    <col min="13102" max="13103" width="13.44140625" style="42" customWidth="1"/>
    <col min="13104" max="13104" width="9.6640625" style="42"/>
    <col min="13105" max="13105" width="13.88671875" style="42" customWidth="1"/>
    <col min="13106" max="13106" width="10.6640625" style="42" customWidth="1"/>
    <col min="13107" max="13107" width="17.33203125" style="42" customWidth="1"/>
    <col min="13108" max="13109" width="12.6640625" style="42" customWidth="1"/>
    <col min="13110" max="13110" width="11.21875" style="42" customWidth="1"/>
    <col min="13111" max="13111" width="18.33203125" style="42" customWidth="1"/>
    <col min="13112" max="13112" width="12.88671875" style="42" customWidth="1"/>
    <col min="13113" max="13114" width="13.21875" style="42" customWidth="1"/>
    <col min="13115" max="13115" width="10.88671875" style="42" customWidth="1"/>
    <col min="13116" max="13116" width="11.109375" style="42" customWidth="1"/>
    <col min="13117" max="13117" width="15.21875" style="42" customWidth="1"/>
    <col min="13118" max="13118" width="9.6640625" style="42"/>
    <col min="13119" max="13119" width="11" style="42" customWidth="1"/>
    <col min="13120" max="13120" width="10.77734375" style="42" customWidth="1"/>
    <col min="13121" max="13121" width="11.44140625" style="42" customWidth="1"/>
    <col min="13122" max="13122" width="4" style="42" customWidth="1"/>
    <col min="13123" max="13313" width="9.6640625" style="42"/>
    <col min="13314" max="13314" width="6.44140625" style="42" customWidth="1"/>
    <col min="13315" max="13315" width="13.88671875" style="42" customWidth="1"/>
    <col min="13316" max="13316" width="11.88671875" style="42" customWidth="1"/>
    <col min="13317" max="13319" width="9.6640625" style="42"/>
    <col min="13320" max="13320" width="15.44140625" style="42" customWidth="1"/>
    <col min="13321" max="13321" width="16.21875" style="42" customWidth="1"/>
    <col min="13322" max="13333" width="9.6640625" style="42"/>
    <col min="13334" max="13334" width="12" style="42" customWidth="1"/>
    <col min="13335" max="13335" width="12.77734375" style="42" customWidth="1"/>
    <col min="13336" max="13336" width="11.109375" style="42" customWidth="1"/>
    <col min="13337" max="13337" width="12" style="42" customWidth="1"/>
    <col min="13338" max="13338" width="9.6640625" style="42"/>
    <col min="13339" max="13339" width="15.33203125" style="42" customWidth="1"/>
    <col min="13340" max="13340" width="15.21875" style="42" customWidth="1"/>
    <col min="13341" max="13341" width="21.44140625" style="42" customWidth="1"/>
    <col min="13342" max="13357" width="9.6640625" style="42"/>
    <col min="13358" max="13359" width="13.44140625" style="42" customWidth="1"/>
    <col min="13360" max="13360" width="9.6640625" style="42"/>
    <col min="13361" max="13361" width="13.88671875" style="42" customWidth="1"/>
    <col min="13362" max="13362" width="10.6640625" style="42" customWidth="1"/>
    <col min="13363" max="13363" width="17.33203125" style="42" customWidth="1"/>
    <col min="13364" max="13365" width="12.6640625" style="42" customWidth="1"/>
    <col min="13366" max="13366" width="11.21875" style="42" customWidth="1"/>
    <col min="13367" max="13367" width="18.33203125" style="42" customWidth="1"/>
    <col min="13368" max="13368" width="12.88671875" style="42" customWidth="1"/>
    <col min="13369" max="13370" width="13.21875" style="42" customWidth="1"/>
    <col min="13371" max="13371" width="10.88671875" style="42" customWidth="1"/>
    <col min="13372" max="13372" width="11.109375" style="42" customWidth="1"/>
    <col min="13373" max="13373" width="15.21875" style="42" customWidth="1"/>
    <col min="13374" max="13374" width="9.6640625" style="42"/>
    <col min="13375" max="13375" width="11" style="42" customWidth="1"/>
    <col min="13376" max="13376" width="10.77734375" style="42" customWidth="1"/>
    <col min="13377" max="13377" width="11.44140625" style="42" customWidth="1"/>
    <col min="13378" max="13378" width="4" style="42" customWidth="1"/>
    <col min="13379" max="13569" width="9.6640625" style="42"/>
    <col min="13570" max="13570" width="6.44140625" style="42" customWidth="1"/>
    <col min="13571" max="13571" width="13.88671875" style="42" customWidth="1"/>
    <col min="13572" max="13572" width="11.88671875" style="42" customWidth="1"/>
    <col min="13573" max="13575" width="9.6640625" style="42"/>
    <col min="13576" max="13576" width="15.44140625" style="42" customWidth="1"/>
    <col min="13577" max="13577" width="16.21875" style="42" customWidth="1"/>
    <col min="13578" max="13589" width="9.6640625" style="42"/>
    <col min="13590" max="13590" width="12" style="42" customWidth="1"/>
    <col min="13591" max="13591" width="12.77734375" style="42" customWidth="1"/>
    <col min="13592" max="13592" width="11.109375" style="42" customWidth="1"/>
    <col min="13593" max="13593" width="12" style="42" customWidth="1"/>
    <col min="13594" max="13594" width="9.6640625" style="42"/>
    <col min="13595" max="13595" width="15.33203125" style="42" customWidth="1"/>
    <col min="13596" max="13596" width="15.21875" style="42" customWidth="1"/>
    <col min="13597" max="13597" width="21.44140625" style="42" customWidth="1"/>
    <col min="13598" max="13613" width="9.6640625" style="42"/>
    <col min="13614" max="13615" width="13.44140625" style="42" customWidth="1"/>
    <col min="13616" max="13616" width="9.6640625" style="42"/>
    <col min="13617" max="13617" width="13.88671875" style="42" customWidth="1"/>
    <col min="13618" max="13618" width="10.6640625" style="42" customWidth="1"/>
    <col min="13619" max="13619" width="17.33203125" style="42" customWidth="1"/>
    <col min="13620" max="13621" width="12.6640625" style="42" customWidth="1"/>
    <col min="13622" max="13622" width="11.21875" style="42" customWidth="1"/>
    <col min="13623" max="13623" width="18.33203125" style="42" customWidth="1"/>
    <col min="13624" max="13624" width="12.88671875" style="42" customWidth="1"/>
    <col min="13625" max="13626" width="13.21875" style="42" customWidth="1"/>
    <col min="13627" max="13627" width="10.88671875" style="42" customWidth="1"/>
    <col min="13628" max="13628" width="11.109375" style="42" customWidth="1"/>
    <col min="13629" max="13629" width="15.21875" style="42" customWidth="1"/>
    <col min="13630" max="13630" width="9.6640625" style="42"/>
    <col min="13631" max="13631" width="11" style="42" customWidth="1"/>
    <col min="13632" max="13632" width="10.77734375" style="42" customWidth="1"/>
    <col min="13633" max="13633" width="11.44140625" style="42" customWidth="1"/>
    <col min="13634" max="13634" width="4" style="42" customWidth="1"/>
    <col min="13635" max="13825" width="9.6640625" style="42"/>
    <col min="13826" max="13826" width="6.44140625" style="42" customWidth="1"/>
    <col min="13827" max="13827" width="13.88671875" style="42" customWidth="1"/>
    <col min="13828" max="13828" width="11.88671875" style="42" customWidth="1"/>
    <col min="13829" max="13831" width="9.6640625" style="42"/>
    <col min="13832" max="13832" width="15.44140625" style="42" customWidth="1"/>
    <col min="13833" max="13833" width="16.21875" style="42" customWidth="1"/>
    <col min="13834" max="13845" width="9.6640625" style="42"/>
    <col min="13846" max="13846" width="12" style="42" customWidth="1"/>
    <col min="13847" max="13847" width="12.77734375" style="42" customWidth="1"/>
    <col min="13848" max="13848" width="11.109375" style="42" customWidth="1"/>
    <col min="13849" max="13849" width="12" style="42" customWidth="1"/>
    <col min="13850" max="13850" width="9.6640625" style="42"/>
    <col min="13851" max="13851" width="15.33203125" style="42" customWidth="1"/>
    <col min="13852" max="13852" width="15.21875" style="42" customWidth="1"/>
    <col min="13853" max="13853" width="21.44140625" style="42" customWidth="1"/>
    <col min="13854" max="13869" width="9.6640625" style="42"/>
    <col min="13870" max="13871" width="13.44140625" style="42" customWidth="1"/>
    <col min="13872" max="13872" width="9.6640625" style="42"/>
    <col min="13873" max="13873" width="13.88671875" style="42" customWidth="1"/>
    <col min="13874" max="13874" width="10.6640625" style="42" customWidth="1"/>
    <col min="13875" max="13875" width="17.33203125" style="42" customWidth="1"/>
    <col min="13876" max="13877" width="12.6640625" style="42" customWidth="1"/>
    <col min="13878" max="13878" width="11.21875" style="42" customWidth="1"/>
    <col min="13879" max="13879" width="18.33203125" style="42" customWidth="1"/>
    <col min="13880" max="13880" width="12.88671875" style="42" customWidth="1"/>
    <col min="13881" max="13882" width="13.21875" style="42" customWidth="1"/>
    <col min="13883" max="13883" width="10.88671875" style="42" customWidth="1"/>
    <col min="13884" max="13884" width="11.109375" style="42" customWidth="1"/>
    <col min="13885" max="13885" width="15.21875" style="42" customWidth="1"/>
    <col min="13886" max="13886" width="9.6640625" style="42"/>
    <col min="13887" max="13887" width="11" style="42" customWidth="1"/>
    <col min="13888" max="13888" width="10.77734375" style="42" customWidth="1"/>
    <col min="13889" max="13889" width="11.44140625" style="42" customWidth="1"/>
    <col min="13890" max="13890" width="4" style="42" customWidth="1"/>
    <col min="13891" max="14081" width="9.6640625" style="42"/>
    <col min="14082" max="14082" width="6.44140625" style="42" customWidth="1"/>
    <col min="14083" max="14083" width="13.88671875" style="42" customWidth="1"/>
    <col min="14084" max="14084" width="11.88671875" style="42" customWidth="1"/>
    <col min="14085" max="14087" width="9.6640625" style="42"/>
    <col min="14088" max="14088" width="15.44140625" style="42" customWidth="1"/>
    <col min="14089" max="14089" width="16.21875" style="42" customWidth="1"/>
    <col min="14090" max="14101" width="9.6640625" style="42"/>
    <col min="14102" max="14102" width="12" style="42" customWidth="1"/>
    <col min="14103" max="14103" width="12.77734375" style="42" customWidth="1"/>
    <col min="14104" max="14104" width="11.109375" style="42" customWidth="1"/>
    <col min="14105" max="14105" width="12" style="42" customWidth="1"/>
    <col min="14106" max="14106" width="9.6640625" style="42"/>
    <col min="14107" max="14107" width="15.33203125" style="42" customWidth="1"/>
    <col min="14108" max="14108" width="15.21875" style="42" customWidth="1"/>
    <col min="14109" max="14109" width="21.44140625" style="42" customWidth="1"/>
    <col min="14110" max="14125" width="9.6640625" style="42"/>
    <col min="14126" max="14127" width="13.44140625" style="42" customWidth="1"/>
    <col min="14128" max="14128" width="9.6640625" style="42"/>
    <col min="14129" max="14129" width="13.88671875" style="42" customWidth="1"/>
    <col min="14130" max="14130" width="10.6640625" style="42" customWidth="1"/>
    <col min="14131" max="14131" width="17.33203125" style="42" customWidth="1"/>
    <col min="14132" max="14133" width="12.6640625" style="42" customWidth="1"/>
    <col min="14134" max="14134" width="11.21875" style="42" customWidth="1"/>
    <col min="14135" max="14135" width="18.33203125" style="42" customWidth="1"/>
    <col min="14136" max="14136" width="12.88671875" style="42" customWidth="1"/>
    <col min="14137" max="14138" width="13.21875" style="42" customWidth="1"/>
    <col min="14139" max="14139" width="10.88671875" style="42" customWidth="1"/>
    <col min="14140" max="14140" width="11.109375" style="42" customWidth="1"/>
    <col min="14141" max="14141" width="15.21875" style="42" customWidth="1"/>
    <col min="14142" max="14142" width="9.6640625" style="42"/>
    <col min="14143" max="14143" width="11" style="42" customWidth="1"/>
    <col min="14144" max="14144" width="10.77734375" style="42" customWidth="1"/>
    <col min="14145" max="14145" width="11.44140625" style="42" customWidth="1"/>
    <col min="14146" max="14146" width="4" style="42" customWidth="1"/>
    <col min="14147" max="14337" width="9.6640625" style="42"/>
    <col min="14338" max="14338" width="6.44140625" style="42" customWidth="1"/>
    <col min="14339" max="14339" width="13.88671875" style="42" customWidth="1"/>
    <col min="14340" max="14340" width="11.88671875" style="42" customWidth="1"/>
    <col min="14341" max="14343" width="9.6640625" style="42"/>
    <col min="14344" max="14344" width="15.44140625" style="42" customWidth="1"/>
    <col min="14345" max="14345" width="16.21875" style="42" customWidth="1"/>
    <col min="14346" max="14357" width="9.6640625" style="42"/>
    <col min="14358" max="14358" width="12" style="42" customWidth="1"/>
    <col min="14359" max="14359" width="12.77734375" style="42" customWidth="1"/>
    <col min="14360" max="14360" width="11.109375" style="42" customWidth="1"/>
    <col min="14361" max="14361" width="12" style="42" customWidth="1"/>
    <col min="14362" max="14362" width="9.6640625" style="42"/>
    <col min="14363" max="14363" width="15.33203125" style="42" customWidth="1"/>
    <col min="14364" max="14364" width="15.21875" style="42" customWidth="1"/>
    <col min="14365" max="14365" width="21.44140625" style="42" customWidth="1"/>
    <col min="14366" max="14381" width="9.6640625" style="42"/>
    <col min="14382" max="14383" width="13.44140625" style="42" customWidth="1"/>
    <col min="14384" max="14384" width="9.6640625" style="42"/>
    <col min="14385" max="14385" width="13.88671875" style="42" customWidth="1"/>
    <col min="14386" max="14386" width="10.6640625" style="42" customWidth="1"/>
    <col min="14387" max="14387" width="17.33203125" style="42" customWidth="1"/>
    <col min="14388" max="14389" width="12.6640625" style="42" customWidth="1"/>
    <col min="14390" max="14390" width="11.21875" style="42" customWidth="1"/>
    <col min="14391" max="14391" width="18.33203125" style="42" customWidth="1"/>
    <col min="14392" max="14392" width="12.88671875" style="42" customWidth="1"/>
    <col min="14393" max="14394" width="13.21875" style="42" customWidth="1"/>
    <col min="14395" max="14395" width="10.88671875" style="42" customWidth="1"/>
    <col min="14396" max="14396" width="11.109375" style="42" customWidth="1"/>
    <col min="14397" max="14397" width="15.21875" style="42" customWidth="1"/>
    <col min="14398" max="14398" width="9.6640625" style="42"/>
    <col min="14399" max="14399" width="11" style="42" customWidth="1"/>
    <col min="14400" max="14400" width="10.77734375" style="42" customWidth="1"/>
    <col min="14401" max="14401" width="11.44140625" style="42" customWidth="1"/>
    <col min="14402" max="14402" width="4" style="42" customWidth="1"/>
    <col min="14403" max="14593" width="9.6640625" style="42"/>
    <col min="14594" max="14594" width="6.44140625" style="42" customWidth="1"/>
    <col min="14595" max="14595" width="13.88671875" style="42" customWidth="1"/>
    <col min="14596" max="14596" width="11.88671875" style="42" customWidth="1"/>
    <col min="14597" max="14599" width="9.6640625" style="42"/>
    <col min="14600" max="14600" width="15.44140625" style="42" customWidth="1"/>
    <col min="14601" max="14601" width="16.21875" style="42" customWidth="1"/>
    <col min="14602" max="14613" width="9.6640625" style="42"/>
    <col min="14614" max="14614" width="12" style="42" customWidth="1"/>
    <col min="14615" max="14615" width="12.77734375" style="42" customWidth="1"/>
    <col min="14616" max="14616" width="11.109375" style="42" customWidth="1"/>
    <col min="14617" max="14617" width="12" style="42" customWidth="1"/>
    <col min="14618" max="14618" width="9.6640625" style="42"/>
    <col min="14619" max="14619" width="15.33203125" style="42" customWidth="1"/>
    <col min="14620" max="14620" width="15.21875" style="42" customWidth="1"/>
    <col min="14621" max="14621" width="21.44140625" style="42" customWidth="1"/>
    <col min="14622" max="14637" width="9.6640625" style="42"/>
    <col min="14638" max="14639" width="13.44140625" style="42" customWidth="1"/>
    <col min="14640" max="14640" width="9.6640625" style="42"/>
    <col min="14641" max="14641" width="13.88671875" style="42" customWidth="1"/>
    <col min="14642" max="14642" width="10.6640625" style="42" customWidth="1"/>
    <col min="14643" max="14643" width="17.33203125" style="42" customWidth="1"/>
    <col min="14644" max="14645" width="12.6640625" style="42" customWidth="1"/>
    <col min="14646" max="14646" width="11.21875" style="42" customWidth="1"/>
    <col min="14647" max="14647" width="18.33203125" style="42" customWidth="1"/>
    <col min="14648" max="14648" width="12.88671875" style="42" customWidth="1"/>
    <col min="14649" max="14650" width="13.21875" style="42" customWidth="1"/>
    <col min="14651" max="14651" width="10.88671875" style="42" customWidth="1"/>
    <col min="14652" max="14652" width="11.109375" style="42" customWidth="1"/>
    <col min="14653" max="14653" width="15.21875" style="42" customWidth="1"/>
    <col min="14654" max="14654" width="9.6640625" style="42"/>
    <col min="14655" max="14655" width="11" style="42" customWidth="1"/>
    <col min="14656" max="14656" width="10.77734375" style="42" customWidth="1"/>
    <col min="14657" max="14657" width="11.44140625" style="42" customWidth="1"/>
    <col min="14658" max="14658" width="4" style="42" customWidth="1"/>
    <col min="14659" max="14849" width="9.6640625" style="42"/>
    <col min="14850" max="14850" width="6.44140625" style="42" customWidth="1"/>
    <col min="14851" max="14851" width="13.88671875" style="42" customWidth="1"/>
    <col min="14852" max="14852" width="11.88671875" style="42" customWidth="1"/>
    <col min="14853" max="14855" width="9.6640625" style="42"/>
    <col min="14856" max="14856" width="15.44140625" style="42" customWidth="1"/>
    <col min="14857" max="14857" width="16.21875" style="42" customWidth="1"/>
    <col min="14858" max="14869" width="9.6640625" style="42"/>
    <col min="14870" max="14870" width="12" style="42" customWidth="1"/>
    <col min="14871" max="14871" width="12.77734375" style="42" customWidth="1"/>
    <col min="14872" max="14872" width="11.109375" style="42" customWidth="1"/>
    <col min="14873" max="14873" width="12" style="42" customWidth="1"/>
    <col min="14874" max="14874" width="9.6640625" style="42"/>
    <col min="14875" max="14875" width="15.33203125" style="42" customWidth="1"/>
    <col min="14876" max="14876" width="15.21875" style="42" customWidth="1"/>
    <col min="14877" max="14877" width="21.44140625" style="42" customWidth="1"/>
    <col min="14878" max="14893" width="9.6640625" style="42"/>
    <col min="14894" max="14895" width="13.44140625" style="42" customWidth="1"/>
    <col min="14896" max="14896" width="9.6640625" style="42"/>
    <col min="14897" max="14897" width="13.88671875" style="42" customWidth="1"/>
    <col min="14898" max="14898" width="10.6640625" style="42" customWidth="1"/>
    <col min="14899" max="14899" width="17.33203125" style="42" customWidth="1"/>
    <col min="14900" max="14901" width="12.6640625" style="42" customWidth="1"/>
    <col min="14902" max="14902" width="11.21875" style="42" customWidth="1"/>
    <col min="14903" max="14903" width="18.33203125" style="42" customWidth="1"/>
    <col min="14904" max="14904" width="12.88671875" style="42" customWidth="1"/>
    <col min="14905" max="14906" width="13.21875" style="42" customWidth="1"/>
    <col min="14907" max="14907" width="10.88671875" style="42" customWidth="1"/>
    <col min="14908" max="14908" width="11.109375" style="42" customWidth="1"/>
    <col min="14909" max="14909" width="15.21875" style="42" customWidth="1"/>
    <col min="14910" max="14910" width="9.6640625" style="42"/>
    <col min="14911" max="14911" width="11" style="42" customWidth="1"/>
    <col min="14912" max="14912" width="10.77734375" style="42" customWidth="1"/>
    <col min="14913" max="14913" width="11.44140625" style="42" customWidth="1"/>
    <col min="14914" max="14914" width="4" style="42" customWidth="1"/>
    <col min="14915" max="15105" width="9.6640625" style="42"/>
    <col min="15106" max="15106" width="6.44140625" style="42" customWidth="1"/>
    <col min="15107" max="15107" width="13.88671875" style="42" customWidth="1"/>
    <col min="15108" max="15108" width="11.88671875" style="42" customWidth="1"/>
    <col min="15109" max="15111" width="9.6640625" style="42"/>
    <col min="15112" max="15112" width="15.44140625" style="42" customWidth="1"/>
    <col min="15113" max="15113" width="16.21875" style="42" customWidth="1"/>
    <col min="15114" max="15125" width="9.6640625" style="42"/>
    <col min="15126" max="15126" width="12" style="42" customWidth="1"/>
    <col min="15127" max="15127" width="12.77734375" style="42" customWidth="1"/>
    <col min="15128" max="15128" width="11.109375" style="42" customWidth="1"/>
    <col min="15129" max="15129" width="12" style="42" customWidth="1"/>
    <col min="15130" max="15130" width="9.6640625" style="42"/>
    <col min="15131" max="15131" width="15.33203125" style="42" customWidth="1"/>
    <col min="15132" max="15132" width="15.21875" style="42" customWidth="1"/>
    <col min="15133" max="15133" width="21.44140625" style="42" customWidth="1"/>
    <col min="15134" max="15149" width="9.6640625" style="42"/>
    <col min="15150" max="15151" width="13.44140625" style="42" customWidth="1"/>
    <col min="15152" max="15152" width="9.6640625" style="42"/>
    <col min="15153" max="15153" width="13.88671875" style="42" customWidth="1"/>
    <col min="15154" max="15154" width="10.6640625" style="42" customWidth="1"/>
    <col min="15155" max="15155" width="17.33203125" style="42" customWidth="1"/>
    <col min="15156" max="15157" width="12.6640625" style="42" customWidth="1"/>
    <col min="15158" max="15158" width="11.21875" style="42" customWidth="1"/>
    <col min="15159" max="15159" width="18.33203125" style="42" customWidth="1"/>
    <col min="15160" max="15160" width="12.88671875" style="42" customWidth="1"/>
    <col min="15161" max="15162" width="13.21875" style="42" customWidth="1"/>
    <col min="15163" max="15163" width="10.88671875" style="42" customWidth="1"/>
    <col min="15164" max="15164" width="11.109375" style="42" customWidth="1"/>
    <col min="15165" max="15165" width="15.21875" style="42" customWidth="1"/>
    <col min="15166" max="15166" width="9.6640625" style="42"/>
    <col min="15167" max="15167" width="11" style="42" customWidth="1"/>
    <col min="15168" max="15168" width="10.77734375" style="42" customWidth="1"/>
    <col min="15169" max="15169" width="11.44140625" style="42" customWidth="1"/>
    <col min="15170" max="15170" width="4" style="42" customWidth="1"/>
    <col min="15171" max="15361" width="9.6640625" style="42"/>
    <col min="15362" max="15362" width="6.44140625" style="42" customWidth="1"/>
    <col min="15363" max="15363" width="13.88671875" style="42" customWidth="1"/>
    <col min="15364" max="15364" width="11.88671875" style="42" customWidth="1"/>
    <col min="15365" max="15367" width="9.6640625" style="42"/>
    <col min="15368" max="15368" width="15.44140625" style="42" customWidth="1"/>
    <col min="15369" max="15369" width="16.21875" style="42" customWidth="1"/>
    <col min="15370" max="15381" width="9.6640625" style="42"/>
    <col min="15382" max="15382" width="12" style="42" customWidth="1"/>
    <col min="15383" max="15383" width="12.77734375" style="42" customWidth="1"/>
    <col min="15384" max="15384" width="11.109375" style="42" customWidth="1"/>
    <col min="15385" max="15385" width="12" style="42" customWidth="1"/>
    <col min="15386" max="15386" width="9.6640625" style="42"/>
    <col min="15387" max="15387" width="15.33203125" style="42" customWidth="1"/>
    <col min="15388" max="15388" width="15.21875" style="42" customWidth="1"/>
    <col min="15389" max="15389" width="21.44140625" style="42" customWidth="1"/>
    <col min="15390" max="15405" width="9.6640625" style="42"/>
    <col min="15406" max="15407" width="13.44140625" style="42" customWidth="1"/>
    <col min="15408" max="15408" width="9.6640625" style="42"/>
    <col min="15409" max="15409" width="13.88671875" style="42" customWidth="1"/>
    <col min="15410" max="15410" width="10.6640625" style="42" customWidth="1"/>
    <col min="15411" max="15411" width="17.33203125" style="42" customWidth="1"/>
    <col min="15412" max="15413" width="12.6640625" style="42" customWidth="1"/>
    <col min="15414" max="15414" width="11.21875" style="42" customWidth="1"/>
    <col min="15415" max="15415" width="18.33203125" style="42" customWidth="1"/>
    <col min="15416" max="15416" width="12.88671875" style="42" customWidth="1"/>
    <col min="15417" max="15418" width="13.21875" style="42" customWidth="1"/>
    <col min="15419" max="15419" width="10.88671875" style="42" customWidth="1"/>
    <col min="15420" max="15420" width="11.109375" style="42" customWidth="1"/>
    <col min="15421" max="15421" width="15.21875" style="42" customWidth="1"/>
    <col min="15422" max="15422" width="9.6640625" style="42"/>
    <col min="15423" max="15423" width="11" style="42" customWidth="1"/>
    <col min="15424" max="15424" width="10.77734375" style="42" customWidth="1"/>
    <col min="15425" max="15425" width="11.44140625" style="42" customWidth="1"/>
    <col min="15426" max="15426" width="4" style="42" customWidth="1"/>
    <col min="15427" max="15617" width="9.6640625" style="42"/>
    <col min="15618" max="15618" width="6.44140625" style="42" customWidth="1"/>
    <col min="15619" max="15619" width="13.88671875" style="42" customWidth="1"/>
    <col min="15620" max="15620" width="11.88671875" style="42" customWidth="1"/>
    <col min="15621" max="15623" width="9.6640625" style="42"/>
    <col min="15624" max="15624" width="15.44140625" style="42" customWidth="1"/>
    <col min="15625" max="15625" width="16.21875" style="42" customWidth="1"/>
    <col min="15626" max="15637" width="9.6640625" style="42"/>
    <col min="15638" max="15638" width="12" style="42" customWidth="1"/>
    <col min="15639" max="15639" width="12.77734375" style="42" customWidth="1"/>
    <col min="15640" max="15640" width="11.109375" style="42" customWidth="1"/>
    <col min="15641" max="15641" width="12" style="42" customWidth="1"/>
    <col min="15642" max="15642" width="9.6640625" style="42"/>
    <col min="15643" max="15643" width="15.33203125" style="42" customWidth="1"/>
    <col min="15644" max="15644" width="15.21875" style="42" customWidth="1"/>
    <col min="15645" max="15645" width="21.44140625" style="42" customWidth="1"/>
    <col min="15646" max="15661" width="9.6640625" style="42"/>
    <col min="15662" max="15663" width="13.44140625" style="42" customWidth="1"/>
    <col min="15664" max="15664" width="9.6640625" style="42"/>
    <col min="15665" max="15665" width="13.88671875" style="42" customWidth="1"/>
    <col min="15666" max="15666" width="10.6640625" style="42" customWidth="1"/>
    <col min="15667" max="15667" width="17.33203125" style="42" customWidth="1"/>
    <col min="15668" max="15669" width="12.6640625" style="42" customWidth="1"/>
    <col min="15670" max="15670" width="11.21875" style="42" customWidth="1"/>
    <col min="15671" max="15671" width="18.33203125" style="42" customWidth="1"/>
    <col min="15672" max="15672" width="12.88671875" style="42" customWidth="1"/>
    <col min="15673" max="15674" width="13.21875" style="42" customWidth="1"/>
    <col min="15675" max="15675" width="10.88671875" style="42" customWidth="1"/>
    <col min="15676" max="15676" width="11.109375" style="42" customWidth="1"/>
    <col min="15677" max="15677" width="15.21875" style="42" customWidth="1"/>
    <col min="15678" max="15678" width="9.6640625" style="42"/>
    <col min="15679" max="15679" width="11" style="42" customWidth="1"/>
    <col min="15680" max="15680" width="10.77734375" style="42" customWidth="1"/>
    <col min="15681" max="15681" width="11.44140625" style="42" customWidth="1"/>
    <col min="15682" max="15682" width="4" style="42" customWidth="1"/>
    <col min="15683" max="15873" width="9.6640625" style="42"/>
    <col min="15874" max="15874" width="6.44140625" style="42" customWidth="1"/>
    <col min="15875" max="15875" width="13.88671875" style="42" customWidth="1"/>
    <col min="15876" max="15876" width="11.88671875" style="42" customWidth="1"/>
    <col min="15877" max="15879" width="9.6640625" style="42"/>
    <col min="15880" max="15880" width="15.44140625" style="42" customWidth="1"/>
    <col min="15881" max="15881" width="16.21875" style="42" customWidth="1"/>
    <col min="15882" max="15893" width="9.6640625" style="42"/>
    <col min="15894" max="15894" width="12" style="42" customWidth="1"/>
    <col min="15895" max="15895" width="12.77734375" style="42" customWidth="1"/>
    <col min="15896" max="15896" width="11.109375" style="42" customWidth="1"/>
    <col min="15897" max="15897" width="12" style="42" customWidth="1"/>
    <col min="15898" max="15898" width="9.6640625" style="42"/>
    <col min="15899" max="15899" width="15.33203125" style="42" customWidth="1"/>
    <col min="15900" max="15900" width="15.21875" style="42" customWidth="1"/>
    <col min="15901" max="15901" width="21.44140625" style="42" customWidth="1"/>
    <col min="15902" max="15917" width="9.6640625" style="42"/>
    <col min="15918" max="15919" width="13.44140625" style="42" customWidth="1"/>
    <col min="15920" max="15920" width="9.6640625" style="42"/>
    <col min="15921" max="15921" width="13.88671875" style="42" customWidth="1"/>
    <col min="15922" max="15922" width="10.6640625" style="42" customWidth="1"/>
    <col min="15923" max="15923" width="17.33203125" style="42" customWidth="1"/>
    <col min="15924" max="15925" width="12.6640625" style="42" customWidth="1"/>
    <col min="15926" max="15926" width="11.21875" style="42" customWidth="1"/>
    <col min="15927" max="15927" width="18.33203125" style="42" customWidth="1"/>
    <col min="15928" max="15928" width="12.88671875" style="42" customWidth="1"/>
    <col min="15929" max="15930" width="13.21875" style="42" customWidth="1"/>
    <col min="15931" max="15931" width="10.88671875" style="42" customWidth="1"/>
    <col min="15932" max="15932" width="11.109375" style="42" customWidth="1"/>
    <col min="15933" max="15933" width="15.21875" style="42" customWidth="1"/>
    <col min="15934" max="15934" width="9.6640625" style="42"/>
    <col min="15935" max="15935" width="11" style="42" customWidth="1"/>
    <col min="15936" max="15936" width="10.77734375" style="42" customWidth="1"/>
    <col min="15937" max="15937" width="11.44140625" style="42" customWidth="1"/>
    <col min="15938" max="15938" width="4" style="42" customWidth="1"/>
    <col min="15939" max="16129" width="9.6640625" style="42"/>
    <col min="16130" max="16130" width="6.44140625" style="42" customWidth="1"/>
    <col min="16131" max="16131" width="13.88671875" style="42" customWidth="1"/>
    <col min="16132" max="16132" width="11.88671875" style="42" customWidth="1"/>
    <col min="16133" max="16135" width="9.6640625" style="42"/>
    <col min="16136" max="16136" width="15.44140625" style="42" customWidth="1"/>
    <col min="16137" max="16137" width="16.21875" style="42" customWidth="1"/>
    <col min="16138" max="16149" width="9.6640625" style="42"/>
    <col min="16150" max="16150" width="12" style="42" customWidth="1"/>
    <col min="16151" max="16151" width="12.77734375" style="42" customWidth="1"/>
    <col min="16152" max="16152" width="11.109375" style="42" customWidth="1"/>
    <col min="16153" max="16153" width="12" style="42" customWidth="1"/>
    <col min="16154" max="16154" width="9.6640625" style="42"/>
    <col min="16155" max="16155" width="15.33203125" style="42" customWidth="1"/>
    <col min="16156" max="16156" width="15.21875" style="42" customWidth="1"/>
    <col min="16157" max="16157" width="21.44140625" style="42" customWidth="1"/>
    <col min="16158" max="16173" width="9.6640625" style="42"/>
    <col min="16174" max="16175" width="13.44140625" style="42" customWidth="1"/>
    <col min="16176" max="16176" width="9.6640625" style="42"/>
    <col min="16177" max="16177" width="13.88671875" style="42" customWidth="1"/>
    <col min="16178" max="16178" width="10.6640625" style="42" customWidth="1"/>
    <col min="16179" max="16179" width="17.33203125" style="42" customWidth="1"/>
    <col min="16180" max="16181" width="12.6640625" style="42" customWidth="1"/>
    <col min="16182" max="16182" width="11.21875" style="42" customWidth="1"/>
    <col min="16183" max="16183" width="18.33203125" style="42" customWidth="1"/>
    <col min="16184" max="16184" width="12.88671875" style="42" customWidth="1"/>
    <col min="16185" max="16186" width="13.21875" style="42" customWidth="1"/>
    <col min="16187" max="16187" width="10.88671875" style="42" customWidth="1"/>
    <col min="16188" max="16188" width="11.109375" style="42" customWidth="1"/>
    <col min="16189" max="16189" width="15.21875" style="42" customWidth="1"/>
    <col min="16190" max="16190" width="9.6640625" style="42"/>
    <col min="16191" max="16191" width="11" style="42" customWidth="1"/>
    <col min="16192" max="16192" width="10.77734375" style="42" customWidth="1"/>
    <col min="16193" max="16193" width="11.44140625" style="42" customWidth="1"/>
    <col min="16194" max="16194" width="4" style="42" customWidth="1"/>
    <col min="16195" max="16384" width="9.6640625" style="42"/>
  </cols>
  <sheetData>
    <row r="1" spans="1:78" ht="13.2" x14ac:dyDescent="0.2">
      <c r="A1" s="41" t="s">
        <v>146</v>
      </c>
    </row>
    <row r="2" spans="1:78" x14ac:dyDescent="0.2">
      <c r="C2" s="44" t="s">
        <v>147</v>
      </c>
    </row>
    <row r="3" spans="1:78" s="43" customFormat="1" x14ac:dyDescent="0.2">
      <c r="A3" s="45"/>
      <c r="B3" s="46" t="s">
        <v>148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</row>
    <row r="4" spans="1:78" s="43" customFormat="1" x14ac:dyDescent="0.2">
      <c r="A4" s="45"/>
      <c r="B4" s="49" t="s">
        <v>149</v>
      </c>
      <c r="C4" s="47" t="s">
        <v>21</v>
      </c>
      <c r="D4" s="47" t="s">
        <v>21</v>
      </c>
      <c r="E4" s="47" t="s">
        <v>152</v>
      </c>
      <c r="F4" s="47" t="s">
        <v>21</v>
      </c>
      <c r="G4" s="47" t="s">
        <v>21</v>
      </c>
      <c r="H4" s="47" t="s">
        <v>21</v>
      </c>
      <c r="I4" s="47" t="s">
        <v>43</v>
      </c>
      <c r="J4" s="47" t="s">
        <v>129</v>
      </c>
      <c r="K4" s="47" t="s">
        <v>21</v>
      </c>
      <c r="L4" s="47" t="s">
        <v>21</v>
      </c>
      <c r="M4" s="47" t="s">
        <v>21</v>
      </c>
      <c r="N4" s="47" t="s">
        <v>21</v>
      </c>
      <c r="O4" s="47" t="s">
        <v>21</v>
      </c>
      <c r="P4" s="47" t="s">
        <v>21</v>
      </c>
      <c r="Q4" s="47" t="s">
        <v>21</v>
      </c>
      <c r="R4" s="47" t="s">
        <v>21</v>
      </c>
      <c r="S4" s="47" t="s">
        <v>21</v>
      </c>
      <c r="T4" s="47" t="s">
        <v>21</v>
      </c>
      <c r="U4" s="47" t="s">
        <v>43</v>
      </c>
      <c r="V4" s="47" t="s">
        <v>21</v>
      </c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</row>
    <row r="5" spans="1:78" s="43" customFormat="1" x14ac:dyDescent="0.2">
      <c r="A5" s="45"/>
      <c r="B5" s="46" t="s">
        <v>153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</row>
    <row r="6" spans="1:78" s="103" customFormat="1" ht="22.8" customHeight="1" x14ac:dyDescent="0.2">
      <c r="A6" s="98"/>
      <c r="B6" s="49" t="s">
        <v>154</v>
      </c>
      <c r="C6" s="49" t="s">
        <v>19</v>
      </c>
      <c r="D6" s="49" t="s">
        <v>144</v>
      </c>
      <c r="E6" s="49" t="s">
        <v>141</v>
      </c>
      <c r="F6" s="49" t="s">
        <v>120</v>
      </c>
      <c r="G6" s="49" t="s">
        <v>121</v>
      </c>
      <c r="H6" s="49" t="s">
        <v>279</v>
      </c>
      <c r="I6" s="49" t="s">
        <v>93</v>
      </c>
      <c r="J6" s="49" t="s">
        <v>93</v>
      </c>
      <c r="K6" s="49" t="s">
        <v>145</v>
      </c>
      <c r="L6" s="49" t="s">
        <v>87</v>
      </c>
      <c r="M6" s="49" t="s">
        <v>122</v>
      </c>
      <c r="N6" s="49" t="s">
        <v>9</v>
      </c>
      <c r="O6" s="49" t="s">
        <v>35</v>
      </c>
      <c r="P6" s="49" t="s">
        <v>123</v>
      </c>
      <c r="Q6" s="49" t="s">
        <v>142</v>
      </c>
      <c r="R6" s="49" t="s">
        <v>124</v>
      </c>
      <c r="S6" s="49" t="s">
        <v>143</v>
      </c>
      <c r="T6" s="49" t="s">
        <v>283</v>
      </c>
      <c r="U6" s="49" t="s">
        <v>282</v>
      </c>
      <c r="V6" s="49" t="s">
        <v>17</v>
      </c>
      <c r="W6" s="49"/>
      <c r="X6" s="49"/>
      <c r="Y6" s="99"/>
      <c r="Z6" s="99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1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</row>
    <row r="7" spans="1:78" x14ac:dyDescent="0.2">
      <c r="A7" s="55" t="s">
        <v>158</v>
      </c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</row>
    <row r="8" spans="1:78" x14ac:dyDescent="0.2">
      <c r="A8" s="58" t="s">
        <v>162</v>
      </c>
      <c r="B8" s="56"/>
      <c r="C8" s="64">
        <v>4.6153846153846158E-3</v>
      </c>
      <c r="D8" s="64">
        <v>1.2307692307692308E-2</v>
      </c>
      <c r="E8" s="64">
        <v>6</v>
      </c>
      <c r="F8" s="64"/>
      <c r="G8" s="64"/>
      <c r="H8" s="64">
        <v>9.2307692307692316E-3</v>
      </c>
      <c r="I8" s="64">
        <v>2</v>
      </c>
      <c r="J8" s="64"/>
      <c r="K8" s="64">
        <v>4.6153846153846158E-3</v>
      </c>
      <c r="L8" s="64">
        <v>8.615384615384615E-3</v>
      </c>
      <c r="M8" s="64"/>
      <c r="N8" s="64">
        <v>0.27692307692307694</v>
      </c>
      <c r="O8" s="64">
        <v>6.1538461538461538E-3</v>
      </c>
      <c r="P8" s="64"/>
      <c r="Q8" s="64">
        <v>1.2307692307692308E-2</v>
      </c>
      <c r="R8" s="64"/>
      <c r="S8" s="64">
        <v>6.1538461538461538E-3</v>
      </c>
      <c r="T8" s="64">
        <v>2.5054945054945054E-2</v>
      </c>
      <c r="U8" s="64">
        <v>2.8571428571428571E-3</v>
      </c>
      <c r="V8" s="64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</row>
    <row r="9" spans="1:78" x14ac:dyDescent="0.2">
      <c r="A9" s="58" t="s">
        <v>163</v>
      </c>
      <c r="B9" s="56"/>
      <c r="C9" s="64"/>
      <c r="D9" s="64"/>
      <c r="E9" s="64"/>
      <c r="F9" s="64"/>
      <c r="G9" s="64"/>
      <c r="H9" s="64"/>
      <c r="I9" s="64"/>
      <c r="J9" s="64">
        <v>1.519559500328731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</row>
    <row r="10" spans="1:78" x14ac:dyDescent="0.2">
      <c r="A10" s="58" t="s">
        <v>171</v>
      </c>
      <c r="B10" s="56"/>
      <c r="C10" s="64"/>
      <c r="D10" s="64"/>
      <c r="E10" s="64"/>
      <c r="F10" s="64"/>
      <c r="G10" s="64"/>
      <c r="H10" s="64"/>
      <c r="I10" s="64"/>
      <c r="J10" s="64">
        <v>1.6981132075471699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</row>
    <row r="11" spans="1:78" x14ac:dyDescent="0.2">
      <c r="A11" s="58" t="s">
        <v>172</v>
      </c>
      <c r="B11" s="56"/>
      <c r="C11" s="64"/>
      <c r="D11" s="64"/>
      <c r="E11" s="64"/>
      <c r="F11" s="64"/>
      <c r="G11" s="64"/>
      <c r="H11" s="64"/>
      <c r="I11" s="64"/>
      <c r="J11" s="64">
        <v>0.73601570166830232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>
        <v>1.4235028955342991E-2</v>
      </c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</row>
    <row r="12" spans="1:78" x14ac:dyDescent="0.2">
      <c r="A12" s="58" t="s">
        <v>164</v>
      </c>
      <c r="B12" s="56"/>
      <c r="C12" s="64">
        <v>7.1428571428571425E-2</v>
      </c>
      <c r="D12" s="64"/>
      <c r="E12" s="64"/>
      <c r="F12" s="64">
        <v>3.3979591836734695E-3</v>
      </c>
      <c r="G12" s="64"/>
      <c r="H12" s="64"/>
      <c r="I12" s="64"/>
      <c r="J12" s="64"/>
      <c r="K12" s="64"/>
      <c r="L12" s="64">
        <v>1.4285714285714285E-2</v>
      </c>
      <c r="M12" s="64">
        <v>4.757142857142857E-2</v>
      </c>
      <c r="N12" s="64">
        <v>0.4757142857142857</v>
      </c>
      <c r="O12" s="64">
        <v>9.7571428571428573E-2</v>
      </c>
      <c r="P12" s="64">
        <v>6.66</v>
      </c>
      <c r="Q12" s="64"/>
      <c r="R12" s="64"/>
      <c r="S12" s="64"/>
      <c r="T12" s="64"/>
      <c r="U12" s="64"/>
      <c r="V12" s="64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</row>
    <row r="13" spans="1:78" x14ac:dyDescent="0.2">
      <c r="A13" s="58" t="s">
        <v>166</v>
      </c>
      <c r="B13" s="56"/>
      <c r="C13" s="64">
        <v>7.1428571428571425E-2</v>
      </c>
      <c r="D13" s="64"/>
      <c r="E13" s="64"/>
      <c r="F13" s="64"/>
      <c r="G13" s="64">
        <v>1.6571428571428572E-3</v>
      </c>
      <c r="H13" s="64"/>
      <c r="I13" s="64"/>
      <c r="J13" s="64"/>
      <c r="K13" s="64"/>
      <c r="L13" s="64">
        <v>1.4285714285714285E-2</v>
      </c>
      <c r="M13" s="64">
        <v>4.7551020408163266E-2</v>
      </c>
      <c r="N13" s="64">
        <v>0.3961904761904762</v>
      </c>
      <c r="O13" s="64">
        <v>9.7619047619047619E-2</v>
      </c>
      <c r="P13" s="64">
        <v>1.3280000000000001</v>
      </c>
      <c r="Q13" s="64"/>
      <c r="R13" s="64">
        <v>1.6666000000000001</v>
      </c>
      <c r="S13" s="64"/>
      <c r="T13" s="64"/>
      <c r="U13" s="64"/>
      <c r="V13" s="64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</row>
    <row r="14" spans="1:78" x14ac:dyDescent="0.2">
      <c r="A14" s="58" t="s">
        <v>167</v>
      </c>
      <c r="B14" s="56"/>
      <c r="C14" s="64">
        <v>7.1428571428571426E-3</v>
      </c>
      <c r="D14" s="64"/>
      <c r="E14" s="64"/>
      <c r="F14" s="64">
        <v>5.9523809523809521E-2</v>
      </c>
      <c r="G14" s="64">
        <v>1.1857142857142858E-2</v>
      </c>
      <c r="H14" s="64">
        <v>1.4285714285714285E-2</v>
      </c>
      <c r="I14" s="64"/>
      <c r="J14" s="64"/>
      <c r="K14" s="64"/>
      <c r="L14" s="64">
        <v>0.23785714285714285</v>
      </c>
      <c r="M14" s="64">
        <v>7.8571428571428577E-3</v>
      </c>
      <c r="N14" s="64">
        <v>0.6171428571428571</v>
      </c>
      <c r="O14" s="64">
        <v>1.3071428571428571E-2</v>
      </c>
      <c r="P14" s="64">
        <v>1.665</v>
      </c>
      <c r="Q14" s="64"/>
      <c r="R14" s="64">
        <v>0.6657142857142857</v>
      </c>
      <c r="S14" s="64"/>
      <c r="T14" s="64">
        <v>1.9047619047619049E-2</v>
      </c>
      <c r="U14" s="64"/>
      <c r="V14" s="64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</row>
    <row r="15" spans="1:78" x14ac:dyDescent="0.2">
      <c r="A15" s="58" t="s">
        <v>168</v>
      </c>
      <c r="B15" s="56"/>
      <c r="C15" s="64">
        <v>8.5714285714285719E-3</v>
      </c>
      <c r="D15" s="64"/>
      <c r="E15" s="64"/>
      <c r="F15" s="64">
        <v>5.7142857142857143E-3</v>
      </c>
      <c r="G15" s="64">
        <v>1.7142857142857144E-2</v>
      </c>
      <c r="H15" s="64">
        <v>1.4285714285714285E-2</v>
      </c>
      <c r="I15" s="64"/>
      <c r="J15" s="64"/>
      <c r="K15" s="64"/>
      <c r="L15" s="64">
        <v>1.4285714285714285E-2</v>
      </c>
      <c r="M15" s="64">
        <v>8.552631578947369E-3</v>
      </c>
      <c r="N15" s="64">
        <v>0.68571428571428572</v>
      </c>
      <c r="O15" s="64">
        <v>1.9974715549936788E-2</v>
      </c>
      <c r="P15" s="64">
        <v>1.6</v>
      </c>
      <c r="Q15" s="64"/>
      <c r="R15" s="64"/>
      <c r="S15" s="64"/>
      <c r="T15" s="64">
        <v>1.4285714285714285E-2</v>
      </c>
      <c r="U15" s="64"/>
      <c r="V15" s="64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</row>
    <row r="16" spans="1:78" x14ac:dyDescent="0.2">
      <c r="A16" s="58" t="s">
        <v>169</v>
      </c>
      <c r="B16" s="57"/>
      <c r="C16" s="64">
        <v>4.1619047619047616E-3</v>
      </c>
      <c r="D16" s="64"/>
      <c r="E16" s="64"/>
      <c r="F16" s="64"/>
      <c r="G16" s="64"/>
      <c r="H16" s="64">
        <v>4.1650000000000003E-3</v>
      </c>
      <c r="I16" s="64"/>
      <c r="J16" s="64"/>
      <c r="K16" s="64"/>
      <c r="L16" s="64">
        <v>8.314285714285715E-3</v>
      </c>
      <c r="M16" s="64"/>
      <c r="N16" s="64"/>
      <c r="O16" s="64">
        <v>8.3328571428571432E-2</v>
      </c>
      <c r="P16" s="64"/>
      <c r="Q16" s="64"/>
      <c r="R16" s="64"/>
      <c r="S16" s="64"/>
      <c r="T16" s="64"/>
      <c r="U16" s="64"/>
      <c r="V16" s="64"/>
      <c r="W16" s="62"/>
      <c r="X16" s="62"/>
      <c r="Y16" s="57"/>
      <c r="Z16" s="57"/>
      <c r="AA16" s="57"/>
      <c r="AB16" s="57"/>
      <c r="AC16" s="57"/>
      <c r="AD16" s="59"/>
      <c r="AE16" s="57"/>
      <c r="AF16" s="57"/>
      <c r="AG16" s="57"/>
      <c r="AH16" s="57"/>
      <c r="AI16" s="57"/>
      <c r="AJ16" s="57"/>
      <c r="AK16" s="57"/>
      <c r="AL16" s="59"/>
      <c r="AM16" s="59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60"/>
      <c r="BI16" s="60"/>
      <c r="BJ16" s="60"/>
      <c r="BK16" s="60"/>
      <c r="BL16" s="57"/>
      <c r="BM16" s="57"/>
      <c r="BN16" s="57"/>
    </row>
    <row r="17" spans="1:66" x14ac:dyDescent="0.2">
      <c r="A17" s="58" t="s">
        <v>159</v>
      </c>
      <c r="B17" s="57"/>
      <c r="C17" s="64">
        <v>4.1176470588235297E-3</v>
      </c>
      <c r="D17" s="64"/>
      <c r="E17" s="64"/>
      <c r="F17" s="64"/>
      <c r="G17" s="64"/>
      <c r="H17" s="64">
        <v>4.1642857142857141E-3</v>
      </c>
      <c r="I17" s="64"/>
      <c r="J17" s="64"/>
      <c r="K17" s="64"/>
      <c r="L17" s="64">
        <v>4.2500000000000003E-3</v>
      </c>
      <c r="M17" s="64"/>
      <c r="N17" s="64"/>
      <c r="O17" s="64">
        <v>8.3000000000000001E-3</v>
      </c>
      <c r="P17" s="64"/>
      <c r="Q17" s="64"/>
      <c r="R17" s="64"/>
      <c r="S17" s="64"/>
      <c r="T17" s="64"/>
      <c r="U17" s="64">
        <v>6.2333333333333331E-2</v>
      </c>
      <c r="V17" s="64"/>
      <c r="W17" s="62"/>
      <c r="X17" s="62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60"/>
      <c r="BI17" s="60"/>
      <c r="BJ17" s="60"/>
      <c r="BK17" s="60"/>
      <c r="BL17" s="57"/>
      <c r="BM17" s="57"/>
      <c r="BN17" s="57"/>
    </row>
    <row r="18" spans="1:66" x14ac:dyDescent="0.2">
      <c r="A18" s="58" t="s">
        <v>160</v>
      </c>
      <c r="B18" s="57"/>
      <c r="C18" s="64">
        <v>4.1333333333333335E-3</v>
      </c>
      <c r="D18" s="64"/>
      <c r="E18" s="64"/>
      <c r="F18" s="64"/>
      <c r="G18" s="64"/>
      <c r="H18" s="64"/>
      <c r="I18" s="64"/>
      <c r="J18" s="64"/>
      <c r="K18" s="64"/>
      <c r="L18" s="64">
        <v>0.01</v>
      </c>
      <c r="M18" s="64"/>
      <c r="N18" s="64"/>
      <c r="O18" s="64">
        <v>8.3499999999999998E-3</v>
      </c>
      <c r="P18" s="64"/>
      <c r="Q18" s="64"/>
      <c r="R18" s="64"/>
      <c r="S18" s="64"/>
      <c r="T18" s="64"/>
      <c r="U18" s="64">
        <v>0.10588235294117647</v>
      </c>
      <c r="V18" s="64"/>
      <c r="W18" s="62"/>
      <c r="X18" s="62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60"/>
      <c r="BI18" s="60"/>
      <c r="BJ18" s="60"/>
      <c r="BK18" s="60"/>
      <c r="BL18" s="57"/>
      <c r="BM18" s="57"/>
      <c r="BN18" s="57"/>
    </row>
    <row r="19" spans="1:66" x14ac:dyDescent="0.2">
      <c r="A19" s="58" t="s">
        <v>161</v>
      </c>
      <c r="C19" s="64">
        <v>5.7142857142857143E-3</v>
      </c>
      <c r="D19" s="64"/>
      <c r="E19" s="64"/>
      <c r="F19" s="64"/>
      <c r="G19" s="64"/>
      <c r="H19" s="64"/>
      <c r="I19" s="64"/>
      <c r="J19" s="64"/>
      <c r="K19" s="64"/>
      <c r="L19" s="64">
        <v>2.0816326530612245E-2</v>
      </c>
      <c r="M19" s="64"/>
      <c r="N19" s="64"/>
      <c r="O19" s="64">
        <v>1.2472527472527473E-2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66" x14ac:dyDescent="0.2"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1"/>
  <sheetViews>
    <sheetView workbookViewId="0">
      <pane xSplit="2" ySplit="7" topLeftCell="C8" activePane="bottomRight" state="frozenSplit"/>
      <selection activeCell="C8" sqref="C8:Y11"/>
      <selection pane="topRight" activeCell="C8" sqref="C8:Y11"/>
      <selection pane="bottomLeft" activeCell="C8" sqref="C8:Y11"/>
      <selection pane="bottomRight" activeCell="K35" sqref="K35"/>
    </sheetView>
  </sheetViews>
  <sheetFormatPr defaultColWidth="9.6640625" defaultRowHeight="12" x14ac:dyDescent="0.2"/>
  <cols>
    <col min="1" max="1" width="6.44140625" style="43" customWidth="1"/>
    <col min="2" max="2" width="13.88671875" style="42" customWidth="1"/>
    <col min="3" max="3" width="11.88671875" style="42" customWidth="1"/>
    <col min="4" max="6" width="9.6640625" style="42"/>
    <col min="7" max="7" width="9.6640625" style="42" customWidth="1"/>
    <col min="8" max="8" width="10" style="42" customWidth="1"/>
    <col min="9" max="9" width="9.6640625" style="42"/>
    <col min="10" max="10" width="12.21875" style="42" customWidth="1"/>
    <col min="11" max="11" width="11.88671875" style="42" customWidth="1"/>
    <col min="12" max="12" width="11.21875" style="42" customWidth="1"/>
    <col min="13" max="13" width="12" style="42" customWidth="1"/>
    <col min="14" max="14" width="11.33203125" style="42" customWidth="1"/>
    <col min="15" max="20" width="9.6640625" style="42"/>
    <col min="21" max="21" width="12" style="42" customWidth="1"/>
    <col min="22" max="22" width="12.77734375" style="42" customWidth="1"/>
    <col min="23" max="23" width="11.109375" style="42" customWidth="1"/>
    <col min="24" max="24" width="12" style="42" customWidth="1"/>
    <col min="25" max="25" width="11.33203125" style="42" customWidth="1"/>
    <col min="26" max="26" width="15.33203125" style="42" customWidth="1"/>
    <col min="27" max="27" width="11.33203125" style="42" customWidth="1"/>
    <col min="28" max="28" width="9.44140625" style="42" customWidth="1"/>
    <col min="29" max="29" width="13.21875" style="42" customWidth="1"/>
    <col min="30" max="30" width="9.6640625" style="42"/>
    <col min="31" max="31" width="7.77734375" style="42" customWidth="1"/>
    <col min="32" max="32" width="9.6640625" style="42"/>
    <col min="33" max="33" width="9" style="42" customWidth="1"/>
    <col min="34" max="37" width="9.6640625" style="42"/>
    <col min="38" max="38" width="12.5546875" style="42" customWidth="1"/>
    <col min="39" max="39" width="12.88671875" style="42" customWidth="1"/>
    <col min="40" max="40" width="12.5546875" style="42" customWidth="1"/>
    <col min="41" max="41" width="15.5546875" style="42" customWidth="1"/>
    <col min="42" max="44" width="9.6640625" style="42"/>
    <col min="45" max="46" width="13.44140625" style="42" customWidth="1"/>
    <col min="47" max="47" width="9.6640625" style="42"/>
    <col min="48" max="48" width="13.88671875" style="42" customWidth="1"/>
    <col min="49" max="49" width="10.6640625" style="42" customWidth="1"/>
    <col min="50" max="50" width="17.33203125" style="42" customWidth="1"/>
    <col min="51" max="52" width="12.6640625" style="42" customWidth="1"/>
    <col min="53" max="53" width="11.21875" style="42" customWidth="1"/>
    <col min="54" max="54" width="18.33203125" style="42" customWidth="1"/>
    <col min="55" max="55" width="12.88671875" style="42" customWidth="1"/>
    <col min="56" max="57" width="13.21875" style="42" customWidth="1"/>
    <col min="58" max="58" width="10.88671875" style="42" customWidth="1"/>
    <col min="59" max="59" width="11.109375" style="42" customWidth="1"/>
    <col min="60" max="60" width="15.21875" style="42" customWidth="1"/>
    <col min="61" max="61" width="9.6640625" style="42"/>
    <col min="62" max="62" width="11" style="42" customWidth="1"/>
    <col min="63" max="63" width="10.77734375" style="42" customWidth="1"/>
    <col min="64" max="64" width="11.44140625" style="42" customWidth="1"/>
    <col min="65" max="65" width="4" style="42" customWidth="1"/>
    <col min="66" max="256" width="9.6640625" style="42"/>
    <col min="257" max="257" width="6.44140625" style="42" customWidth="1"/>
    <col min="258" max="258" width="13.88671875" style="42" customWidth="1"/>
    <col min="259" max="259" width="11.88671875" style="42" customWidth="1"/>
    <col min="260" max="262" width="9.6640625" style="42"/>
    <col min="263" max="263" width="15.44140625" style="42" customWidth="1"/>
    <col min="264" max="264" width="16.21875" style="42" customWidth="1"/>
    <col min="265" max="276" width="9.6640625" style="42"/>
    <col min="277" max="277" width="12" style="42" customWidth="1"/>
    <col min="278" max="278" width="12.77734375" style="42" customWidth="1"/>
    <col min="279" max="279" width="11.109375" style="42" customWidth="1"/>
    <col min="280" max="280" width="12" style="42" customWidth="1"/>
    <col min="281" max="281" width="9.6640625" style="42"/>
    <col min="282" max="282" width="15.33203125" style="42" customWidth="1"/>
    <col min="283" max="283" width="15.21875" style="42" customWidth="1"/>
    <col min="284" max="284" width="21.44140625" style="42" customWidth="1"/>
    <col min="285" max="300" width="9.6640625" style="42"/>
    <col min="301" max="302" width="13.44140625" style="42" customWidth="1"/>
    <col min="303" max="303" width="9.6640625" style="42"/>
    <col min="304" max="304" width="13.88671875" style="42" customWidth="1"/>
    <col min="305" max="305" width="10.6640625" style="42" customWidth="1"/>
    <col min="306" max="306" width="17.33203125" style="42" customWidth="1"/>
    <col min="307" max="308" width="12.6640625" style="42" customWidth="1"/>
    <col min="309" max="309" width="11.21875" style="42" customWidth="1"/>
    <col min="310" max="310" width="18.33203125" style="42" customWidth="1"/>
    <col min="311" max="311" width="12.88671875" style="42" customWidth="1"/>
    <col min="312" max="313" width="13.21875" style="42" customWidth="1"/>
    <col min="314" max="314" width="10.88671875" style="42" customWidth="1"/>
    <col min="315" max="315" width="11.109375" style="42" customWidth="1"/>
    <col min="316" max="316" width="15.21875" style="42" customWidth="1"/>
    <col min="317" max="317" width="9.6640625" style="42"/>
    <col min="318" max="318" width="11" style="42" customWidth="1"/>
    <col min="319" max="319" width="10.77734375" style="42" customWidth="1"/>
    <col min="320" max="320" width="11.44140625" style="42" customWidth="1"/>
    <col min="321" max="321" width="4" style="42" customWidth="1"/>
    <col min="322" max="512" width="9.6640625" style="42"/>
    <col min="513" max="513" width="6.44140625" style="42" customWidth="1"/>
    <col min="514" max="514" width="13.88671875" style="42" customWidth="1"/>
    <col min="515" max="515" width="11.88671875" style="42" customWidth="1"/>
    <col min="516" max="518" width="9.6640625" style="42"/>
    <col min="519" max="519" width="15.44140625" style="42" customWidth="1"/>
    <col min="520" max="520" width="16.21875" style="42" customWidth="1"/>
    <col min="521" max="532" width="9.6640625" style="42"/>
    <col min="533" max="533" width="12" style="42" customWidth="1"/>
    <col min="534" max="534" width="12.77734375" style="42" customWidth="1"/>
    <col min="535" max="535" width="11.109375" style="42" customWidth="1"/>
    <col min="536" max="536" width="12" style="42" customWidth="1"/>
    <col min="537" max="537" width="9.6640625" style="42"/>
    <col min="538" max="538" width="15.33203125" style="42" customWidth="1"/>
    <col min="539" max="539" width="15.21875" style="42" customWidth="1"/>
    <col min="540" max="540" width="21.44140625" style="42" customWidth="1"/>
    <col min="541" max="556" width="9.6640625" style="42"/>
    <col min="557" max="558" width="13.44140625" style="42" customWidth="1"/>
    <col min="559" max="559" width="9.6640625" style="42"/>
    <col min="560" max="560" width="13.88671875" style="42" customWidth="1"/>
    <col min="561" max="561" width="10.6640625" style="42" customWidth="1"/>
    <col min="562" max="562" width="17.33203125" style="42" customWidth="1"/>
    <col min="563" max="564" width="12.6640625" style="42" customWidth="1"/>
    <col min="565" max="565" width="11.21875" style="42" customWidth="1"/>
    <col min="566" max="566" width="18.33203125" style="42" customWidth="1"/>
    <col min="567" max="567" width="12.88671875" style="42" customWidth="1"/>
    <col min="568" max="569" width="13.21875" style="42" customWidth="1"/>
    <col min="570" max="570" width="10.88671875" style="42" customWidth="1"/>
    <col min="571" max="571" width="11.109375" style="42" customWidth="1"/>
    <col min="572" max="572" width="15.21875" style="42" customWidth="1"/>
    <col min="573" max="573" width="9.6640625" style="42"/>
    <col min="574" max="574" width="11" style="42" customWidth="1"/>
    <col min="575" max="575" width="10.77734375" style="42" customWidth="1"/>
    <col min="576" max="576" width="11.44140625" style="42" customWidth="1"/>
    <col min="577" max="577" width="4" style="42" customWidth="1"/>
    <col min="578" max="768" width="9.6640625" style="42"/>
    <col min="769" max="769" width="6.44140625" style="42" customWidth="1"/>
    <col min="770" max="770" width="13.88671875" style="42" customWidth="1"/>
    <col min="771" max="771" width="11.88671875" style="42" customWidth="1"/>
    <col min="772" max="774" width="9.6640625" style="42"/>
    <col min="775" max="775" width="15.44140625" style="42" customWidth="1"/>
    <col min="776" max="776" width="16.21875" style="42" customWidth="1"/>
    <col min="777" max="788" width="9.6640625" style="42"/>
    <col min="789" max="789" width="12" style="42" customWidth="1"/>
    <col min="790" max="790" width="12.77734375" style="42" customWidth="1"/>
    <col min="791" max="791" width="11.109375" style="42" customWidth="1"/>
    <col min="792" max="792" width="12" style="42" customWidth="1"/>
    <col min="793" max="793" width="9.6640625" style="42"/>
    <col min="794" max="794" width="15.33203125" style="42" customWidth="1"/>
    <col min="795" max="795" width="15.21875" style="42" customWidth="1"/>
    <col min="796" max="796" width="21.44140625" style="42" customWidth="1"/>
    <col min="797" max="812" width="9.6640625" style="42"/>
    <col min="813" max="814" width="13.44140625" style="42" customWidth="1"/>
    <col min="815" max="815" width="9.6640625" style="42"/>
    <col min="816" max="816" width="13.88671875" style="42" customWidth="1"/>
    <col min="817" max="817" width="10.6640625" style="42" customWidth="1"/>
    <col min="818" max="818" width="17.33203125" style="42" customWidth="1"/>
    <col min="819" max="820" width="12.6640625" style="42" customWidth="1"/>
    <col min="821" max="821" width="11.21875" style="42" customWidth="1"/>
    <col min="822" max="822" width="18.33203125" style="42" customWidth="1"/>
    <col min="823" max="823" width="12.88671875" style="42" customWidth="1"/>
    <col min="824" max="825" width="13.21875" style="42" customWidth="1"/>
    <col min="826" max="826" width="10.88671875" style="42" customWidth="1"/>
    <col min="827" max="827" width="11.109375" style="42" customWidth="1"/>
    <col min="828" max="828" width="15.21875" style="42" customWidth="1"/>
    <col min="829" max="829" width="9.6640625" style="42"/>
    <col min="830" max="830" width="11" style="42" customWidth="1"/>
    <col min="831" max="831" width="10.77734375" style="42" customWidth="1"/>
    <col min="832" max="832" width="11.44140625" style="42" customWidth="1"/>
    <col min="833" max="833" width="4" style="42" customWidth="1"/>
    <col min="834" max="1024" width="9.6640625" style="42"/>
    <col min="1025" max="1025" width="6.44140625" style="42" customWidth="1"/>
    <col min="1026" max="1026" width="13.88671875" style="42" customWidth="1"/>
    <col min="1027" max="1027" width="11.88671875" style="42" customWidth="1"/>
    <col min="1028" max="1030" width="9.6640625" style="42"/>
    <col min="1031" max="1031" width="15.44140625" style="42" customWidth="1"/>
    <col min="1032" max="1032" width="16.21875" style="42" customWidth="1"/>
    <col min="1033" max="1044" width="9.6640625" style="42"/>
    <col min="1045" max="1045" width="12" style="42" customWidth="1"/>
    <col min="1046" max="1046" width="12.77734375" style="42" customWidth="1"/>
    <col min="1047" max="1047" width="11.109375" style="42" customWidth="1"/>
    <col min="1048" max="1048" width="12" style="42" customWidth="1"/>
    <col min="1049" max="1049" width="9.6640625" style="42"/>
    <col min="1050" max="1050" width="15.33203125" style="42" customWidth="1"/>
    <col min="1051" max="1051" width="15.21875" style="42" customWidth="1"/>
    <col min="1052" max="1052" width="21.44140625" style="42" customWidth="1"/>
    <col min="1053" max="1068" width="9.6640625" style="42"/>
    <col min="1069" max="1070" width="13.44140625" style="42" customWidth="1"/>
    <col min="1071" max="1071" width="9.6640625" style="42"/>
    <col min="1072" max="1072" width="13.88671875" style="42" customWidth="1"/>
    <col min="1073" max="1073" width="10.6640625" style="42" customWidth="1"/>
    <col min="1074" max="1074" width="17.33203125" style="42" customWidth="1"/>
    <col min="1075" max="1076" width="12.6640625" style="42" customWidth="1"/>
    <col min="1077" max="1077" width="11.21875" style="42" customWidth="1"/>
    <col min="1078" max="1078" width="18.33203125" style="42" customWidth="1"/>
    <col min="1079" max="1079" width="12.88671875" style="42" customWidth="1"/>
    <col min="1080" max="1081" width="13.21875" style="42" customWidth="1"/>
    <col min="1082" max="1082" width="10.88671875" style="42" customWidth="1"/>
    <col min="1083" max="1083" width="11.109375" style="42" customWidth="1"/>
    <col min="1084" max="1084" width="15.21875" style="42" customWidth="1"/>
    <col min="1085" max="1085" width="9.6640625" style="42"/>
    <col min="1086" max="1086" width="11" style="42" customWidth="1"/>
    <col min="1087" max="1087" width="10.77734375" style="42" customWidth="1"/>
    <col min="1088" max="1088" width="11.44140625" style="42" customWidth="1"/>
    <col min="1089" max="1089" width="4" style="42" customWidth="1"/>
    <col min="1090" max="1280" width="9.6640625" style="42"/>
    <col min="1281" max="1281" width="6.44140625" style="42" customWidth="1"/>
    <col min="1282" max="1282" width="13.88671875" style="42" customWidth="1"/>
    <col min="1283" max="1283" width="11.88671875" style="42" customWidth="1"/>
    <col min="1284" max="1286" width="9.6640625" style="42"/>
    <col min="1287" max="1287" width="15.44140625" style="42" customWidth="1"/>
    <col min="1288" max="1288" width="16.21875" style="42" customWidth="1"/>
    <col min="1289" max="1300" width="9.6640625" style="42"/>
    <col min="1301" max="1301" width="12" style="42" customWidth="1"/>
    <col min="1302" max="1302" width="12.77734375" style="42" customWidth="1"/>
    <col min="1303" max="1303" width="11.109375" style="42" customWidth="1"/>
    <col min="1304" max="1304" width="12" style="42" customWidth="1"/>
    <col min="1305" max="1305" width="9.6640625" style="42"/>
    <col min="1306" max="1306" width="15.33203125" style="42" customWidth="1"/>
    <col min="1307" max="1307" width="15.21875" style="42" customWidth="1"/>
    <col min="1308" max="1308" width="21.44140625" style="42" customWidth="1"/>
    <col min="1309" max="1324" width="9.6640625" style="42"/>
    <col min="1325" max="1326" width="13.44140625" style="42" customWidth="1"/>
    <col min="1327" max="1327" width="9.6640625" style="42"/>
    <col min="1328" max="1328" width="13.88671875" style="42" customWidth="1"/>
    <col min="1329" max="1329" width="10.6640625" style="42" customWidth="1"/>
    <col min="1330" max="1330" width="17.33203125" style="42" customWidth="1"/>
    <col min="1331" max="1332" width="12.6640625" style="42" customWidth="1"/>
    <col min="1333" max="1333" width="11.21875" style="42" customWidth="1"/>
    <col min="1334" max="1334" width="18.33203125" style="42" customWidth="1"/>
    <col min="1335" max="1335" width="12.88671875" style="42" customWidth="1"/>
    <col min="1336" max="1337" width="13.21875" style="42" customWidth="1"/>
    <col min="1338" max="1338" width="10.88671875" style="42" customWidth="1"/>
    <col min="1339" max="1339" width="11.109375" style="42" customWidth="1"/>
    <col min="1340" max="1340" width="15.21875" style="42" customWidth="1"/>
    <col min="1341" max="1341" width="9.6640625" style="42"/>
    <col min="1342" max="1342" width="11" style="42" customWidth="1"/>
    <col min="1343" max="1343" width="10.77734375" style="42" customWidth="1"/>
    <col min="1344" max="1344" width="11.44140625" style="42" customWidth="1"/>
    <col min="1345" max="1345" width="4" style="42" customWidth="1"/>
    <col min="1346" max="1536" width="9.6640625" style="42"/>
    <col min="1537" max="1537" width="6.44140625" style="42" customWidth="1"/>
    <col min="1538" max="1538" width="13.88671875" style="42" customWidth="1"/>
    <col min="1539" max="1539" width="11.88671875" style="42" customWidth="1"/>
    <col min="1540" max="1542" width="9.6640625" style="42"/>
    <col min="1543" max="1543" width="15.44140625" style="42" customWidth="1"/>
    <col min="1544" max="1544" width="16.21875" style="42" customWidth="1"/>
    <col min="1545" max="1556" width="9.6640625" style="42"/>
    <col min="1557" max="1557" width="12" style="42" customWidth="1"/>
    <col min="1558" max="1558" width="12.77734375" style="42" customWidth="1"/>
    <col min="1559" max="1559" width="11.109375" style="42" customWidth="1"/>
    <col min="1560" max="1560" width="12" style="42" customWidth="1"/>
    <col min="1561" max="1561" width="9.6640625" style="42"/>
    <col min="1562" max="1562" width="15.33203125" style="42" customWidth="1"/>
    <col min="1563" max="1563" width="15.21875" style="42" customWidth="1"/>
    <col min="1564" max="1564" width="21.44140625" style="42" customWidth="1"/>
    <col min="1565" max="1580" width="9.6640625" style="42"/>
    <col min="1581" max="1582" width="13.44140625" style="42" customWidth="1"/>
    <col min="1583" max="1583" width="9.6640625" style="42"/>
    <col min="1584" max="1584" width="13.88671875" style="42" customWidth="1"/>
    <col min="1585" max="1585" width="10.6640625" style="42" customWidth="1"/>
    <col min="1586" max="1586" width="17.33203125" style="42" customWidth="1"/>
    <col min="1587" max="1588" width="12.6640625" style="42" customWidth="1"/>
    <col min="1589" max="1589" width="11.21875" style="42" customWidth="1"/>
    <col min="1590" max="1590" width="18.33203125" style="42" customWidth="1"/>
    <col min="1591" max="1591" width="12.88671875" style="42" customWidth="1"/>
    <col min="1592" max="1593" width="13.21875" style="42" customWidth="1"/>
    <col min="1594" max="1594" width="10.88671875" style="42" customWidth="1"/>
    <col min="1595" max="1595" width="11.109375" style="42" customWidth="1"/>
    <col min="1596" max="1596" width="15.21875" style="42" customWidth="1"/>
    <col min="1597" max="1597" width="9.6640625" style="42"/>
    <col min="1598" max="1598" width="11" style="42" customWidth="1"/>
    <col min="1599" max="1599" width="10.77734375" style="42" customWidth="1"/>
    <col min="1600" max="1600" width="11.44140625" style="42" customWidth="1"/>
    <col min="1601" max="1601" width="4" style="42" customWidth="1"/>
    <col min="1602" max="1792" width="9.6640625" style="42"/>
    <col min="1793" max="1793" width="6.44140625" style="42" customWidth="1"/>
    <col min="1794" max="1794" width="13.88671875" style="42" customWidth="1"/>
    <col min="1795" max="1795" width="11.88671875" style="42" customWidth="1"/>
    <col min="1796" max="1798" width="9.6640625" style="42"/>
    <col min="1799" max="1799" width="15.44140625" style="42" customWidth="1"/>
    <col min="1800" max="1800" width="16.21875" style="42" customWidth="1"/>
    <col min="1801" max="1812" width="9.6640625" style="42"/>
    <col min="1813" max="1813" width="12" style="42" customWidth="1"/>
    <col min="1814" max="1814" width="12.77734375" style="42" customWidth="1"/>
    <col min="1815" max="1815" width="11.109375" style="42" customWidth="1"/>
    <col min="1816" max="1816" width="12" style="42" customWidth="1"/>
    <col min="1817" max="1817" width="9.6640625" style="42"/>
    <col min="1818" max="1818" width="15.33203125" style="42" customWidth="1"/>
    <col min="1819" max="1819" width="15.21875" style="42" customWidth="1"/>
    <col min="1820" max="1820" width="21.44140625" style="42" customWidth="1"/>
    <col min="1821" max="1836" width="9.6640625" style="42"/>
    <col min="1837" max="1838" width="13.44140625" style="42" customWidth="1"/>
    <col min="1839" max="1839" width="9.6640625" style="42"/>
    <col min="1840" max="1840" width="13.88671875" style="42" customWidth="1"/>
    <col min="1841" max="1841" width="10.6640625" style="42" customWidth="1"/>
    <col min="1842" max="1842" width="17.33203125" style="42" customWidth="1"/>
    <col min="1843" max="1844" width="12.6640625" style="42" customWidth="1"/>
    <col min="1845" max="1845" width="11.21875" style="42" customWidth="1"/>
    <col min="1846" max="1846" width="18.33203125" style="42" customWidth="1"/>
    <col min="1847" max="1847" width="12.88671875" style="42" customWidth="1"/>
    <col min="1848" max="1849" width="13.21875" style="42" customWidth="1"/>
    <col min="1850" max="1850" width="10.88671875" style="42" customWidth="1"/>
    <col min="1851" max="1851" width="11.109375" style="42" customWidth="1"/>
    <col min="1852" max="1852" width="15.21875" style="42" customWidth="1"/>
    <col min="1853" max="1853" width="9.6640625" style="42"/>
    <col min="1854" max="1854" width="11" style="42" customWidth="1"/>
    <col min="1855" max="1855" width="10.77734375" style="42" customWidth="1"/>
    <col min="1856" max="1856" width="11.44140625" style="42" customWidth="1"/>
    <col min="1857" max="1857" width="4" style="42" customWidth="1"/>
    <col min="1858" max="2048" width="9.6640625" style="42"/>
    <col min="2049" max="2049" width="6.44140625" style="42" customWidth="1"/>
    <col min="2050" max="2050" width="13.88671875" style="42" customWidth="1"/>
    <col min="2051" max="2051" width="11.88671875" style="42" customWidth="1"/>
    <col min="2052" max="2054" width="9.6640625" style="42"/>
    <col min="2055" max="2055" width="15.44140625" style="42" customWidth="1"/>
    <col min="2056" max="2056" width="16.21875" style="42" customWidth="1"/>
    <col min="2057" max="2068" width="9.6640625" style="42"/>
    <col min="2069" max="2069" width="12" style="42" customWidth="1"/>
    <col min="2070" max="2070" width="12.77734375" style="42" customWidth="1"/>
    <col min="2071" max="2071" width="11.109375" style="42" customWidth="1"/>
    <col min="2072" max="2072" width="12" style="42" customWidth="1"/>
    <col min="2073" max="2073" width="9.6640625" style="42"/>
    <col min="2074" max="2074" width="15.33203125" style="42" customWidth="1"/>
    <col min="2075" max="2075" width="15.21875" style="42" customWidth="1"/>
    <col min="2076" max="2076" width="21.44140625" style="42" customWidth="1"/>
    <col min="2077" max="2092" width="9.6640625" style="42"/>
    <col min="2093" max="2094" width="13.44140625" style="42" customWidth="1"/>
    <col min="2095" max="2095" width="9.6640625" style="42"/>
    <col min="2096" max="2096" width="13.88671875" style="42" customWidth="1"/>
    <col min="2097" max="2097" width="10.6640625" style="42" customWidth="1"/>
    <col min="2098" max="2098" width="17.33203125" style="42" customWidth="1"/>
    <col min="2099" max="2100" width="12.6640625" style="42" customWidth="1"/>
    <col min="2101" max="2101" width="11.21875" style="42" customWidth="1"/>
    <col min="2102" max="2102" width="18.33203125" style="42" customWidth="1"/>
    <col min="2103" max="2103" width="12.88671875" style="42" customWidth="1"/>
    <col min="2104" max="2105" width="13.21875" style="42" customWidth="1"/>
    <col min="2106" max="2106" width="10.88671875" style="42" customWidth="1"/>
    <col min="2107" max="2107" width="11.109375" style="42" customWidth="1"/>
    <col min="2108" max="2108" width="15.21875" style="42" customWidth="1"/>
    <col min="2109" max="2109" width="9.6640625" style="42"/>
    <col min="2110" max="2110" width="11" style="42" customWidth="1"/>
    <col min="2111" max="2111" width="10.77734375" style="42" customWidth="1"/>
    <col min="2112" max="2112" width="11.44140625" style="42" customWidth="1"/>
    <col min="2113" max="2113" width="4" style="42" customWidth="1"/>
    <col min="2114" max="2304" width="9.6640625" style="42"/>
    <col min="2305" max="2305" width="6.44140625" style="42" customWidth="1"/>
    <col min="2306" max="2306" width="13.88671875" style="42" customWidth="1"/>
    <col min="2307" max="2307" width="11.88671875" style="42" customWidth="1"/>
    <col min="2308" max="2310" width="9.6640625" style="42"/>
    <col min="2311" max="2311" width="15.44140625" style="42" customWidth="1"/>
    <col min="2312" max="2312" width="16.21875" style="42" customWidth="1"/>
    <col min="2313" max="2324" width="9.6640625" style="42"/>
    <col min="2325" max="2325" width="12" style="42" customWidth="1"/>
    <col min="2326" max="2326" width="12.77734375" style="42" customWidth="1"/>
    <col min="2327" max="2327" width="11.109375" style="42" customWidth="1"/>
    <col min="2328" max="2328" width="12" style="42" customWidth="1"/>
    <col min="2329" max="2329" width="9.6640625" style="42"/>
    <col min="2330" max="2330" width="15.33203125" style="42" customWidth="1"/>
    <col min="2331" max="2331" width="15.21875" style="42" customWidth="1"/>
    <col min="2332" max="2332" width="21.44140625" style="42" customWidth="1"/>
    <col min="2333" max="2348" width="9.6640625" style="42"/>
    <col min="2349" max="2350" width="13.44140625" style="42" customWidth="1"/>
    <col min="2351" max="2351" width="9.6640625" style="42"/>
    <col min="2352" max="2352" width="13.88671875" style="42" customWidth="1"/>
    <col min="2353" max="2353" width="10.6640625" style="42" customWidth="1"/>
    <col min="2354" max="2354" width="17.33203125" style="42" customWidth="1"/>
    <col min="2355" max="2356" width="12.6640625" style="42" customWidth="1"/>
    <col min="2357" max="2357" width="11.21875" style="42" customWidth="1"/>
    <col min="2358" max="2358" width="18.33203125" style="42" customWidth="1"/>
    <col min="2359" max="2359" width="12.88671875" style="42" customWidth="1"/>
    <col min="2360" max="2361" width="13.21875" style="42" customWidth="1"/>
    <col min="2362" max="2362" width="10.88671875" style="42" customWidth="1"/>
    <col min="2363" max="2363" width="11.109375" style="42" customWidth="1"/>
    <col min="2364" max="2364" width="15.21875" style="42" customWidth="1"/>
    <col min="2365" max="2365" width="9.6640625" style="42"/>
    <col min="2366" max="2366" width="11" style="42" customWidth="1"/>
    <col min="2367" max="2367" width="10.77734375" style="42" customWidth="1"/>
    <col min="2368" max="2368" width="11.44140625" style="42" customWidth="1"/>
    <col min="2369" max="2369" width="4" style="42" customWidth="1"/>
    <col min="2370" max="2560" width="9.6640625" style="42"/>
    <col min="2561" max="2561" width="6.44140625" style="42" customWidth="1"/>
    <col min="2562" max="2562" width="13.88671875" style="42" customWidth="1"/>
    <col min="2563" max="2563" width="11.88671875" style="42" customWidth="1"/>
    <col min="2564" max="2566" width="9.6640625" style="42"/>
    <col min="2567" max="2567" width="15.44140625" style="42" customWidth="1"/>
    <col min="2568" max="2568" width="16.21875" style="42" customWidth="1"/>
    <col min="2569" max="2580" width="9.6640625" style="42"/>
    <col min="2581" max="2581" width="12" style="42" customWidth="1"/>
    <col min="2582" max="2582" width="12.77734375" style="42" customWidth="1"/>
    <col min="2583" max="2583" width="11.109375" style="42" customWidth="1"/>
    <col min="2584" max="2584" width="12" style="42" customWidth="1"/>
    <col min="2585" max="2585" width="9.6640625" style="42"/>
    <col min="2586" max="2586" width="15.33203125" style="42" customWidth="1"/>
    <col min="2587" max="2587" width="15.21875" style="42" customWidth="1"/>
    <col min="2588" max="2588" width="21.44140625" style="42" customWidth="1"/>
    <col min="2589" max="2604" width="9.6640625" style="42"/>
    <col min="2605" max="2606" width="13.44140625" style="42" customWidth="1"/>
    <col min="2607" max="2607" width="9.6640625" style="42"/>
    <col min="2608" max="2608" width="13.88671875" style="42" customWidth="1"/>
    <col min="2609" max="2609" width="10.6640625" style="42" customWidth="1"/>
    <col min="2610" max="2610" width="17.33203125" style="42" customWidth="1"/>
    <col min="2611" max="2612" width="12.6640625" style="42" customWidth="1"/>
    <col min="2613" max="2613" width="11.21875" style="42" customWidth="1"/>
    <col min="2614" max="2614" width="18.33203125" style="42" customWidth="1"/>
    <col min="2615" max="2615" width="12.88671875" style="42" customWidth="1"/>
    <col min="2616" max="2617" width="13.21875" style="42" customWidth="1"/>
    <col min="2618" max="2618" width="10.88671875" style="42" customWidth="1"/>
    <col min="2619" max="2619" width="11.109375" style="42" customWidth="1"/>
    <col min="2620" max="2620" width="15.21875" style="42" customWidth="1"/>
    <col min="2621" max="2621" width="9.6640625" style="42"/>
    <col min="2622" max="2622" width="11" style="42" customWidth="1"/>
    <col min="2623" max="2623" width="10.77734375" style="42" customWidth="1"/>
    <col min="2624" max="2624" width="11.44140625" style="42" customWidth="1"/>
    <col min="2625" max="2625" width="4" style="42" customWidth="1"/>
    <col min="2626" max="2816" width="9.6640625" style="42"/>
    <col min="2817" max="2817" width="6.44140625" style="42" customWidth="1"/>
    <col min="2818" max="2818" width="13.88671875" style="42" customWidth="1"/>
    <col min="2819" max="2819" width="11.88671875" style="42" customWidth="1"/>
    <col min="2820" max="2822" width="9.6640625" style="42"/>
    <col min="2823" max="2823" width="15.44140625" style="42" customWidth="1"/>
    <col min="2824" max="2824" width="16.21875" style="42" customWidth="1"/>
    <col min="2825" max="2836" width="9.6640625" style="42"/>
    <col min="2837" max="2837" width="12" style="42" customWidth="1"/>
    <col min="2838" max="2838" width="12.77734375" style="42" customWidth="1"/>
    <col min="2839" max="2839" width="11.109375" style="42" customWidth="1"/>
    <col min="2840" max="2840" width="12" style="42" customWidth="1"/>
    <col min="2841" max="2841" width="9.6640625" style="42"/>
    <col min="2842" max="2842" width="15.33203125" style="42" customWidth="1"/>
    <col min="2843" max="2843" width="15.21875" style="42" customWidth="1"/>
    <col min="2844" max="2844" width="21.44140625" style="42" customWidth="1"/>
    <col min="2845" max="2860" width="9.6640625" style="42"/>
    <col min="2861" max="2862" width="13.44140625" style="42" customWidth="1"/>
    <col min="2863" max="2863" width="9.6640625" style="42"/>
    <col min="2864" max="2864" width="13.88671875" style="42" customWidth="1"/>
    <col min="2865" max="2865" width="10.6640625" style="42" customWidth="1"/>
    <col min="2866" max="2866" width="17.33203125" style="42" customWidth="1"/>
    <col min="2867" max="2868" width="12.6640625" style="42" customWidth="1"/>
    <col min="2869" max="2869" width="11.21875" style="42" customWidth="1"/>
    <col min="2870" max="2870" width="18.33203125" style="42" customWidth="1"/>
    <col min="2871" max="2871" width="12.88671875" style="42" customWidth="1"/>
    <col min="2872" max="2873" width="13.21875" style="42" customWidth="1"/>
    <col min="2874" max="2874" width="10.88671875" style="42" customWidth="1"/>
    <col min="2875" max="2875" width="11.109375" style="42" customWidth="1"/>
    <col min="2876" max="2876" width="15.21875" style="42" customWidth="1"/>
    <col min="2877" max="2877" width="9.6640625" style="42"/>
    <col min="2878" max="2878" width="11" style="42" customWidth="1"/>
    <col min="2879" max="2879" width="10.77734375" style="42" customWidth="1"/>
    <col min="2880" max="2880" width="11.44140625" style="42" customWidth="1"/>
    <col min="2881" max="2881" width="4" style="42" customWidth="1"/>
    <col min="2882" max="3072" width="9.6640625" style="42"/>
    <col min="3073" max="3073" width="6.44140625" style="42" customWidth="1"/>
    <col min="3074" max="3074" width="13.88671875" style="42" customWidth="1"/>
    <col min="3075" max="3075" width="11.88671875" style="42" customWidth="1"/>
    <col min="3076" max="3078" width="9.6640625" style="42"/>
    <col min="3079" max="3079" width="15.44140625" style="42" customWidth="1"/>
    <col min="3080" max="3080" width="16.21875" style="42" customWidth="1"/>
    <col min="3081" max="3092" width="9.6640625" style="42"/>
    <col min="3093" max="3093" width="12" style="42" customWidth="1"/>
    <col min="3094" max="3094" width="12.77734375" style="42" customWidth="1"/>
    <col min="3095" max="3095" width="11.109375" style="42" customWidth="1"/>
    <col min="3096" max="3096" width="12" style="42" customWidth="1"/>
    <col min="3097" max="3097" width="9.6640625" style="42"/>
    <col min="3098" max="3098" width="15.33203125" style="42" customWidth="1"/>
    <col min="3099" max="3099" width="15.21875" style="42" customWidth="1"/>
    <col min="3100" max="3100" width="21.44140625" style="42" customWidth="1"/>
    <col min="3101" max="3116" width="9.6640625" style="42"/>
    <col min="3117" max="3118" width="13.44140625" style="42" customWidth="1"/>
    <col min="3119" max="3119" width="9.6640625" style="42"/>
    <col min="3120" max="3120" width="13.88671875" style="42" customWidth="1"/>
    <col min="3121" max="3121" width="10.6640625" style="42" customWidth="1"/>
    <col min="3122" max="3122" width="17.33203125" style="42" customWidth="1"/>
    <col min="3123" max="3124" width="12.6640625" style="42" customWidth="1"/>
    <col min="3125" max="3125" width="11.21875" style="42" customWidth="1"/>
    <col min="3126" max="3126" width="18.33203125" style="42" customWidth="1"/>
    <col min="3127" max="3127" width="12.88671875" style="42" customWidth="1"/>
    <col min="3128" max="3129" width="13.21875" style="42" customWidth="1"/>
    <col min="3130" max="3130" width="10.88671875" style="42" customWidth="1"/>
    <col min="3131" max="3131" width="11.109375" style="42" customWidth="1"/>
    <col min="3132" max="3132" width="15.21875" style="42" customWidth="1"/>
    <col min="3133" max="3133" width="9.6640625" style="42"/>
    <col min="3134" max="3134" width="11" style="42" customWidth="1"/>
    <col min="3135" max="3135" width="10.77734375" style="42" customWidth="1"/>
    <col min="3136" max="3136" width="11.44140625" style="42" customWidth="1"/>
    <col min="3137" max="3137" width="4" style="42" customWidth="1"/>
    <col min="3138" max="3328" width="9.6640625" style="42"/>
    <col min="3329" max="3329" width="6.44140625" style="42" customWidth="1"/>
    <col min="3330" max="3330" width="13.88671875" style="42" customWidth="1"/>
    <col min="3331" max="3331" width="11.88671875" style="42" customWidth="1"/>
    <col min="3332" max="3334" width="9.6640625" style="42"/>
    <col min="3335" max="3335" width="15.44140625" style="42" customWidth="1"/>
    <col min="3336" max="3336" width="16.21875" style="42" customWidth="1"/>
    <col min="3337" max="3348" width="9.6640625" style="42"/>
    <col min="3349" max="3349" width="12" style="42" customWidth="1"/>
    <col min="3350" max="3350" width="12.77734375" style="42" customWidth="1"/>
    <col min="3351" max="3351" width="11.109375" style="42" customWidth="1"/>
    <col min="3352" max="3352" width="12" style="42" customWidth="1"/>
    <col min="3353" max="3353" width="9.6640625" style="42"/>
    <col min="3354" max="3354" width="15.33203125" style="42" customWidth="1"/>
    <col min="3355" max="3355" width="15.21875" style="42" customWidth="1"/>
    <col min="3356" max="3356" width="21.44140625" style="42" customWidth="1"/>
    <col min="3357" max="3372" width="9.6640625" style="42"/>
    <col min="3373" max="3374" width="13.44140625" style="42" customWidth="1"/>
    <col min="3375" max="3375" width="9.6640625" style="42"/>
    <col min="3376" max="3376" width="13.88671875" style="42" customWidth="1"/>
    <col min="3377" max="3377" width="10.6640625" style="42" customWidth="1"/>
    <col min="3378" max="3378" width="17.33203125" style="42" customWidth="1"/>
    <col min="3379" max="3380" width="12.6640625" style="42" customWidth="1"/>
    <col min="3381" max="3381" width="11.21875" style="42" customWidth="1"/>
    <col min="3382" max="3382" width="18.33203125" style="42" customWidth="1"/>
    <col min="3383" max="3383" width="12.88671875" style="42" customWidth="1"/>
    <col min="3384" max="3385" width="13.21875" style="42" customWidth="1"/>
    <col min="3386" max="3386" width="10.88671875" style="42" customWidth="1"/>
    <col min="3387" max="3387" width="11.109375" style="42" customWidth="1"/>
    <col min="3388" max="3388" width="15.21875" style="42" customWidth="1"/>
    <col min="3389" max="3389" width="9.6640625" style="42"/>
    <col min="3390" max="3390" width="11" style="42" customWidth="1"/>
    <col min="3391" max="3391" width="10.77734375" style="42" customWidth="1"/>
    <col min="3392" max="3392" width="11.44140625" style="42" customWidth="1"/>
    <col min="3393" max="3393" width="4" style="42" customWidth="1"/>
    <col min="3394" max="3584" width="9.6640625" style="42"/>
    <col min="3585" max="3585" width="6.44140625" style="42" customWidth="1"/>
    <col min="3586" max="3586" width="13.88671875" style="42" customWidth="1"/>
    <col min="3587" max="3587" width="11.88671875" style="42" customWidth="1"/>
    <col min="3588" max="3590" width="9.6640625" style="42"/>
    <col min="3591" max="3591" width="15.44140625" style="42" customWidth="1"/>
    <col min="3592" max="3592" width="16.21875" style="42" customWidth="1"/>
    <col min="3593" max="3604" width="9.6640625" style="42"/>
    <col min="3605" max="3605" width="12" style="42" customWidth="1"/>
    <col min="3606" max="3606" width="12.77734375" style="42" customWidth="1"/>
    <col min="3607" max="3607" width="11.109375" style="42" customWidth="1"/>
    <col min="3608" max="3608" width="12" style="42" customWidth="1"/>
    <col min="3609" max="3609" width="9.6640625" style="42"/>
    <col min="3610" max="3610" width="15.33203125" style="42" customWidth="1"/>
    <col min="3611" max="3611" width="15.21875" style="42" customWidth="1"/>
    <col min="3612" max="3612" width="21.44140625" style="42" customWidth="1"/>
    <col min="3613" max="3628" width="9.6640625" style="42"/>
    <col min="3629" max="3630" width="13.44140625" style="42" customWidth="1"/>
    <col min="3631" max="3631" width="9.6640625" style="42"/>
    <col min="3632" max="3632" width="13.88671875" style="42" customWidth="1"/>
    <col min="3633" max="3633" width="10.6640625" style="42" customWidth="1"/>
    <col min="3634" max="3634" width="17.33203125" style="42" customWidth="1"/>
    <col min="3635" max="3636" width="12.6640625" style="42" customWidth="1"/>
    <col min="3637" max="3637" width="11.21875" style="42" customWidth="1"/>
    <col min="3638" max="3638" width="18.33203125" style="42" customWidth="1"/>
    <col min="3639" max="3639" width="12.88671875" style="42" customWidth="1"/>
    <col min="3640" max="3641" width="13.21875" style="42" customWidth="1"/>
    <col min="3642" max="3642" width="10.88671875" style="42" customWidth="1"/>
    <col min="3643" max="3643" width="11.109375" style="42" customWidth="1"/>
    <col min="3644" max="3644" width="15.21875" style="42" customWidth="1"/>
    <col min="3645" max="3645" width="9.6640625" style="42"/>
    <col min="3646" max="3646" width="11" style="42" customWidth="1"/>
    <col min="3647" max="3647" width="10.77734375" style="42" customWidth="1"/>
    <col min="3648" max="3648" width="11.44140625" style="42" customWidth="1"/>
    <col min="3649" max="3649" width="4" style="42" customWidth="1"/>
    <col min="3650" max="3840" width="9.6640625" style="42"/>
    <col min="3841" max="3841" width="6.44140625" style="42" customWidth="1"/>
    <col min="3842" max="3842" width="13.88671875" style="42" customWidth="1"/>
    <col min="3843" max="3843" width="11.88671875" style="42" customWidth="1"/>
    <col min="3844" max="3846" width="9.6640625" style="42"/>
    <col min="3847" max="3847" width="15.44140625" style="42" customWidth="1"/>
    <col min="3848" max="3848" width="16.21875" style="42" customWidth="1"/>
    <col min="3849" max="3860" width="9.6640625" style="42"/>
    <col min="3861" max="3861" width="12" style="42" customWidth="1"/>
    <col min="3862" max="3862" width="12.77734375" style="42" customWidth="1"/>
    <col min="3863" max="3863" width="11.109375" style="42" customWidth="1"/>
    <col min="3864" max="3864" width="12" style="42" customWidth="1"/>
    <col min="3865" max="3865" width="9.6640625" style="42"/>
    <col min="3866" max="3866" width="15.33203125" style="42" customWidth="1"/>
    <col min="3867" max="3867" width="15.21875" style="42" customWidth="1"/>
    <col min="3868" max="3868" width="21.44140625" style="42" customWidth="1"/>
    <col min="3869" max="3884" width="9.6640625" style="42"/>
    <col min="3885" max="3886" width="13.44140625" style="42" customWidth="1"/>
    <col min="3887" max="3887" width="9.6640625" style="42"/>
    <col min="3888" max="3888" width="13.88671875" style="42" customWidth="1"/>
    <col min="3889" max="3889" width="10.6640625" style="42" customWidth="1"/>
    <col min="3890" max="3890" width="17.33203125" style="42" customWidth="1"/>
    <col min="3891" max="3892" width="12.6640625" style="42" customWidth="1"/>
    <col min="3893" max="3893" width="11.21875" style="42" customWidth="1"/>
    <col min="3894" max="3894" width="18.33203125" style="42" customWidth="1"/>
    <col min="3895" max="3895" width="12.88671875" style="42" customWidth="1"/>
    <col min="3896" max="3897" width="13.21875" style="42" customWidth="1"/>
    <col min="3898" max="3898" width="10.88671875" style="42" customWidth="1"/>
    <col min="3899" max="3899" width="11.109375" style="42" customWidth="1"/>
    <col min="3900" max="3900" width="15.21875" style="42" customWidth="1"/>
    <col min="3901" max="3901" width="9.6640625" style="42"/>
    <col min="3902" max="3902" width="11" style="42" customWidth="1"/>
    <col min="3903" max="3903" width="10.77734375" style="42" customWidth="1"/>
    <col min="3904" max="3904" width="11.44140625" style="42" customWidth="1"/>
    <col min="3905" max="3905" width="4" style="42" customWidth="1"/>
    <col min="3906" max="4096" width="9.6640625" style="42"/>
    <col min="4097" max="4097" width="6.44140625" style="42" customWidth="1"/>
    <col min="4098" max="4098" width="13.88671875" style="42" customWidth="1"/>
    <col min="4099" max="4099" width="11.88671875" style="42" customWidth="1"/>
    <col min="4100" max="4102" width="9.6640625" style="42"/>
    <col min="4103" max="4103" width="15.44140625" style="42" customWidth="1"/>
    <col min="4104" max="4104" width="16.21875" style="42" customWidth="1"/>
    <col min="4105" max="4116" width="9.6640625" style="42"/>
    <col min="4117" max="4117" width="12" style="42" customWidth="1"/>
    <col min="4118" max="4118" width="12.77734375" style="42" customWidth="1"/>
    <col min="4119" max="4119" width="11.109375" style="42" customWidth="1"/>
    <col min="4120" max="4120" width="12" style="42" customWidth="1"/>
    <col min="4121" max="4121" width="9.6640625" style="42"/>
    <col min="4122" max="4122" width="15.33203125" style="42" customWidth="1"/>
    <col min="4123" max="4123" width="15.21875" style="42" customWidth="1"/>
    <col min="4124" max="4124" width="21.44140625" style="42" customWidth="1"/>
    <col min="4125" max="4140" width="9.6640625" style="42"/>
    <col min="4141" max="4142" width="13.44140625" style="42" customWidth="1"/>
    <col min="4143" max="4143" width="9.6640625" style="42"/>
    <col min="4144" max="4144" width="13.88671875" style="42" customWidth="1"/>
    <col min="4145" max="4145" width="10.6640625" style="42" customWidth="1"/>
    <col min="4146" max="4146" width="17.33203125" style="42" customWidth="1"/>
    <col min="4147" max="4148" width="12.6640625" style="42" customWidth="1"/>
    <col min="4149" max="4149" width="11.21875" style="42" customWidth="1"/>
    <col min="4150" max="4150" width="18.33203125" style="42" customWidth="1"/>
    <col min="4151" max="4151" width="12.88671875" style="42" customWidth="1"/>
    <col min="4152" max="4153" width="13.21875" style="42" customWidth="1"/>
    <col min="4154" max="4154" width="10.88671875" style="42" customWidth="1"/>
    <col min="4155" max="4155" width="11.109375" style="42" customWidth="1"/>
    <col min="4156" max="4156" width="15.21875" style="42" customWidth="1"/>
    <col min="4157" max="4157" width="9.6640625" style="42"/>
    <col min="4158" max="4158" width="11" style="42" customWidth="1"/>
    <col min="4159" max="4159" width="10.77734375" style="42" customWidth="1"/>
    <col min="4160" max="4160" width="11.44140625" style="42" customWidth="1"/>
    <col min="4161" max="4161" width="4" style="42" customWidth="1"/>
    <col min="4162" max="4352" width="9.6640625" style="42"/>
    <col min="4353" max="4353" width="6.44140625" style="42" customWidth="1"/>
    <col min="4354" max="4354" width="13.88671875" style="42" customWidth="1"/>
    <col min="4355" max="4355" width="11.88671875" style="42" customWidth="1"/>
    <col min="4356" max="4358" width="9.6640625" style="42"/>
    <col min="4359" max="4359" width="15.44140625" style="42" customWidth="1"/>
    <col min="4360" max="4360" width="16.21875" style="42" customWidth="1"/>
    <col min="4361" max="4372" width="9.6640625" style="42"/>
    <col min="4373" max="4373" width="12" style="42" customWidth="1"/>
    <col min="4374" max="4374" width="12.77734375" style="42" customWidth="1"/>
    <col min="4375" max="4375" width="11.109375" style="42" customWidth="1"/>
    <col min="4376" max="4376" width="12" style="42" customWidth="1"/>
    <col min="4377" max="4377" width="9.6640625" style="42"/>
    <col min="4378" max="4378" width="15.33203125" style="42" customWidth="1"/>
    <col min="4379" max="4379" width="15.21875" style="42" customWidth="1"/>
    <col min="4380" max="4380" width="21.44140625" style="42" customWidth="1"/>
    <col min="4381" max="4396" width="9.6640625" style="42"/>
    <col min="4397" max="4398" width="13.44140625" style="42" customWidth="1"/>
    <col min="4399" max="4399" width="9.6640625" style="42"/>
    <col min="4400" max="4400" width="13.88671875" style="42" customWidth="1"/>
    <col min="4401" max="4401" width="10.6640625" style="42" customWidth="1"/>
    <col min="4402" max="4402" width="17.33203125" style="42" customWidth="1"/>
    <col min="4403" max="4404" width="12.6640625" style="42" customWidth="1"/>
    <col min="4405" max="4405" width="11.21875" style="42" customWidth="1"/>
    <col min="4406" max="4406" width="18.33203125" style="42" customWidth="1"/>
    <col min="4407" max="4407" width="12.88671875" style="42" customWidth="1"/>
    <col min="4408" max="4409" width="13.21875" style="42" customWidth="1"/>
    <col min="4410" max="4410" width="10.88671875" style="42" customWidth="1"/>
    <col min="4411" max="4411" width="11.109375" style="42" customWidth="1"/>
    <col min="4412" max="4412" width="15.21875" style="42" customWidth="1"/>
    <col min="4413" max="4413" width="9.6640625" style="42"/>
    <col min="4414" max="4414" width="11" style="42" customWidth="1"/>
    <col min="4415" max="4415" width="10.77734375" style="42" customWidth="1"/>
    <col min="4416" max="4416" width="11.44140625" style="42" customWidth="1"/>
    <col min="4417" max="4417" width="4" style="42" customWidth="1"/>
    <col min="4418" max="4608" width="9.6640625" style="42"/>
    <col min="4609" max="4609" width="6.44140625" style="42" customWidth="1"/>
    <col min="4610" max="4610" width="13.88671875" style="42" customWidth="1"/>
    <col min="4611" max="4611" width="11.88671875" style="42" customWidth="1"/>
    <col min="4612" max="4614" width="9.6640625" style="42"/>
    <col min="4615" max="4615" width="15.44140625" style="42" customWidth="1"/>
    <col min="4616" max="4616" width="16.21875" style="42" customWidth="1"/>
    <col min="4617" max="4628" width="9.6640625" style="42"/>
    <col min="4629" max="4629" width="12" style="42" customWidth="1"/>
    <col min="4630" max="4630" width="12.77734375" style="42" customWidth="1"/>
    <col min="4631" max="4631" width="11.109375" style="42" customWidth="1"/>
    <col min="4632" max="4632" width="12" style="42" customWidth="1"/>
    <col min="4633" max="4633" width="9.6640625" style="42"/>
    <col min="4634" max="4634" width="15.33203125" style="42" customWidth="1"/>
    <col min="4635" max="4635" width="15.21875" style="42" customWidth="1"/>
    <col min="4636" max="4636" width="21.44140625" style="42" customWidth="1"/>
    <col min="4637" max="4652" width="9.6640625" style="42"/>
    <col min="4653" max="4654" width="13.44140625" style="42" customWidth="1"/>
    <col min="4655" max="4655" width="9.6640625" style="42"/>
    <col min="4656" max="4656" width="13.88671875" style="42" customWidth="1"/>
    <col min="4657" max="4657" width="10.6640625" style="42" customWidth="1"/>
    <col min="4658" max="4658" width="17.33203125" style="42" customWidth="1"/>
    <col min="4659" max="4660" width="12.6640625" style="42" customWidth="1"/>
    <col min="4661" max="4661" width="11.21875" style="42" customWidth="1"/>
    <col min="4662" max="4662" width="18.33203125" style="42" customWidth="1"/>
    <col min="4663" max="4663" width="12.88671875" style="42" customWidth="1"/>
    <col min="4664" max="4665" width="13.21875" style="42" customWidth="1"/>
    <col min="4666" max="4666" width="10.88671875" style="42" customWidth="1"/>
    <col min="4667" max="4667" width="11.109375" style="42" customWidth="1"/>
    <col min="4668" max="4668" width="15.21875" style="42" customWidth="1"/>
    <col min="4669" max="4669" width="9.6640625" style="42"/>
    <col min="4670" max="4670" width="11" style="42" customWidth="1"/>
    <col min="4671" max="4671" width="10.77734375" style="42" customWidth="1"/>
    <col min="4672" max="4672" width="11.44140625" style="42" customWidth="1"/>
    <col min="4673" max="4673" width="4" style="42" customWidth="1"/>
    <col min="4674" max="4864" width="9.6640625" style="42"/>
    <col min="4865" max="4865" width="6.44140625" style="42" customWidth="1"/>
    <col min="4866" max="4866" width="13.88671875" style="42" customWidth="1"/>
    <col min="4867" max="4867" width="11.88671875" style="42" customWidth="1"/>
    <col min="4868" max="4870" width="9.6640625" style="42"/>
    <col min="4871" max="4871" width="15.44140625" style="42" customWidth="1"/>
    <col min="4872" max="4872" width="16.21875" style="42" customWidth="1"/>
    <col min="4873" max="4884" width="9.6640625" style="42"/>
    <col min="4885" max="4885" width="12" style="42" customWidth="1"/>
    <col min="4886" max="4886" width="12.77734375" style="42" customWidth="1"/>
    <col min="4887" max="4887" width="11.109375" style="42" customWidth="1"/>
    <col min="4888" max="4888" width="12" style="42" customWidth="1"/>
    <col min="4889" max="4889" width="9.6640625" style="42"/>
    <col min="4890" max="4890" width="15.33203125" style="42" customWidth="1"/>
    <col min="4891" max="4891" width="15.21875" style="42" customWidth="1"/>
    <col min="4892" max="4892" width="21.44140625" style="42" customWidth="1"/>
    <col min="4893" max="4908" width="9.6640625" style="42"/>
    <col min="4909" max="4910" width="13.44140625" style="42" customWidth="1"/>
    <col min="4911" max="4911" width="9.6640625" style="42"/>
    <col min="4912" max="4912" width="13.88671875" style="42" customWidth="1"/>
    <col min="4913" max="4913" width="10.6640625" style="42" customWidth="1"/>
    <col min="4914" max="4914" width="17.33203125" style="42" customWidth="1"/>
    <col min="4915" max="4916" width="12.6640625" style="42" customWidth="1"/>
    <col min="4917" max="4917" width="11.21875" style="42" customWidth="1"/>
    <col min="4918" max="4918" width="18.33203125" style="42" customWidth="1"/>
    <col min="4919" max="4919" width="12.88671875" style="42" customWidth="1"/>
    <col min="4920" max="4921" width="13.21875" style="42" customWidth="1"/>
    <col min="4922" max="4922" width="10.88671875" style="42" customWidth="1"/>
    <col min="4923" max="4923" width="11.109375" style="42" customWidth="1"/>
    <col min="4924" max="4924" width="15.21875" style="42" customWidth="1"/>
    <col min="4925" max="4925" width="9.6640625" style="42"/>
    <col min="4926" max="4926" width="11" style="42" customWidth="1"/>
    <col min="4927" max="4927" width="10.77734375" style="42" customWidth="1"/>
    <col min="4928" max="4928" width="11.44140625" style="42" customWidth="1"/>
    <col min="4929" max="4929" width="4" style="42" customWidth="1"/>
    <col min="4930" max="5120" width="9.6640625" style="42"/>
    <col min="5121" max="5121" width="6.44140625" style="42" customWidth="1"/>
    <col min="5122" max="5122" width="13.88671875" style="42" customWidth="1"/>
    <col min="5123" max="5123" width="11.88671875" style="42" customWidth="1"/>
    <col min="5124" max="5126" width="9.6640625" style="42"/>
    <col min="5127" max="5127" width="15.44140625" style="42" customWidth="1"/>
    <col min="5128" max="5128" width="16.21875" style="42" customWidth="1"/>
    <col min="5129" max="5140" width="9.6640625" style="42"/>
    <col min="5141" max="5141" width="12" style="42" customWidth="1"/>
    <col min="5142" max="5142" width="12.77734375" style="42" customWidth="1"/>
    <col min="5143" max="5143" width="11.109375" style="42" customWidth="1"/>
    <col min="5144" max="5144" width="12" style="42" customWidth="1"/>
    <col min="5145" max="5145" width="9.6640625" style="42"/>
    <col min="5146" max="5146" width="15.33203125" style="42" customWidth="1"/>
    <col min="5147" max="5147" width="15.21875" style="42" customWidth="1"/>
    <col min="5148" max="5148" width="21.44140625" style="42" customWidth="1"/>
    <col min="5149" max="5164" width="9.6640625" style="42"/>
    <col min="5165" max="5166" width="13.44140625" style="42" customWidth="1"/>
    <col min="5167" max="5167" width="9.6640625" style="42"/>
    <col min="5168" max="5168" width="13.88671875" style="42" customWidth="1"/>
    <col min="5169" max="5169" width="10.6640625" style="42" customWidth="1"/>
    <col min="5170" max="5170" width="17.33203125" style="42" customWidth="1"/>
    <col min="5171" max="5172" width="12.6640625" style="42" customWidth="1"/>
    <col min="5173" max="5173" width="11.21875" style="42" customWidth="1"/>
    <col min="5174" max="5174" width="18.33203125" style="42" customWidth="1"/>
    <col min="5175" max="5175" width="12.88671875" style="42" customWidth="1"/>
    <col min="5176" max="5177" width="13.21875" style="42" customWidth="1"/>
    <col min="5178" max="5178" width="10.88671875" style="42" customWidth="1"/>
    <col min="5179" max="5179" width="11.109375" style="42" customWidth="1"/>
    <col min="5180" max="5180" width="15.21875" style="42" customWidth="1"/>
    <col min="5181" max="5181" width="9.6640625" style="42"/>
    <col min="5182" max="5182" width="11" style="42" customWidth="1"/>
    <col min="5183" max="5183" width="10.77734375" style="42" customWidth="1"/>
    <col min="5184" max="5184" width="11.44140625" style="42" customWidth="1"/>
    <col min="5185" max="5185" width="4" style="42" customWidth="1"/>
    <col min="5186" max="5376" width="9.6640625" style="42"/>
    <col min="5377" max="5377" width="6.44140625" style="42" customWidth="1"/>
    <col min="5378" max="5378" width="13.88671875" style="42" customWidth="1"/>
    <col min="5379" max="5379" width="11.88671875" style="42" customWidth="1"/>
    <col min="5380" max="5382" width="9.6640625" style="42"/>
    <col min="5383" max="5383" width="15.44140625" style="42" customWidth="1"/>
    <col min="5384" max="5384" width="16.21875" style="42" customWidth="1"/>
    <col min="5385" max="5396" width="9.6640625" style="42"/>
    <col min="5397" max="5397" width="12" style="42" customWidth="1"/>
    <col min="5398" max="5398" width="12.77734375" style="42" customWidth="1"/>
    <col min="5399" max="5399" width="11.109375" style="42" customWidth="1"/>
    <col min="5400" max="5400" width="12" style="42" customWidth="1"/>
    <col min="5401" max="5401" width="9.6640625" style="42"/>
    <col min="5402" max="5402" width="15.33203125" style="42" customWidth="1"/>
    <col min="5403" max="5403" width="15.21875" style="42" customWidth="1"/>
    <col min="5404" max="5404" width="21.44140625" style="42" customWidth="1"/>
    <col min="5405" max="5420" width="9.6640625" style="42"/>
    <col min="5421" max="5422" width="13.44140625" style="42" customWidth="1"/>
    <col min="5423" max="5423" width="9.6640625" style="42"/>
    <col min="5424" max="5424" width="13.88671875" style="42" customWidth="1"/>
    <col min="5425" max="5425" width="10.6640625" style="42" customWidth="1"/>
    <col min="5426" max="5426" width="17.33203125" style="42" customWidth="1"/>
    <col min="5427" max="5428" width="12.6640625" style="42" customWidth="1"/>
    <col min="5429" max="5429" width="11.21875" style="42" customWidth="1"/>
    <col min="5430" max="5430" width="18.33203125" style="42" customWidth="1"/>
    <col min="5431" max="5431" width="12.88671875" style="42" customWidth="1"/>
    <col min="5432" max="5433" width="13.21875" style="42" customWidth="1"/>
    <col min="5434" max="5434" width="10.88671875" style="42" customWidth="1"/>
    <col min="5435" max="5435" width="11.109375" style="42" customWidth="1"/>
    <col min="5436" max="5436" width="15.21875" style="42" customWidth="1"/>
    <col min="5437" max="5437" width="9.6640625" style="42"/>
    <col min="5438" max="5438" width="11" style="42" customWidth="1"/>
    <col min="5439" max="5439" width="10.77734375" style="42" customWidth="1"/>
    <col min="5440" max="5440" width="11.44140625" style="42" customWidth="1"/>
    <col min="5441" max="5441" width="4" style="42" customWidth="1"/>
    <col min="5442" max="5632" width="9.6640625" style="42"/>
    <col min="5633" max="5633" width="6.44140625" style="42" customWidth="1"/>
    <col min="5634" max="5634" width="13.88671875" style="42" customWidth="1"/>
    <col min="5635" max="5635" width="11.88671875" style="42" customWidth="1"/>
    <col min="5636" max="5638" width="9.6640625" style="42"/>
    <col min="5639" max="5639" width="15.44140625" style="42" customWidth="1"/>
    <col min="5640" max="5640" width="16.21875" style="42" customWidth="1"/>
    <col min="5641" max="5652" width="9.6640625" style="42"/>
    <col min="5653" max="5653" width="12" style="42" customWidth="1"/>
    <col min="5654" max="5654" width="12.77734375" style="42" customWidth="1"/>
    <col min="5655" max="5655" width="11.109375" style="42" customWidth="1"/>
    <col min="5656" max="5656" width="12" style="42" customWidth="1"/>
    <col min="5657" max="5657" width="9.6640625" style="42"/>
    <col min="5658" max="5658" width="15.33203125" style="42" customWidth="1"/>
    <col min="5659" max="5659" width="15.21875" style="42" customWidth="1"/>
    <col min="5660" max="5660" width="21.44140625" style="42" customWidth="1"/>
    <col min="5661" max="5676" width="9.6640625" style="42"/>
    <col min="5677" max="5678" width="13.44140625" style="42" customWidth="1"/>
    <col min="5679" max="5679" width="9.6640625" style="42"/>
    <col min="5680" max="5680" width="13.88671875" style="42" customWidth="1"/>
    <col min="5681" max="5681" width="10.6640625" style="42" customWidth="1"/>
    <col min="5682" max="5682" width="17.33203125" style="42" customWidth="1"/>
    <col min="5683" max="5684" width="12.6640625" style="42" customWidth="1"/>
    <col min="5685" max="5685" width="11.21875" style="42" customWidth="1"/>
    <col min="5686" max="5686" width="18.33203125" style="42" customWidth="1"/>
    <col min="5687" max="5687" width="12.88671875" style="42" customWidth="1"/>
    <col min="5688" max="5689" width="13.21875" style="42" customWidth="1"/>
    <col min="5690" max="5690" width="10.88671875" style="42" customWidth="1"/>
    <col min="5691" max="5691" width="11.109375" style="42" customWidth="1"/>
    <col min="5692" max="5692" width="15.21875" style="42" customWidth="1"/>
    <col min="5693" max="5693" width="9.6640625" style="42"/>
    <col min="5694" max="5694" width="11" style="42" customWidth="1"/>
    <col min="5695" max="5695" width="10.77734375" style="42" customWidth="1"/>
    <col min="5696" max="5696" width="11.44140625" style="42" customWidth="1"/>
    <col min="5697" max="5697" width="4" style="42" customWidth="1"/>
    <col min="5698" max="5888" width="9.6640625" style="42"/>
    <col min="5889" max="5889" width="6.44140625" style="42" customWidth="1"/>
    <col min="5890" max="5890" width="13.88671875" style="42" customWidth="1"/>
    <col min="5891" max="5891" width="11.88671875" style="42" customWidth="1"/>
    <col min="5892" max="5894" width="9.6640625" style="42"/>
    <col min="5895" max="5895" width="15.44140625" style="42" customWidth="1"/>
    <col min="5896" max="5896" width="16.21875" style="42" customWidth="1"/>
    <col min="5897" max="5908" width="9.6640625" style="42"/>
    <col min="5909" max="5909" width="12" style="42" customWidth="1"/>
    <col min="5910" max="5910" width="12.77734375" style="42" customWidth="1"/>
    <col min="5911" max="5911" width="11.109375" style="42" customWidth="1"/>
    <col min="5912" max="5912" width="12" style="42" customWidth="1"/>
    <col min="5913" max="5913" width="9.6640625" style="42"/>
    <col min="5914" max="5914" width="15.33203125" style="42" customWidth="1"/>
    <col min="5915" max="5915" width="15.21875" style="42" customWidth="1"/>
    <col min="5916" max="5916" width="21.44140625" style="42" customWidth="1"/>
    <col min="5917" max="5932" width="9.6640625" style="42"/>
    <col min="5933" max="5934" width="13.44140625" style="42" customWidth="1"/>
    <col min="5935" max="5935" width="9.6640625" style="42"/>
    <col min="5936" max="5936" width="13.88671875" style="42" customWidth="1"/>
    <col min="5937" max="5937" width="10.6640625" style="42" customWidth="1"/>
    <col min="5938" max="5938" width="17.33203125" style="42" customWidth="1"/>
    <col min="5939" max="5940" width="12.6640625" style="42" customWidth="1"/>
    <col min="5941" max="5941" width="11.21875" style="42" customWidth="1"/>
    <col min="5942" max="5942" width="18.33203125" style="42" customWidth="1"/>
    <col min="5943" max="5943" width="12.88671875" style="42" customWidth="1"/>
    <col min="5944" max="5945" width="13.21875" style="42" customWidth="1"/>
    <col min="5946" max="5946" width="10.88671875" style="42" customWidth="1"/>
    <col min="5947" max="5947" width="11.109375" style="42" customWidth="1"/>
    <col min="5948" max="5948" width="15.21875" style="42" customWidth="1"/>
    <col min="5949" max="5949" width="9.6640625" style="42"/>
    <col min="5950" max="5950" width="11" style="42" customWidth="1"/>
    <col min="5951" max="5951" width="10.77734375" style="42" customWidth="1"/>
    <col min="5952" max="5952" width="11.44140625" style="42" customWidth="1"/>
    <col min="5953" max="5953" width="4" style="42" customWidth="1"/>
    <col min="5954" max="6144" width="9.6640625" style="42"/>
    <col min="6145" max="6145" width="6.44140625" style="42" customWidth="1"/>
    <col min="6146" max="6146" width="13.88671875" style="42" customWidth="1"/>
    <col min="6147" max="6147" width="11.88671875" style="42" customWidth="1"/>
    <col min="6148" max="6150" width="9.6640625" style="42"/>
    <col min="6151" max="6151" width="15.44140625" style="42" customWidth="1"/>
    <col min="6152" max="6152" width="16.21875" style="42" customWidth="1"/>
    <col min="6153" max="6164" width="9.6640625" style="42"/>
    <col min="6165" max="6165" width="12" style="42" customWidth="1"/>
    <col min="6166" max="6166" width="12.77734375" style="42" customWidth="1"/>
    <col min="6167" max="6167" width="11.109375" style="42" customWidth="1"/>
    <col min="6168" max="6168" width="12" style="42" customWidth="1"/>
    <col min="6169" max="6169" width="9.6640625" style="42"/>
    <col min="6170" max="6170" width="15.33203125" style="42" customWidth="1"/>
    <col min="6171" max="6171" width="15.21875" style="42" customWidth="1"/>
    <col min="6172" max="6172" width="21.44140625" style="42" customWidth="1"/>
    <col min="6173" max="6188" width="9.6640625" style="42"/>
    <col min="6189" max="6190" width="13.44140625" style="42" customWidth="1"/>
    <col min="6191" max="6191" width="9.6640625" style="42"/>
    <col min="6192" max="6192" width="13.88671875" style="42" customWidth="1"/>
    <col min="6193" max="6193" width="10.6640625" style="42" customWidth="1"/>
    <col min="6194" max="6194" width="17.33203125" style="42" customWidth="1"/>
    <col min="6195" max="6196" width="12.6640625" style="42" customWidth="1"/>
    <col min="6197" max="6197" width="11.21875" style="42" customWidth="1"/>
    <col min="6198" max="6198" width="18.33203125" style="42" customWidth="1"/>
    <col min="6199" max="6199" width="12.88671875" style="42" customWidth="1"/>
    <col min="6200" max="6201" width="13.21875" style="42" customWidth="1"/>
    <col min="6202" max="6202" width="10.88671875" style="42" customWidth="1"/>
    <col min="6203" max="6203" width="11.109375" style="42" customWidth="1"/>
    <col min="6204" max="6204" width="15.21875" style="42" customWidth="1"/>
    <col min="6205" max="6205" width="9.6640625" style="42"/>
    <col min="6206" max="6206" width="11" style="42" customWidth="1"/>
    <col min="6207" max="6207" width="10.77734375" style="42" customWidth="1"/>
    <col min="6208" max="6208" width="11.44140625" style="42" customWidth="1"/>
    <col min="6209" max="6209" width="4" style="42" customWidth="1"/>
    <col min="6210" max="6400" width="9.6640625" style="42"/>
    <col min="6401" max="6401" width="6.44140625" style="42" customWidth="1"/>
    <col min="6402" max="6402" width="13.88671875" style="42" customWidth="1"/>
    <col min="6403" max="6403" width="11.88671875" style="42" customWidth="1"/>
    <col min="6404" max="6406" width="9.6640625" style="42"/>
    <col min="6407" max="6407" width="15.44140625" style="42" customWidth="1"/>
    <col min="6408" max="6408" width="16.21875" style="42" customWidth="1"/>
    <col min="6409" max="6420" width="9.6640625" style="42"/>
    <col min="6421" max="6421" width="12" style="42" customWidth="1"/>
    <col min="6422" max="6422" width="12.77734375" style="42" customWidth="1"/>
    <col min="6423" max="6423" width="11.109375" style="42" customWidth="1"/>
    <col min="6424" max="6424" width="12" style="42" customWidth="1"/>
    <col min="6425" max="6425" width="9.6640625" style="42"/>
    <col min="6426" max="6426" width="15.33203125" style="42" customWidth="1"/>
    <col min="6427" max="6427" width="15.21875" style="42" customWidth="1"/>
    <col min="6428" max="6428" width="21.44140625" style="42" customWidth="1"/>
    <col min="6429" max="6444" width="9.6640625" style="42"/>
    <col min="6445" max="6446" width="13.44140625" style="42" customWidth="1"/>
    <col min="6447" max="6447" width="9.6640625" style="42"/>
    <col min="6448" max="6448" width="13.88671875" style="42" customWidth="1"/>
    <col min="6449" max="6449" width="10.6640625" style="42" customWidth="1"/>
    <col min="6450" max="6450" width="17.33203125" style="42" customWidth="1"/>
    <col min="6451" max="6452" width="12.6640625" style="42" customWidth="1"/>
    <col min="6453" max="6453" width="11.21875" style="42" customWidth="1"/>
    <col min="6454" max="6454" width="18.33203125" style="42" customWidth="1"/>
    <col min="6455" max="6455" width="12.88671875" style="42" customWidth="1"/>
    <col min="6456" max="6457" width="13.21875" style="42" customWidth="1"/>
    <col min="6458" max="6458" width="10.88671875" style="42" customWidth="1"/>
    <col min="6459" max="6459" width="11.109375" style="42" customWidth="1"/>
    <col min="6460" max="6460" width="15.21875" style="42" customWidth="1"/>
    <col min="6461" max="6461" width="9.6640625" style="42"/>
    <col min="6462" max="6462" width="11" style="42" customWidth="1"/>
    <col min="6463" max="6463" width="10.77734375" style="42" customWidth="1"/>
    <col min="6464" max="6464" width="11.44140625" style="42" customWidth="1"/>
    <col min="6465" max="6465" width="4" style="42" customWidth="1"/>
    <col min="6466" max="6656" width="9.6640625" style="42"/>
    <col min="6657" max="6657" width="6.44140625" style="42" customWidth="1"/>
    <col min="6658" max="6658" width="13.88671875" style="42" customWidth="1"/>
    <col min="6659" max="6659" width="11.88671875" style="42" customWidth="1"/>
    <col min="6660" max="6662" width="9.6640625" style="42"/>
    <col min="6663" max="6663" width="15.44140625" style="42" customWidth="1"/>
    <col min="6664" max="6664" width="16.21875" style="42" customWidth="1"/>
    <col min="6665" max="6676" width="9.6640625" style="42"/>
    <col min="6677" max="6677" width="12" style="42" customWidth="1"/>
    <col min="6678" max="6678" width="12.77734375" style="42" customWidth="1"/>
    <col min="6679" max="6679" width="11.109375" style="42" customWidth="1"/>
    <col min="6680" max="6680" width="12" style="42" customWidth="1"/>
    <col min="6681" max="6681" width="9.6640625" style="42"/>
    <col min="6682" max="6682" width="15.33203125" style="42" customWidth="1"/>
    <col min="6683" max="6683" width="15.21875" style="42" customWidth="1"/>
    <col min="6684" max="6684" width="21.44140625" style="42" customWidth="1"/>
    <col min="6685" max="6700" width="9.6640625" style="42"/>
    <col min="6701" max="6702" width="13.44140625" style="42" customWidth="1"/>
    <col min="6703" max="6703" width="9.6640625" style="42"/>
    <col min="6704" max="6704" width="13.88671875" style="42" customWidth="1"/>
    <col min="6705" max="6705" width="10.6640625" style="42" customWidth="1"/>
    <col min="6706" max="6706" width="17.33203125" style="42" customWidth="1"/>
    <col min="6707" max="6708" width="12.6640625" style="42" customWidth="1"/>
    <col min="6709" max="6709" width="11.21875" style="42" customWidth="1"/>
    <col min="6710" max="6710" width="18.33203125" style="42" customWidth="1"/>
    <col min="6711" max="6711" width="12.88671875" style="42" customWidth="1"/>
    <col min="6712" max="6713" width="13.21875" style="42" customWidth="1"/>
    <col min="6714" max="6714" width="10.88671875" style="42" customWidth="1"/>
    <col min="6715" max="6715" width="11.109375" style="42" customWidth="1"/>
    <col min="6716" max="6716" width="15.21875" style="42" customWidth="1"/>
    <col min="6717" max="6717" width="9.6640625" style="42"/>
    <col min="6718" max="6718" width="11" style="42" customWidth="1"/>
    <col min="6719" max="6719" width="10.77734375" style="42" customWidth="1"/>
    <col min="6720" max="6720" width="11.44140625" style="42" customWidth="1"/>
    <col min="6721" max="6721" width="4" style="42" customWidth="1"/>
    <col min="6722" max="6912" width="9.6640625" style="42"/>
    <col min="6913" max="6913" width="6.44140625" style="42" customWidth="1"/>
    <col min="6914" max="6914" width="13.88671875" style="42" customWidth="1"/>
    <col min="6915" max="6915" width="11.88671875" style="42" customWidth="1"/>
    <col min="6916" max="6918" width="9.6640625" style="42"/>
    <col min="6919" max="6919" width="15.44140625" style="42" customWidth="1"/>
    <col min="6920" max="6920" width="16.21875" style="42" customWidth="1"/>
    <col min="6921" max="6932" width="9.6640625" style="42"/>
    <col min="6933" max="6933" width="12" style="42" customWidth="1"/>
    <col min="6934" max="6934" width="12.77734375" style="42" customWidth="1"/>
    <col min="6935" max="6935" width="11.109375" style="42" customWidth="1"/>
    <col min="6936" max="6936" width="12" style="42" customWidth="1"/>
    <col min="6937" max="6937" width="9.6640625" style="42"/>
    <col min="6938" max="6938" width="15.33203125" style="42" customWidth="1"/>
    <col min="6939" max="6939" width="15.21875" style="42" customWidth="1"/>
    <col min="6940" max="6940" width="21.44140625" style="42" customWidth="1"/>
    <col min="6941" max="6956" width="9.6640625" style="42"/>
    <col min="6957" max="6958" width="13.44140625" style="42" customWidth="1"/>
    <col min="6959" max="6959" width="9.6640625" style="42"/>
    <col min="6960" max="6960" width="13.88671875" style="42" customWidth="1"/>
    <col min="6961" max="6961" width="10.6640625" style="42" customWidth="1"/>
    <col min="6962" max="6962" width="17.33203125" style="42" customWidth="1"/>
    <col min="6963" max="6964" width="12.6640625" style="42" customWidth="1"/>
    <col min="6965" max="6965" width="11.21875" style="42" customWidth="1"/>
    <col min="6966" max="6966" width="18.33203125" style="42" customWidth="1"/>
    <col min="6967" max="6967" width="12.88671875" style="42" customWidth="1"/>
    <col min="6968" max="6969" width="13.21875" style="42" customWidth="1"/>
    <col min="6970" max="6970" width="10.88671875" style="42" customWidth="1"/>
    <col min="6971" max="6971" width="11.109375" style="42" customWidth="1"/>
    <col min="6972" max="6972" width="15.21875" style="42" customWidth="1"/>
    <col min="6973" max="6973" width="9.6640625" style="42"/>
    <col min="6974" max="6974" width="11" style="42" customWidth="1"/>
    <col min="6975" max="6975" width="10.77734375" style="42" customWidth="1"/>
    <col min="6976" max="6976" width="11.44140625" style="42" customWidth="1"/>
    <col min="6977" max="6977" width="4" style="42" customWidth="1"/>
    <col min="6978" max="7168" width="9.6640625" style="42"/>
    <col min="7169" max="7169" width="6.44140625" style="42" customWidth="1"/>
    <col min="7170" max="7170" width="13.88671875" style="42" customWidth="1"/>
    <col min="7171" max="7171" width="11.88671875" style="42" customWidth="1"/>
    <col min="7172" max="7174" width="9.6640625" style="42"/>
    <col min="7175" max="7175" width="15.44140625" style="42" customWidth="1"/>
    <col min="7176" max="7176" width="16.21875" style="42" customWidth="1"/>
    <col min="7177" max="7188" width="9.6640625" style="42"/>
    <col min="7189" max="7189" width="12" style="42" customWidth="1"/>
    <col min="7190" max="7190" width="12.77734375" style="42" customWidth="1"/>
    <col min="7191" max="7191" width="11.109375" style="42" customWidth="1"/>
    <col min="7192" max="7192" width="12" style="42" customWidth="1"/>
    <col min="7193" max="7193" width="9.6640625" style="42"/>
    <col min="7194" max="7194" width="15.33203125" style="42" customWidth="1"/>
    <col min="7195" max="7195" width="15.21875" style="42" customWidth="1"/>
    <col min="7196" max="7196" width="21.44140625" style="42" customWidth="1"/>
    <col min="7197" max="7212" width="9.6640625" style="42"/>
    <col min="7213" max="7214" width="13.44140625" style="42" customWidth="1"/>
    <col min="7215" max="7215" width="9.6640625" style="42"/>
    <col min="7216" max="7216" width="13.88671875" style="42" customWidth="1"/>
    <col min="7217" max="7217" width="10.6640625" style="42" customWidth="1"/>
    <col min="7218" max="7218" width="17.33203125" style="42" customWidth="1"/>
    <col min="7219" max="7220" width="12.6640625" style="42" customWidth="1"/>
    <col min="7221" max="7221" width="11.21875" style="42" customWidth="1"/>
    <col min="7222" max="7222" width="18.33203125" style="42" customWidth="1"/>
    <col min="7223" max="7223" width="12.88671875" style="42" customWidth="1"/>
    <col min="7224" max="7225" width="13.21875" style="42" customWidth="1"/>
    <col min="7226" max="7226" width="10.88671875" style="42" customWidth="1"/>
    <col min="7227" max="7227" width="11.109375" style="42" customWidth="1"/>
    <col min="7228" max="7228" width="15.21875" style="42" customWidth="1"/>
    <col min="7229" max="7229" width="9.6640625" style="42"/>
    <col min="7230" max="7230" width="11" style="42" customWidth="1"/>
    <col min="7231" max="7231" width="10.77734375" style="42" customWidth="1"/>
    <col min="7232" max="7232" width="11.44140625" style="42" customWidth="1"/>
    <col min="7233" max="7233" width="4" style="42" customWidth="1"/>
    <col min="7234" max="7424" width="9.6640625" style="42"/>
    <col min="7425" max="7425" width="6.44140625" style="42" customWidth="1"/>
    <col min="7426" max="7426" width="13.88671875" style="42" customWidth="1"/>
    <col min="7427" max="7427" width="11.88671875" style="42" customWidth="1"/>
    <col min="7428" max="7430" width="9.6640625" style="42"/>
    <col min="7431" max="7431" width="15.44140625" style="42" customWidth="1"/>
    <col min="7432" max="7432" width="16.21875" style="42" customWidth="1"/>
    <col min="7433" max="7444" width="9.6640625" style="42"/>
    <col min="7445" max="7445" width="12" style="42" customWidth="1"/>
    <col min="7446" max="7446" width="12.77734375" style="42" customWidth="1"/>
    <col min="7447" max="7447" width="11.109375" style="42" customWidth="1"/>
    <col min="7448" max="7448" width="12" style="42" customWidth="1"/>
    <col min="7449" max="7449" width="9.6640625" style="42"/>
    <col min="7450" max="7450" width="15.33203125" style="42" customWidth="1"/>
    <col min="7451" max="7451" width="15.21875" style="42" customWidth="1"/>
    <col min="7452" max="7452" width="21.44140625" style="42" customWidth="1"/>
    <col min="7453" max="7468" width="9.6640625" style="42"/>
    <col min="7469" max="7470" width="13.44140625" style="42" customWidth="1"/>
    <col min="7471" max="7471" width="9.6640625" style="42"/>
    <col min="7472" max="7472" width="13.88671875" style="42" customWidth="1"/>
    <col min="7473" max="7473" width="10.6640625" style="42" customWidth="1"/>
    <col min="7474" max="7474" width="17.33203125" style="42" customWidth="1"/>
    <col min="7475" max="7476" width="12.6640625" style="42" customWidth="1"/>
    <col min="7477" max="7477" width="11.21875" style="42" customWidth="1"/>
    <col min="7478" max="7478" width="18.33203125" style="42" customWidth="1"/>
    <col min="7479" max="7479" width="12.88671875" style="42" customWidth="1"/>
    <col min="7480" max="7481" width="13.21875" style="42" customWidth="1"/>
    <col min="7482" max="7482" width="10.88671875" style="42" customWidth="1"/>
    <col min="7483" max="7483" width="11.109375" style="42" customWidth="1"/>
    <col min="7484" max="7484" width="15.21875" style="42" customWidth="1"/>
    <col min="7485" max="7485" width="9.6640625" style="42"/>
    <col min="7486" max="7486" width="11" style="42" customWidth="1"/>
    <col min="7487" max="7487" width="10.77734375" style="42" customWidth="1"/>
    <col min="7488" max="7488" width="11.44140625" style="42" customWidth="1"/>
    <col min="7489" max="7489" width="4" style="42" customWidth="1"/>
    <col min="7490" max="7680" width="9.6640625" style="42"/>
    <col min="7681" max="7681" width="6.44140625" style="42" customWidth="1"/>
    <col min="7682" max="7682" width="13.88671875" style="42" customWidth="1"/>
    <col min="7683" max="7683" width="11.88671875" style="42" customWidth="1"/>
    <col min="7684" max="7686" width="9.6640625" style="42"/>
    <col min="7687" max="7687" width="15.44140625" style="42" customWidth="1"/>
    <col min="7688" max="7688" width="16.21875" style="42" customWidth="1"/>
    <col min="7689" max="7700" width="9.6640625" style="42"/>
    <col min="7701" max="7701" width="12" style="42" customWidth="1"/>
    <col min="7702" max="7702" width="12.77734375" style="42" customWidth="1"/>
    <col min="7703" max="7703" width="11.109375" style="42" customWidth="1"/>
    <col min="7704" max="7704" width="12" style="42" customWidth="1"/>
    <col min="7705" max="7705" width="9.6640625" style="42"/>
    <col min="7706" max="7706" width="15.33203125" style="42" customWidth="1"/>
    <col min="7707" max="7707" width="15.21875" style="42" customWidth="1"/>
    <col min="7708" max="7708" width="21.44140625" style="42" customWidth="1"/>
    <col min="7709" max="7724" width="9.6640625" style="42"/>
    <col min="7725" max="7726" width="13.44140625" style="42" customWidth="1"/>
    <col min="7727" max="7727" width="9.6640625" style="42"/>
    <col min="7728" max="7728" width="13.88671875" style="42" customWidth="1"/>
    <col min="7729" max="7729" width="10.6640625" style="42" customWidth="1"/>
    <col min="7730" max="7730" width="17.33203125" style="42" customWidth="1"/>
    <col min="7731" max="7732" width="12.6640625" style="42" customWidth="1"/>
    <col min="7733" max="7733" width="11.21875" style="42" customWidth="1"/>
    <col min="7734" max="7734" width="18.33203125" style="42" customWidth="1"/>
    <col min="7735" max="7735" width="12.88671875" style="42" customWidth="1"/>
    <col min="7736" max="7737" width="13.21875" style="42" customWidth="1"/>
    <col min="7738" max="7738" width="10.88671875" style="42" customWidth="1"/>
    <col min="7739" max="7739" width="11.109375" style="42" customWidth="1"/>
    <col min="7740" max="7740" width="15.21875" style="42" customWidth="1"/>
    <col min="7741" max="7741" width="9.6640625" style="42"/>
    <col min="7742" max="7742" width="11" style="42" customWidth="1"/>
    <col min="7743" max="7743" width="10.77734375" style="42" customWidth="1"/>
    <col min="7744" max="7744" width="11.44140625" style="42" customWidth="1"/>
    <col min="7745" max="7745" width="4" style="42" customWidth="1"/>
    <col min="7746" max="7936" width="9.6640625" style="42"/>
    <col min="7937" max="7937" width="6.44140625" style="42" customWidth="1"/>
    <col min="7938" max="7938" width="13.88671875" style="42" customWidth="1"/>
    <col min="7939" max="7939" width="11.88671875" style="42" customWidth="1"/>
    <col min="7940" max="7942" width="9.6640625" style="42"/>
    <col min="7943" max="7943" width="15.44140625" style="42" customWidth="1"/>
    <col min="7944" max="7944" width="16.21875" style="42" customWidth="1"/>
    <col min="7945" max="7956" width="9.6640625" style="42"/>
    <col min="7957" max="7957" width="12" style="42" customWidth="1"/>
    <col min="7958" max="7958" width="12.77734375" style="42" customWidth="1"/>
    <col min="7959" max="7959" width="11.109375" style="42" customWidth="1"/>
    <col min="7960" max="7960" width="12" style="42" customWidth="1"/>
    <col min="7961" max="7961" width="9.6640625" style="42"/>
    <col min="7962" max="7962" width="15.33203125" style="42" customWidth="1"/>
    <col min="7963" max="7963" width="15.21875" style="42" customWidth="1"/>
    <col min="7964" max="7964" width="21.44140625" style="42" customWidth="1"/>
    <col min="7965" max="7980" width="9.6640625" style="42"/>
    <col min="7981" max="7982" width="13.44140625" style="42" customWidth="1"/>
    <col min="7983" max="7983" width="9.6640625" style="42"/>
    <col min="7984" max="7984" width="13.88671875" style="42" customWidth="1"/>
    <col min="7985" max="7985" width="10.6640625" style="42" customWidth="1"/>
    <col min="7986" max="7986" width="17.33203125" style="42" customWidth="1"/>
    <col min="7987" max="7988" width="12.6640625" style="42" customWidth="1"/>
    <col min="7989" max="7989" width="11.21875" style="42" customWidth="1"/>
    <col min="7990" max="7990" width="18.33203125" style="42" customWidth="1"/>
    <col min="7991" max="7991" width="12.88671875" style="42" customWidth="1"/>
    <col min="7992" max="7993" width="13.21875" style="42" customWidth="1"/>
    <col min="7994" max="7994" width="10.88671875" style="42" customWidth="1"/>
    <col min="7995" max="7995" width="11.109375" style="42" customWidth="1"/>
    <col min="7996" max="7996" width="15.21875" style="42" customWidth="1"/>
    <col min="7997" max="7997" width="9.6640625" style="42"/>
    <col min="7998" max="7998" width="11" style="42" customWidth="1"/>
    <col min="7999" max="7999" width="10.77734375" style="42" customWidth="1"/>
    <col min="8000" max="8000" width="11.44140625" style="42" customWidth="1"/>
    <col min="8001" max="8001" width="4" style="42" customWidth="1"/>
    <col min="8002" max="8192" width="9.6640625" style="42"/>
    <col min="8193" max="8193" width="6.44140625" style="42" customWidth="1"/>
    <col min="8194" max="8194" width="13.88671875" style="42" customWidth="1"/>
    <col min="8195" max="8195" width="11.88671875" style="42" customWidth="1"/>
    <col min="8196" max="8198" width="9.6640625" style="42"/>
    <col min="8199" max="8199" width="15.44140625" style="42" customWidth="1"/>
    <col min="8200" max="8200" width="16.21875" style="42" customWidth="1"/>
    <col min="8201" max="8212" width="9.6640625" style="42"/>
    <col min="8213" max="8213" width="12" style="42" customWidth="1"/>
    <col min="8214" max="8214" width="12.77734375" style="42" customWidth="1"/>
    <col min="8215" max="8215" width="11.109375" style="42" customWidth="1"/>
    <col min="8216" max="8216" width="12" style="42" customWidth="1"/>
    <col min="8217" max="8217" width="9.6640625" style="42"/>
    <col min="8218" max="8218" width="15.33203125" style="42" customWidth="1"/>
    <col min="8219" max="8219" width="15.21875" style="42" customWidth="1"/>
    <col min="8220" max="8220" width="21.44140625" style="42" customWidth="1"/>
    <col min="8221" max="8236" width="9.6640625" style="42"/>
    <col min="8237" max="8238" width="13.44140625" style="42" customWidth="1"/>
    <col min="8239" max="8239" width="9.6640625" style="42"/>
    <col min="8240" max="8240" width="13.88671875" style="42" customWidth="1"/>
    <col min="8241" max="8241" width="10.6640625" style="42" customWidth="1"/>
    <col min="8242" max="8242" width="17.33203125" style="42" customWidth="1"/>
    <col min="8243" max="8244" width="12.6640625" style="42" customWidth="1"/>
    <col min="8245" max="8245" width="11.21875" style="42" customWidth="1"/>
    <col min="8246" max="8246" width="18.33203125" style="42" customWidth="1"/>
    <col min="8247" max="8247" width="12.88671875" style="42" customWidth="1"/>
    <col min="8248" max="8249" width="13.21875" style="42" customWidth="1"/>
    <col min="8250" max="8250" width="10.88671875" style="42" customWidth="1"/>
    <col min="8251" max="8251" width="11.109375" style="42" customWidth="1"/>
    <col min="8252" max="8252" width="15.21875" style="42" customWidth="1"/>
    <col min="8253" max="8253" width="9.6640625" style="42"/>
    <col min="8254" max="8254" width="11" style="42" customWidth="1"/>
    <col min="8255" max="8255" width="10.77734375" style="42" customWidth="1"/>
    <col min="8256" max="8256" width="11.44140625" style="42" customWidth="1"/>
    <col min="8257" max="8257" width="4" style="42" customWidth="1"/>
    <col min="8258" max="8448" width="9.6640625" style="42"/>
    <col min="8449" max="8449" width="6.44140625" style="42" customWidth="1"/>
    <col min="8450" max="8450" width="13.88671875" style="42" customWidth="1"/>
    <col min="8451" max="8451" width="11.88671875" style="42" customWidth="1"/>
    <col min="8452" max="8454" width="9.6640625" style="42"/>
    <col min="8455" max="8455" width="15.44140625" style="42" customWidth="1"/>
    <col min="8456" max="8456" width="16.21875" style="42" customWidth="1"/>
    <col min="8457" max="8468" width="9.6640625" style="42"/>
    <col min="8469" max="8469" width="12" style="42" customWidth="1"/>
    <col min="8470" max="8470" width="12.77734375" style="42" customWidth="1"/>
    <col min="8471" max="8471" width="11.109375" style="42" customWidth="1"/>
    <col min="8472" max="8472" width="12" style="42" customWidth="1"/>
    <col min="8473" max="8473" width="9.6640625" style="42"/>
    <col min="8474" max="8474" width="15.33203125" style="42" customWidth="1"/>
    <col min="8475" max="8475" width="15.21875" style="42" customWidth="1"/>
    <col min="8476" max="8476" width="21.44140625" style="42" customWidth="1"/>
    <col min="8477" max="8492" width="9.6640625" style="42"/>
    <col min="8493" max="8494" width="13.44140625" style="42" customWidth="1"/>
    <col min="8495" max="8495" width="9.6640625" style="42"/>
    <col min="8496" max="8496" width="13.88671875" style="42" customWidth="1"/>
    <col min="8497" max="8497" width="10.6640625" style="42" customWidth="1"/>
    <col min="8498" max="8498" width="17.33203125" style="42" customWidth="1"/>
    <col min="8499" max="8500" width="12.6640625" style="42" customWidth="1"/>
    <col min="8501" max="8501" width="11.21875" style="42" customWidth="1"/>
    <col min="8502" max="8502" width="18.33203125" style="42" customWidth="1"/>
    <col min="8503" max="8503" width="12.88671875" style="42" customWidth="1"/>
    <col min="8504" max="8505" width="13.21875" style="42" customWidth="1"/>
    <col min="8506" max="8506" width="10.88671875" style="42" customWidth="1"/>
    <col min="8507" max="8507" width="11.109375" style="42" customWidth="1"/>
    <col min="8508" max="8508" width="15.21875" style="42" customWidth="1"/>
    <col min="8509" max="8509" width="9.6640625" style="42"/>
    <col min="8510" max="8510" width="11" style="42" customWidth="1"/>
    <col min="8511" max="8511" width="10.77734375" style="42" customWidth="1"/>
    <col min="8512" max="8512" width="11.44140625" style="42" customWidth="1"/>
    <col min="8513" max="8513" width="4" style="42" customWidth="1"/>
    <col min="8514" max="8704" width="9.6640625" style="42"/>
    <col min="8705" max="8705" width="6.44140625" style="42" customWidth="1"/>
    <col min="8706" max="8706" width="13.88671875" style="42" customWidth="1"/>
    <col min="8707" max="8707" width="11.88671875" style="42" customWidth="1"/>
    <col min="8708" max="8710" width="9.6640625" style="42"/>
    <col min="8711" max="8711" width="15.44140625" style="42" customWidth="1"/>
    <col min="8712" max="8712" width="16.21875" style="42" customWidth="1"/>
    <col min="8713" max="8724" width="9.6640625" style="42"/>
    <col min="8725" max="8725" width="12" style="42" customWidth="1"/>
    <col min="8726" max="8726" width="12.77734375" style="42" customWidth="1"/>
    <col min="8727" max="8727" width="11.109375" style="42" customWidth="1"/>
    <col min="8728" max="8728" width="12" style="42" customWidth="1"/>
    <col min="8729" max="8729" width="9.6640625" style="42"/>
    <col min="8730" max="8730" width="15.33203125" style="42" customWidth="1"/>
    <col min="8731" max="8731" width="15.21875" style="42" customWidth="1"/>
    <col min="8732" max="8732" width="21.44140625" style="42" customWidth="1"/>
    <col min="8733" max="8748" width="9.6640625" style="42"/>
    <col min="8749" max="8750" width="13.44140625" style="42" customWidth="1"/>
    <col min="8751" max="8751" width="9.6640625" style="42"/>
    <col min="8752" max="8752" width="13.88671875" style="42" customWidth="1"/>
    <col min="8753" max="8753" width="10.6640625" style="42" customWidth="1"/>
    <col min="8754" max="8754" width="17.33203125" style="42" customWidth="1"/>
    <col min="8755" max="8756" width="12.6640625" style="42" customWidth="1"/>
    <col min="8757" max="8757" width="11.21875" style="42" customWidth="1"/>
    <col min="8758" max="8758" width="18.33203125" style="42" customWidth="1"/>
    <col min="8759" max="8759" width="12.88671875" style="42" customWidth="1"/>
    <col min="8760" max="8761" width="13.21875" style="42" customWidth="1"/>
    <col min="8762" max="8762" width="10.88671875" style="42" customWidth="1"/>
    <col min="8763" max="8763" width="11.109375" style="42" customWidth="1"/>
    <col min="8764" max="8764" width="15.21875" style="42" customWidth="1"/>
    <col min="8765" max="8765" width="9.6640625" style="42"/>
    <col min="8766" max="8766" width="11" style="42" customWidth="1"/>
    <col min="8767" max="8767" width="10.77734375" style="42" customWidth="1"/>
    <col min="8768" max="8768" width="11.44140625" style="42" customWidth="1"/>
    <col min="8769" max="8769" width="4" style="42" customWidth="1"/>
    <col min="8770" max="8960" width="9.6640625" style="42"/>
    <col min="8961" max="8961" width="6.44140625" style="42" customWidth="1"/>
    <col min="8962" max="8962" width="13.88671875" style="42" customWidth="1"/>
    <col min="8963" max="8963" width="11.88671875" style="42" customWidth="1"/>
    <col min="8964" max="8966" width="9.6640625" style="42"/>
    <col min="8967" max="8967" width="15.44140625" style="42" customWidth="1"/>
    <col min="8968" max="8968" width="16.21875" style="42" customWidth="1"/>
    <col min="8969" max="8980" width="9.6640625" style="42"/>
    <col min="8981" max="8981" width="12" style="42" customWidth="1"/>
    <col min="8982" max="8982" width="12.77734375" style="42" customWidth="1"/>
    <col min="8983" max="8983" width="11.109375" style="42" customWidth="1"/>
    <col min="8984" max="8984" width="12" style="42" customWidth="1"/>
    <col min="8985" max="8985" width="9.6640625" style="42"/>
    <col min="8986" max="8986" width="15.33203125" style="42" customWidth="1"/>
    <col min="8987" max="8987" width="15.21875" style="42" customWidth="1"/>
    <col min="8988" max="8988" width="21.44140625" style="42" customWidth="1"/>
    <col min="8989" max="9004" width="9.6640625" style="42"/>
    <col min="9005" max="9006" width="13.44140625" style="42" customWidth="1"/>
    <col min="9007" max="9007" width="9.6640625" style="42"/>
    <col min="9008" max="9008" width="13.88671875" style="42" customWidth="1"/>
    <col min="9009" max="9009" width="10.6640625" style="42" customWidth="1"/>
    <col min="9010" max="9010" width="17.33203125" style="42" customWidth="1"/>
    <col min="9011" max="9012" width="12.6640625" style="42" customWidth="1"/>
    <col min="9013" max="9013" width="11.21875" style="42" customWidth="1"/>
    <col min="9014" max="9014" width="18.33203125" style="42" customWidth="1"/>
    <col min="9015" max="9015" width="12.88671875" style="42" customWidth="1"/>
    <col min="9016" max="9017" width="13.21875" style="42" customWidth="1"/>
    <col min="9018" max="9018" width="10.88671875" style="42" customWidth="1"/>
    <col min="9019" max="9019" width="11.109375" style="42" customWidth="1"/>
    <col min="9020" max="9020" width="15.21875" style="42" customWidth="1"/>
    <col min="9021" max="9021" width="9.6640625" style="42"/>
    <col min="9022" max="9022" width="11" style="42" customWidth="1"/>
    <col min="9023" max="9023" width="10.77734375" style="42" customWidth="1"/>
    <col min="9024" max="9024" width="11.44140625" style="42" customWidth="1"/>
    <col min="9025" max="9025" width="4" style="42" customWidth="1"/>
    <col min="9026" max="9216" width="9.6640625" style="42"/>
    <col min="9217" max="9217" width="6.44140625" style="42" customWidth="1"/>
    <col min="9218" max="9218" width="13.88671875" style="42" customWidth="1"/>
    <col min="9219" max="9219" width="11.88671875" style="42" customWidth="1"/>
    <col min="9220" max="9222" width="9.6640625" style="42"/>
    <col min="9223" max="9223" width="15.44140625" style="42" customWidth="1"/>
    <col min="9224" max="9224" width="16.21875" style="42" customWidth="1"/>
    <col min="9225" max="9236" width="9.6640625" style="42"/>
    <col min="9237" max="9237" width="12" style="42" customWidth="1"/>
    <col min="9238" max="9238" width="12.77734375" style="42" customWidth="1"/>
    <col min="9239" max="9239" width="11.109375" style="42" customWidth="1"/>
    <col min="9240" max="9240" width="12" style="42" customWidth="1"/>
    <col min="9241" max="9241" width="9.6640625" style="42"/>
    <col min="9242" max="9242" width="15.33203125" style="42" customWidth="1"/>
    <col min="9243" max="9243" width="15.21875" style="42" customWidth="1"/>
    <col min="9244" max="9244" width="21.44140625" style="42" customWidth="1"/>
    <col min="9245" max="9260" width="9.6640625" style="42"/>
    <col min="9261" max="9262" width="13.44140625" style="42" customWidth="1"/>
    <col min="9263" max="9263" width="9.6640625" style="42"/>
    <col min="9264" max="9264" width="13.88671875" style="42" customWidth="1"/>
    <col min="9265" max="9265" width="10.6640625" style="42" customWidth="1"/>
    <col min="9266" max="9266" width="17.33203125" style="42" customWidth="1"/>
    <col min="9267" max="9268" width="12.6640625" style="42" customWidth="1"/>
    <col min="9269" max="9269" width="11.21875" style="42" customWidth="1"/>
    <col min="9270" max="9270" width="18.33203125" style="42" customWidth="1"/>
    <col min="9271" max="9271" width="12.88671875" style="42" customWidth="1"/>
    <col min="9272" max="9273" width="13.21875" style="42" customWidth="1"/>
    <col min="9274" max="9274" width="10.88671875" style="42" customWidth="1"/>
    <col min="9275" max="9275" width="11.109375" style="42" customWidth="1"/>
    <col min="9276" max="9276" width="15.21875" style="42" customWidth="1"/>
    <col min="9277" max="9277" width="9.6640625" style="42"/>
    <col min="9278" max="9278" width="11" style="42" customWidth="1"/>
    <col min="9279" max="9279" width="10.77734375" style="42" customWidth="1"/>
    <col min="9280" max="9280" width="11.44140625" style="42" customWidth="1"/>
    <col min="9281" max="9281" width="4" style="42" customWidth="1"/>
    <col min="9282" max="9472" width="9.6640625" style="42"/>
    <col min="9473" max="9473" width="6.44140625" style="42" customWidth="1"/>
    <col min="9474" max="9474" width="13.88671875" style="42" customWidth="1"/>
    <col min="9475" max="9475" width="11.88671875" style="42" customWidth="1"/>
    <col min="9476" max="9478" width="9.6640625" style="42"/>
    <col min="9479" max="9479" width="15.44140625" style="42" customWidth="1"/>
    <col min="9480" max="9480" width="16.21875" style="42" customWidth="1"/>
    <col min="9481" max="9492" width="9.6640625" style="42"/>
    <col min="9493" max="9493" width="12" style="42" customWidth="1"/>
    <col min="9494" max="9494" width="12.77734375" style="42" customWidth="1"/>
    <col min="9495" max="9495" width="11.109375" style="42" customWidth="1"/>
    <col min="9496" max="9496" width="12" style="42" customWidth="1"/>
    <col min="9497" max="9497" width="9.6640625" style="42"/>
    <col min="9498" max="9498" width="15.33203125" style="42" customWidth="1"/>
    <col min="9499" max="9499" width="15.21875" style="42" customWidth="1"/>
    <col min="9500" max="9500" width="21.44140625" style="42" customWidth="1"/>
    <col min="9501" max="9516" width="9.6640625" style="42"/>
    <col min="9517" max="9518" width="13.44140625" style="42" customWidth="1"/>
    <col min="9519" max="9519" width="9.6640625" style="42"/>
    <col min="9520" max="9520" width="13.88671875" style="42" customWidth="1"/>
    <col min="9521" max="9521" width="10.6640625" style="42" customWidth="1"/>
    <col min="9522" max="9522" width="17.33203125" style="42" customWidth="1"/>
    <col min="9523" max="9524" width="12.6640625" style="42" customWidth="1"/>
    <col min="9525" max="9525" width="11.21875" style="42" customWidth="1"/>
    <col min="9526" max="9526" width="18.33203125" style="42" customWidth="1"/>
    <col min="9527" max="9527" width="12.88671875" style="42" customWidth="1"/>
    <col min="9528" max="9529" width="13.21875" style="42" customWidth="1"/>
    <col min="9530" max="9530" width="10.88671875" style="42" customWidth="1"/>
    <col min="9531" max="9531" width="11.109375" style="42" customWidth="1"/>
    <col min="9532" max="9532" width="15.21875" style="42" customWidth="1"/>
    <col min="9533" max="9533" width="9.6640625" style="42"/>
    <col min="9534" max="9534" width="11" style="42" customWidth="1"/>
    <col min="9535" max="9535" width="10.77734375" style="42" customWidth="1"/>
    <col min="9536" max="9536" width="11.44140625" style="42" customWidth="1"/>
    <col min="9537" max="9537" width="4" style="42" customWidth="1"/>
    <col min="9538" max="9728" width="9.6640625" style="42"/>
    <col min="9729" max="9729" width="6.44140625" style="42" customWidth="1"/>
    <col min="9730" max="9730" width="13.88671875" style="42" customWidth="1"/>
    <col min="9731" max="9731" width="11.88671875" style="42" customWidth="1"/>
    <col min="9732" max="9734" width="9.6640625" style="42"/>
    <col min="9735" max="9735" width="15.44140625" style="42" customWidth="1"/>
    <col min="9736" max="9736" width="16.21875" style="42" customWidth="1"/>
    <col min="9737" max="9748" width="9.6640625" style="42"/>
    <col min="9749" max="9749" width="12" style="42" customWidth="1"/>
    <col min="9750" max="9750" width="12.77734375" style="42" customWidth="1"/>
    <col min="9751" max="9751" width="11.109375" style="42" customWidth="1"/>
    <col min="9752" max="9752" width="12" style="42" customWidth="1"/>
    <col min="9753" max="9753" width="9.6640625" style="42"/>
    <col min="9754" max="9754" width="15.33203125" style="42" customWidth="1"/>
    <col min="9755" max="9755" width="15.21875" style="42" customWidth="1"/>
    <col min="9756" max="9756" width="21.44140625" style="42" customWidth="1"/>
    <col min="9757" max="9772" width="9.6640625" style="42"/>
    <col min="9773" max="9774" width="13.44140625" style="42" customWidth="1"/>
    <col min="9775" max="9775" width="9.6640625" style="42"/>
    <col min="9776" max="9776" width="13.88671875" style="42" customWidth="1"/>
    <col min="9777" max="9777" width="10.6640625" style="42" customWidth="1"/>
    <col min="9778" max="9778" width="17.33203125" style="42" customWidth="1"/>
    <col min="9779" max="9780" width="12.6640625" style="42" customWidth="1"/>
    <col min="9781" max="9781" width="11.21875" style="42" customWidth="1"/>
    <col min="9782" max="9782" width="18.33203125" style="42" customWidth="1"/>
    <col min="9783" max="9783" width="12.88671875" style="42" customWidth="1"/>
    <col min="9784" max="9785" width="13.21875" style="42" customWidth="1"/>
    <col min="9786" max="9786" width="10.88671875" style="42" customWidth="1"/>
    <col min="9787" max="9787" width="11.109375" style="42" customWidth="1"/>
    <col min="9788" max="9788" width="15.21875" style="42" customWidth="1"/>
    <col min="9789" max="9789" width="9.6640625" style="42"/>
    <col min="9790" max="9790" width="11" style="42" customWidth="1"/>
    <col min="9791" max="9791" width="10.77734375" style="42" customWidth="1"/>
    <col min="9792" max="9792" width="11.44140625" style="42" customWidth="1"/>
    <col min="9793" max="9793" width="4" style="42" customWidth="1"/>
    <col min="9794" max="9984" width="9.6640625" style="42"/>
    <col min="9985" max="9985" width="6.44140625" style="42" customWidth="1"/>
    <col min="9986" max="9986" width="13.88671875" style="42" customWidth="1"/>
    <col min="9987" max="9987" width="11.88671875" style="42" customWidth="1"/>
    <col min="9988" max="9990" width="9.6640625" style="42"/>
    <col min="9991" max="9991" width="15.44140625" style="42" customWidth="1"/>
    <col min="9992" max="9992" width="16.21875" style="42" customWidth="1"/>
    <col min="9993" max="10004" width="9.6640625" style="42"/>
    <col min="10005" max="10005" width="12" style="42" customWidth="1"/>
    <col min="10006" max="10006" width="12.77734375" style="42" customWidth="1"/>
    <col min="10007" max="10007" width="11.109375" style="42" customWidth="1"/>
    <col min="10008" max="10008" width="12" style="42" customWidth="1"/>
    <col min="10009" max="10009" width="9.6640625" style="42"/>
    <col min="10010" max="10010" width="15.33203125" style="42" customWidth="1"/>
    <col min="10011" max="10011" width="15.21875" style="42" customWidth="1"/>
    <col min="10012" max="10012" width="21.44140625" style="42" customWidth="1"/>
    <col min="10013" max="10028" width="9.6640625" style="42"/>
    <col min="10029" max="10030" width="13.44140625" style="42" customWidth="1"/>
    <col min="10031" max="10031" width="9.6640625" style="42"/>
    <col min="10032" max="10032" width="13.88671875" style="42" customWidth="1"/>
    <col min="10033" max="10033" width="10.6640625" style="42" customWidth="1"/>
    <col min="10034" max="10034" width="17.33203125" style="42" customWidth="1"/>
    <col min="10035" max="10036" width="12.6640625" style="42" customWidth="1"/>
    <col min="10037" max="10037" width="11.21875" style="42" customWidth="1"/>
    <col min="10038" max="10038" width="18.33203125" style="42" customWidth="1"/>
    <col min="10039" max="10039" width="12.88671875" style="42" customWidth="1"/>
    <col min="10040" max="10041" width="13.21875" style="42" customWidth="1"/>
    <col min="10042" max="10042" width="10.88671875" style="42" customWidth="1"/>
    <col min="10043" max="10043" width="11.109375" style="42" customWidth="1"/>
    <col min="10044" max="10044" width="15.21875" style="42" customWidth="1"/>
    <col min="10045" max="10045" width="9.6640625" style="42"/>
    <col min="10046" max="10046" width="11" style="42" customWidth="1"/>
    <col min="10047" max="10047" width="10.77734375" style="42" customWidth="1"/>
    <col min="10048" max="10048" width="11.44140625" style="42" customWidth="1"/>
    <col min="10049" max="10049" width="4" style="42" customWidth="1"/>
    <col min="10050" max="10240" width="9.6640625" style="42"/>
    <col min="10241" max="10241" width="6.44140625" style="42" customWidth="1"/>
    <col min="10242" max="10242" width="13.88671875" style="42" customWidth="1"/>
    <col min="10243" max="10243" width="11.88671875" style="42" customWidth="1"/>
    <col min="10244" max="10246" width="9.6640625" style="42"/>
    <col min="10247" max="10247" width="15.44140625" style="42" customWidth="1"/>
    <col min="10248" max="10248" width="16.21875" style="42" customWidth="1"/>
    <col min="10249" max="10260" width="9.6640625" style="42"/>
    <col min="10261" max="10261" width="12" style="42" customWidth="1"/>
    <col min="10262" max="10262" width="12.77734375" style="42" customWidth="1"/>
    <col min="10263" max="10263" width="11.109375" style="42" customWidth="1"/>
    <col min="10264" max="10264" width="12" style="42" customWidth="1"/>
    <col min="10265" max="10265" width="9.6640625" style="42"/>
    <col min="10266" max="10266" width="15.33203125" style="42" customWidth="1"/>
    <col min="10267" max="10267" width="15.21875" style="42" customWidth="1"/>
    <col min="10268" max="10268" width="21.44140625" style="42" customWidth="1"/>
    <col min="10269" max="10284" width="9.6640625" style="42"/>
    <col min="10285" max="10286" width="13.44140625" style="42" customWidth="1"/>
    <col min="10287" max="10287" width="9.6640625" style="42"/>
    <col min="10288" max="10288" width="13.88671875" style="42" customWidth="1"/>
    <col min="10289" max="10289" width="10.6640625" style="42" customWidth="1"/>
    <col min="10290" max="10290" width="17.33203125" style="42" customWidth="1"/>
    <col min="10291" max="10292" width="12.6640625" style="42" customWidth="1"/>
    <col min="10293" max="10293" width="11.21875" style="42" customWidth="1"/>
    <col min="10294" max="10294" width="18.33203125" style="42" customWidth="1"/>
    <col min="10295" max="10295" width="12.88671875" style="42" customWidth="1"/>
    <col min="10296" max="10297" width="13.21875" style="42" customWidth="1"/>
    <col min="10298" max="10298" width="10.88671875" style="42" customWidth="1"/>
    <col min="10299" max="10299" width="11.109375" style="42" customWidth="1"/>
    <col min="10300" max="10300" width="15.21875" style="42" customWidth="1"/>
    <col min="10301" max="10301" width="9.6640625" style="42"/>
    <col min="10302" max="10302" width="11" style="42" customWidth="1"/>
    <col min="10303" max="10303" width="10.77734375" style="42" customWidth="1"/>
    <col min="10304" max="10304" width="11.44140625" style="42" customWidth="1"/>
    <col min="10305" max="10305" width="4" style="42" customWidth="1"/>
    <col min="10306" max="10496" width="9.6640625" style="42"/>
    <col min="10497" max="10497" width="6.44140625" style="42" customWidth="1"/>
    <col min="10498" max="10498" width="13.88671875" style="42" customWidth="1"/>
    <col min="10499" max="10499" width="11.88671875" style="42" customWidth="1"/>
    <col min="10500" max="10502" width="9.6640625" style="42"/>
    <col min="10503" max="10503" width="15.44140625" style="42" customWidth="1"/>
    <col min="10504" max="10504" width="16.21875" style="42" customWidth="1"/>
    <col min="10505" max="10516" width="9.6640625" style="42"/>
    <col min="10517" max="10517" width="12" style="42" customWidth="1"/>
    <col min="10518" max="10518" width="12.77734375" style="42" customWidth="1"/>
    <col min="10519" max="10519" width="11.109375" style="42" customWidth="1"/>
    <col min="10520" max="10520" width="12" style="42" customWidth="1"/>
    <col min="10521" max="10521" width="9.6640625" style="42"/>
    <col min="10522" max="10522" width="15.33203125" style="42" customWidth="1"/>
    <col min="10523" max="10523" width="15.21875" style="42" customWidth="1"/>
    <col min="10524" max="10524" width="21.44140625" style="42" customWidth="1"/>
    <col min="10525" max="10540" width="9.6640625" style="42"/>
    <col min="10541" max="10542" width="13.44140625" style="42" customWidth="1"/>
    <col min="10543" max="10543" width="9.6640625" style="42"/>
    <col min="10544" max="10544" width="13.88671875" style="42" customWidth="1"/>
    <col min="10545" max="10545" width="10.6640625" style="42" customWidth="1"/>
    <col min="10546" max="10546" width="17.33203125" style="42" customWidth="1"/>
    <col min="10547" max="10548" width="12.6640625" style="42" customWidth="1"/>
    <col min="10549" max="10549" width="11.21875" style="42" customWidth="1"/>
    <col min="10550" max="10550" width="18.33203125" style="42" customWidth="1"/>
    <col min="10551" max="10551" width="12.88671875" style="42" customWidth="1"/>
    <col min="10552" max="10553" width="13.21875" style="42" customWidth="1"/>
    <col min="10554" max="10554" width="10.88671875" style="42" customWidth="1"/>
    <col min="10555" max="10555" width="11.109375" style="42" customWidth="1"/>
    <col min="10556" max="10556" width="15.21875" style="42" customWidth="1"/>
    <col min="10557" max="10557" width="9.6640625" style="42"/>
    <col min="10558" max="10558" width="11" style="42" customWidth="1"/>
    <col min="10559" max="10559" width="10.77734375" style="42" customWidth="1"/>
    <col min="10560" max="10560" width="11.44140625" style="42" customWidth="1"/>
    <col min="10561" max="10561" width="4" style="42" customWidth="1"/>
    <col min="10562" max="10752" width="9.6640625" style="42"/>
    <col min="10753" max="10753" width="6.44140625" style="42" customWidth="1"/>
    <col min="10754" max="10754" width="13.88671875" style="42" customWidth="1"/>
    <col min="10755" max="10755" width="11.88671875" style="42" customWidth="1"/>
    <col min="10756" max="10758" width="9.6640625" style="42"/>
    <col min="10759" max="10759" width="15.44140625" style="42" customWidth="1"/>
    <col min="10760" max="10760" width="16.21875" style="42" customWidth="1"/>
    <col min="10761" max="10772" width="9.6640625" style="42"/>
    <col min="10773" max="10773" width="12" style="42" customWidth="1"/>
    <col min="10774" max="10774" width="12.77734375" style="42" customWidth="1"/>
    <col min="10775" max="10775" width="11.109375" style="42" customWidth="1"/>
    <col min="10776" max="10776" width="12" style="42" customWidth="1"/>
    <col min="10777" max="10777" width="9.6640625" style="42"/>
    <col min="10778" max="10778" width="15.33203125" style="42" customWidth="1"/>
    <col min="10779" max="10779" width="15.21875" style="42" customWidth="1"/>
    <col min="10780" max="10780" width="21.44140625" style="42" customWidth="1"/>
    <col min="10781" max="10796" width="9.6640625" style="42"/>
    <col min="10797" max="10798" width="13.44140625" style="42" customWidth="1"/>
    <col min="10799" max="10799" width="9.6640625" style="42"/>
    <col min="10800" max="10800" width="13.88671875" style="42" customWidth="1"/>
    <col min="10801" max="10801" width="10.6640625" style="42" customWidth="1"/>
    <col min="10802" max="10802" width="17.33203125" style="42" customWidth="1"/>
    <col min="10803" max="10804" width="12.6640625" style="42" customWidth="1"/>
    <col min="10805" max="10805" width="11.21875" style="42" customWidth="1"/>
    <col min="10806" max="10806" width="18.33203125" style="42" customWidth="1"/>
    <col min="10807" max="10807" width="12.88671875" style="42" customWidth="1"/>
    <col min="10808" max="10809" width="13.21875" style="42" customWidth="1"/>
    <col min="10810" max="10810" width="10.88671875" style="42" customWidth="1"/>
    <col min="10811" max="10811" width="11.109375" style="42" customWidth="1"/>
    <col min="10812" max="10812" width="15.21875" style="42" customWidth="1"/>
    <col min="10813" max="10813" width="9.6640625" style="42"/>
    <col min="10814" max="10814" width="11" style="42" customWidth="1"/>
    <col min="10815" max="10815" width="10.77734375" style="42" customWidth="1"/>
    <col min="10816" max="10816" width="11.44140625" style="42" customWidth="1"/>
    <col min="10817" max="10817" width="4" style="42" customWidth="1"/>
    <col min="10818" max="11008" width="9.6640625" style="42"/>
    <col min="11009" max="11009" width="6.44140625" style="42" customWidth="1"/>
    <col min="11010" max="11010" width="13.88671875" style="42" customWidth="1"/>
    <col min="11011" max="11011" width="11.88671875" style="42" customWidth="1"/>
    <col min="11012" max="11014" width="9.6640625" style="42"/>
    <col min="11015" max="11015" width="15.44140625" style="42" customWidth="1"/>
    <col min="11016" max="11016" width="16.21875" style="42" customWidth="1"/>
    <col min="11017" max="11028" width="9.6640625" style="42"/>
    <col min="11029" max="11029" width="12" style="42" customWidth="1"/>
    <col min="11030" max="11030" width="12.77734375" style="42" customWidth="1"/>
    <col min="11031" max="11031" width="11.109375" style="42" customWidth="1"/>
    <col min="11032" max="11032" width="12" style="42" customWidth="1"/>
    <col min="11033" max="11033" width="9.6640625" style="42"/>
    <col min="11034" max="11034" width="15.33203125" style="42" customWidth="1"/>
    <col min="11035" max="11035" width="15.21875" style="42" customWidth="1"/>
    <col min="11036" max="11036" width="21.44140625" style="42" customWidth="1"/>
    <col min="11037" max="11052" width="9.6640625" style="42"/>
    <col min="11053" max="11054" width="13.44140625" style="42" customWidth="1"/>
    <col min="11055" max="11055" width="9.6640625" style="42"/>
    <col min="11056" max="11056" width="13.88671875" style="42" customWidth="1"/>
    <col min="11057" max="11057" width="10.6640625" style="42" customWidth="1"/>
    <col min="11058" max="11058" width="17.33203125" style="42" customWidth="1"/>
    <col min="11059" max="11060" width="12.6640625" style="42" customWidth="1"/>
    <col min="11061" max="11061" width="11.21875" style="42" customWidth="1"/>
    <col min="11062" max="11062" width="18.33203125" style="42" customWidth="1"/>
    <col min="11063" max="11063" width="12.88671875" style="42" customWidth="1"/>
    <col min="11064" max="11065" width="13.21875" style="42" customWidth="1"/>
    <col min="11066" max="11066" width="10.88671875" style="42" customWidth="1"/>
    <col min="11067" max="11067" width="11.109375" style="42" customWidth="1"/>
    <col min="11068" max="11068" width="15.21875" style="42" customWidth="1"/>
    <col min="11069" max="11069" width="9.6640625" style="42"/>
    <col min="11070" max="11070" width="11" style="42" customWidth="1"/>
    <col min="11071" max="11071" width="10.77734375" style="42" customWidth="1"/>
    <col min="11072" max="11072" width="11.44140625" style="42" customWidth="1"/>
    <col min="11073" max="11073" width="4" style="42" customWidth="1"/>
    <col min="11074" max="11264" width="9.6640625" style="42"/>
    <col min="11265" max="11265" width="6.44140625" style="42" customWidth="1"/>
    <col min="11266" max="11266" width="13.88671875" style="42" customWidth="1"/>
    <col min="11267" max="11267" width="11.88671875" style="42" customWidth="1"/>
    <col min="11268" max="11270" width="9.6640625" style="42"/>
    <col min="11271" max="11271" width="15.44140625" style="42" customWidth="1"/>
    <col min="11272" max="11272" width="16.21875" style="42" customWidth="1"/>
    <col min="11273" max="11284" width="9.6640625" style="42"/>
    <col min="11285" max="11285" width="12" style="42" customWidth="1"/>
    <col min="11286" max="11286" width="12.77734375" style="42" customWidth="1"/>
    <col min="11287" max="11287" width="11.109375" style="42" customWidth="1"/>
    <col min="11288" max="11288" width="12" style="42" customWidth="1"/>
    <col min="11289" max="11289" width="9.6640625" style="42"/>
    <col min="11290" max="11290" width="15.33203125" style="42" customWidth="1"/>
    <col min="11291" max="11291" width="15.21875" style="42" customWidth="1"/>
    <col min="11292" max="11292" width="21.44140625" style="42" customWidth="1"/>
    <col min="11293" max="11308" width="9.6640625" style="42"/>
    <col min="11309" max="11310" width="13.44140625" style="42" customWidth="1"/>
    <col min="11311" max="11311" width="9.6640625" style="42"/>
    <col min="11312" max="11312" width="13.88671875" style="42" customWidth="1"/>
    <col min="11313" max="11313" width="10.6640625" style="42" customWidth="1"/>
    <col min="11314" max="11314" width="17.33203125" style="42" customWidth="1"/>
    <col min="11315" max="11316" width="12.6640625" style="42" customWidth="1"/>
    <col min="11317" max="11317" width="11.21875" style="42" customWidth="1"/>
    <col min="11318" max="11318" width="18.33203125" style="42" customWidth="1"/>
    <col min="11319" max="11319" width="12.88671875" style="42" customWidth="1"/>
    <col min="11320" max="11321" width="13.21875" style="42" customWidth="1"/>
    <col min="11322" max="11322" width="10.88671875" style="42" customWidth="1"/>
    <col min="11323" max="11323" width="11.109375" style="42" customWidth="1"/>
    <col min="11324" max="11324" width="15.21875" style="42" customWidth="1"/>
    <col min="11325" max="11325" width="9.6640625" style="42"/>
    <col min="11326" max="11326" width="11" style="42" customWidth="1"/>
    <col min="11327" max="11327" width="10.77734375" style="42" customWidth="1"/>
    <col min="11328" max="11328" width="11.44140625" style="42" customWidth="1"/>
    <col min="11329" max="11329" width="4" style="42" customWidth="1"/>
    <col min="11330" max="11520" width="9.6640625" style="42"/>
    <col min="11521" max="11521" width="6.44140625" style="42" customWidth="1"/>
    <col min="11522" max="11522" width="13.88671875" style="42" customWidth="1"/>
    <col min="11523" max="11523" width="11.88671875" style="42" customWidth="1"/>
    <col min="11524" max="11526" width="9.6640625" style="42"/>
    <col min="11527" max="11527" width="15.44140625" style="42" customWidth="1"/>
    <col min="11528" max="11528" width="16.21875" style="42" customWidth="1"/>
    <col min="11529" max="11540" width="9.6640625" style="42"/>
    <col min="11541" max="11541" width="12" style="42" customWidth="1"/>
    <col min="11542" max="11542" width="12.77734375" style="42" customWidth="1"/>
    <col min="11543" max="11543" width="11.109375" style="42" customWidth="1"/>
    <col min="11544" max="11544" width="12" style="42" customWidth="1"/>
    <col min="11545" max="11545" width="9.6640625" style="42"/>
    <col min="11546" max="11546" width="15.33203125" style="42" customWidth="1"/>
    <col min="11547" max="11547" width="15.21875" style="42" customWidth="1"/>
    <col min="11548" max="11548" width="21.44140625" style="42" customWidth="1"/>
    <col min="11549" max="11564" width="9.6640625" style="42"/>
    <col min="11565" max="11566" width="13.44140625" style="42" customWidth="1"/>
    <col min="11567" max="11567" width="9.6640625" style="42"/>
    <col min="11568" max="11568" width="13.88671875" style="42" customWidth="1"/>
    <col min="11569" max="11569" width="10.6640625" style="42" customWidth="1"/>
    <col min="11570" max="11570" width="17.33203125" style="42" customWidth="1"/>
    <col min="11571" max="11572" width="12.6640625" style="42" customWidth="1"/>
    <col min="11573" max="11573" width="11.21875" style="42" customWidth="1"/>
    <col min="11574" max="11574" width="18.33203125" style="42" customWidth="1"/>
    <col min="11575" max="11575" width="12.88671875" style="42" customWidth="1"/>
    <col min="11576" max="11577" width="13.21875" style="42" customWidth="1"/>
    <col min="11578" max="11578" width="10.88671875" style="42" customWidth="1"/>
    <col min="11579" max="11579" width="11.109375" style="42" customWidth="1"/>
    <col min="11580" max="11580" width="15.21875" style="42" customWidth="1"/>
    <col min="11581" max="11581" width="9.6640625" style="42"/>
    <col min="11582" max="11582" width="11" style="42" customWidth="1"/>
    <col min="11583" max="11583" width="10.77734375" style="42" customWidth="1"/>
    <col min="11584" max="11584" width="11.44140625" style="42" customWidth="1"/>
    <col min="11585" max="11585" width="4" style="42" customWidth="1"/>
    <col min="11586" max="11776" width="9.6640625" style="42"/>
    <col min="11777" max="11777" width="6.44140625" style="42" customWidth="1"/>
    <col min="11778" max="11778" width="13.88671875" style="42" customWidth="1"/>
    <col min="11779" max="11779" width="11.88671875" style="42" customWidth="1"/>
    <col min="11780" max="11782" width="9.6640625" style="42"/>
    <col min="11783" max="11783" width="15.44140625" style="42" customWidth="1"/>
    <col min="11784" max="11784" width="16.21875" style="42" customWidth="1"/>
    <col min="11785" max="11796" width="9.6640625" style="42"/>
    <col min="11797" max="11797" width="12" style="42" customWidth="1"/>
    <col min="11798" max="11798" width="12.77734375" style="42" customWidth="1"/>
    <col min="11799" max="11799" width="11.109375" style="42" customWidth="1"/>
    <col min="11800" max="11800" width="12" style="42" customWidth="1"/>
    <col min="11801" max="11801" width="9.6640625" style="42"/>
    <col min="11802" max="11802" width="15.33203125" style="42" customWidth="1"/>
    <col min="11803" max="11803" width="15.21875" style="42" customWidth="1"/>
    <col min="11804" max="11804" width="21.44140625" style="42" customWidth="1"/>
    <col min="11805" max="11820" width="9.6640625" style="42"/>
    <col min="11821" max="11822" width="13.44140625" style="42" customWidth="1"/>
    <col min="11823" max="11823" width="9.6640625" style="42"/>
    <col min="11824" max="11824" width="13.88671875" style="42" customWidth="1"/>
    <col min="11825" max="11825" width="10.6640625" style="42" customWidth="1"/>
    <col min="11826" max="11826" width="17.33203125" style="42" customWidth="1"/>
    <col min="11827" max="11828" width="12.6640625" style="42" customWidth="1"/>
    <col min="11829" max="11829" width="11.21875" style="42" customWidth="1"/>
    <col min="11830" max="11830" width="18.33203125" style="42" customWidth="1"/>
    <col min="11831" max="11831" width="12.88671875" style="42" customWidth="1"/>
    <col min="11832" max="11833" width="13.21875" style="42" customWidth="1"/>
    <col min="11834" max="11834" width="10.88671875" style="42" customWidth="1"/>
    <col min="11835" max="11835" width="11.109375" style="42" customWidth="1"/>
    <col min="11836" max="11836" width="15.21875" style="42" customWidth="1"/>
    <col min="11837" max="11837" width="9.6640625" style="42"/>
    <col min="11838" max="11838" width="11" style="42" customWidth="1"/>
    <col min="11839" max="11839" width="10.77734375" style="42" customWidth="1"/>
    <col min="11840" max="11840" width="11.44140625" style="42" customWidth="1"/>
    <col min="11841" max="11841" width="4" style="42" customWidth="1"/>
    <col min="11842" max="12032" width="9.6640625" style="42"/>
    <col min="12033" max="12033" width="6.44140625" style="42" customWidth="1"/>
    <col min="12034" max="12034" width="13.88671875" style="42" customWidth="1"/>
    <col min="12035" max="12035" width="11.88671875" style="42" customWidth="1"/>
    <col min="12036" max="12038" width="9.6640625" style="42"/>
    <col min="12039" max="12039" width="15.44140625" style="42" customWidth="1"/>
    <col min="12040" max="12040" width="16.21875" style="42" customWidth="1"/>
    <col min="12041" max="12052" width="9.6640625" style="42"/>
    <col min="12053" max="12053" width="12" style="42" customWidth="1"/>
    <col min="12054" max="12054" width="12.77734375" style="42" customWidth="1"/>
    <col min="12055" max="12055" width="11.109375" style="42" customWidth="1"/>
    <col min="12056" max="12056" width="12" style="42" customWidth="1"/>
    <col min="12057" max="12057" width="9.6640625" style="42"/>
    <col min="12058" max="12058" width="15.33203125" style="42" customWidth="1"/>
    <col min="12059" max="12059" width="15.21875" style="42" customWidth="1"/>
    <col min="12060" max="12060" width="21.44140625" style="42" customWidth="1"/>
    <col min="12061" max="12076" width="9.6640625" style="42"/>
    <col min="12077" max="12078" width="13.44140625" style="42" customWidth="1"/>
    <col min="12079" max="12079" width="9.6640625" style="42"/>
    <col min="12080" max="12080" width="13.88671875" style="42" customWidth="1"/>
    <col min="12081" max="12081" width="10.6640625" style="42" customWidth="1"/>
    <col min="12082" max="12082" width="17.33203125" style="42" customWidth="1"/>
    <col min="12083" max="12084" width="12.6640625" style="42" customWidth="1"/>
    <col min="12085" max="12085" width="11.21875" style="42" customWidth="1"/>
    <col min="12086" max="12086" width="18.33203125" style="42" customWidth="1"/>
    <col min="12087" max="12087" width="12.88671875" style="42" customWidth="1"/>
    <col min="12088" max="12089" width="13.21875" style="42" customWidth="1"/>
    <col min="12090" max="12090" width="10.88671875" style="42" customWidth="1"/>
    <col min="12091" max="12091" width="11.109375" style="42" customWidth="1"/>
    <col min="12092" max="12092" width="15.21875" style="42" customWidth="1"/>
    <col min="12093" max="12093" width="9.6640625" style="42"/>
    <col min="12094" max="12094" width="11" style="42" customWidth="1"/>
    <col min="12095" max="12095" width="10.77734375" style="42" customWidth="1"/>
    <col min="12096" max="12096" width="11.44140625" style="42" customWidth="1"/>
    <col min="12097" max="12097" width="4" style="42" customWidth="1"/>
    <col min="12098" max="12288" width="9.6640625" style="42"/>
    <col min="12289" max="12289" width="6.44140625" style="42" customWidth="1"/>
    <col min="12290" max="12290" width="13.88671875" style="42" customWidth="1"/>
    <col min="12291" max="12291" width="11.88671875" style="42" customWidth="1"/>
    <col min="12292" max="12294" width="9.6640625" style="42"/>
    <col min="12295" max="12295" width="15.44140625" style="42" customWidth="1"/>
    <col min="12296" max="12296" width="16.21875" style="42" customWidth="1"/>
    <col min="12297" max="12308" width="9.6640625" style="42"/>
    <col min="12309" max="12309" width="12" style="42" customWidth="1"/>
    <col min="12310" max="12310" width="12.77734375" style="42" customWidth="1"/>
    <col min="12311" max="12311" width="11.109375" style="42" customWidth="1"/>
    <col min="12312" max="12312" width="12" style="42" customWidth="1"/>
    <col min="12313" max="12313" width="9.6640625" style="42"/>
    <col min="12314" max="12314" width="15.33203125" style="42" customWidth="1"/>
    <col min="12315" max="12315" width="15.21875" style="42" customWidth="1"/>
    <col min="12316" max="12316" width="21.44140625" style="42" customWidth="1"/>
    <col min="12317" max="12332" width="9.6640625" style="42"/>
    <col min="12333" max="12334" width="13.44140625" style="42" customWidth="1"/>
    <col min="12335" max="12335" width="9.6640625" style="42"/>
    <col min="12336" max="12336" width="13.88671875" style="42" customWidth="1"/>
    <col min="12337" max="12337" width="10.6640625" style="42" customWidth="1"/>
    <col min="12338" max="12338" width="17.33203125" style="42" customWidth="1"/>
    <col min="12339" max="12340" width="12.6640625" style="42" customWidth="1"/>
    <col min="12341" max="12341" width="11.21875" style="42" customWidth="1"/>
    <col min="12342" max="12342" width="18.33203125" style="42" customWidth="1"/>
    <col min="12343" max="12343" width="12.88671875" style="42" customWidth="1"/>
    <col min="12344" max="12345" width="13.21875" style="42" customWidth="1"/>
    <col min="12346" max="12346" width="10.88671875" style="42" customWidth="1"/>
    <col min="12347" max="12347" width="11.109375" style="42" customWidth="1"/>
    <col min="12348" max="12348" width="15.21875" style="42" customWidth="1"/>
    <col min="12349" max="12349" width="9.6640625" style="42"/>
    <col min="12350" max="12350" width="11" style="42" customWidth="1"/>
    <col min="12351" max="12351" width="10.77734375" style="42" customWidth="1"/>
    <col min="12352" max="12352" width="11.44140625" style="42" customWidth="1"/>
    <col min="12353" max="12353" width="4" style="42" customWidth="1"/>
    <col min="12354" max="12544" width="9.6640625" style="42"/>
    <col min="12545" max="12545" width="6.44140625" style="42" customWidth="1"/>
    <col min="12546" max="12546" width="13.88671875" style="42" customWidth="1"/>
    <col min="12547" max="12547" width="11.88671875" style="42" customWidth="1"/>
    <col min="12548" max="12550" width="9.6640625" style="42"/>
    <col min="12551" max="12551" width="15.44140625" style="42" customWidth="1"/>
    <col min="12552" max="12552" width="16.21875" style="42" customWidth="1"/>
    <col min="12553" max="12564" width="9.6640625" style="42"/>
    <col min="12565" max="12565" width="12" style="42" customWidth="1"/>
    <col min="12566" max="12566" width="12.77734375" style="42" customWidth="1"/>
    <col min="12567" max="12567" width="11.109375" style="42" customWidth="1"/>
    <col min="12568" max="12568" width="12" style="42" customWidth="1"/>
    <col min="12569" max="12569" width="9.6640625" style="42"/>
    <col min="12570" max="12570" width="15.33203125" style="42" customWidth="1"/>
    <col min="12571" max="12571" width="15.21875" style="42" customWidth="1"/>
    <col min="12572" max="12572" width="21.44140625" style="42" customWidth="1"/>
    <col min="12573" max="12588" width="9.6640625" style="42"/>
    <col min="12589" max="12590" width="13.44140625" style="42" customWidth="1"/>
    <col min="12591" max="12591" width="9.6640625" style="42"/>
    <col min="12592" max="12592" width="13.88671875" style="42" customWidth="1"/>
    <col min="12593" max="12593" width="10.6640625" style="42" customWidth="1"/>
    <col min="12594" max="12594" width="17.33203125" style="42" customWidth="1"/>
    <col min="12595" max="12596" width="12.6640625" style="42" customWidth="1"/>
    <col min="12597" max="12597" width="11.21875" style="42" customWidth="1"/>
    <col min="12598" max="12598" width="18.33203125" style="42" customWidth="1"/>
    <col min="12599" max="12599" width="12.88671875" style="42" customWidth="1"/>
    <col min="12600" max="12601" width="13.21875" style="42" customWidth="1"/>
    <col min="12602" max="12602" width="10.88671875" style="42" customWidth="1"/>
    <col min="12603" max="12603" width="11.109375" style="42" customWidth="1"/>
    <col min="12604" max="12604" width="15.21875" style="42" customWidth="1"/>
    <col min="12605" max="12605" width="9.6640625" style="42"/>
    <col min="12606" max="12606" width="11" style="42" customWidth="1"/>
    <col min="12607" max="12607" width="10.77734375" style="42" customWidth="1"/>
    <col min="12608" max="12608" width="11.44140625" style="42" customWidth="1"/>
    <col min="12609" max="12609" width="4" style="42" customWidth="1"/>
    <col min="12610" max="12800" width="9.6640625" style="42"/>
    <col min="12801" max="12801" width="6.44140625" style="42" customWidth="1"/>
    <col min="12802" max="12802" width="13.88671875" style="42" customWidth="1"/>
    <col min="12803" max="12803" width="11.88671875" style="42" customWidth="1"/>
    <col min="12804" max="12806" width="9.6640625" style="42"/>
    <col min="12807" max="12807" width="15.44140625" style="42" customWidth="1"/>
    <col min="12808" max="12808" width="16.21875" style="42" customWidth="1"/>
    <col min="12809" max="12820" width="9.6640625" style="42"/>
    <col min="12821" max="12821" width="12" style="42" customWidth="1"/>
    <col min="12822" max="12822" width="12.77734375" style="42" customWidth="1"/>
    <col min="12823" max="12823" width="11.109375" style="42" customWidth="1"/>
    <col min="12824" max="12824" width="12" style="42" customWidth="1"/>
    <col min="12825" max="12825" width="9.6640625" style="42"/>
    <col min="12826" max="12826" width="15.33203125" style="42" customWidth="1"/>
    <col min="12827" max="12827" width="15.21875" style="42" customWidth="1"/>
    <col min="12828" max="12828" width="21.44140625" style="42" customWidth="1"/>
    <col min="12829" max="12844" width="9.6640625" style="42"/>
    <col min="12845" max="12846" width="13.44140625" style="42" customWidth="1"/>
    <col min="12847" max="12847" width="9.6640625" style="42"/>
    <col min="12848" max="12848" width="13.88671875" style="42" customWidth="1"/>
    <col min="12849" max="12849" width="10.6640625" style="42" customWidth="1"/>
    <col min="12850" max="12850" width="17.33203125" style="42" customWidth="1"/>
    <col min="12851" max="12852" width="12.6640625" style="42" customWidth="1"/>
    <col min="12853" max="12853" width="11.21875" style="42" customWidth="1"/>
    <col min="12854" max="12854" width="18.33203125" style="42" customWidth="1"/>
    <col min="12855" max="12855" width="12.88671875" style="42" customWidth="1"/>
    <col min="12856" max="12857" width="13.21875" style="42" customWidth="1"/>
    <col min="12858" max="12858" width="10.88671875" style="42" customWidth="1"/>
    <col min="12859" max="12859" width="11.109375" style="42" customWidth="1"/>
    <col min="12860" max="12860" width="15.21875" style="42" customWidth="1"/>
    <col min="12861" max="12861" width="9.6640625" style="42"/>
    <col min="12862" max="12862" width="11" style="42" customWidth="1"/>
    <col min="12863" max="12863" width="10.77734375" style="42" customWidth="1"/>
    <col min="12864" max="12864" width="11.44140625" style="42" customWidth="1"/>
    <col min="12865" max="12865" width="4" style="42" customWidth="1"/>
    <col min="12866" max="13056" width="9.6640625" style="42"/>
    <col min="13057" max="13057" width="6.44140625" style="42" customWidth="1"/>
    <col min="13058" max="13058" width="13.88671875" style="42" customWidth="1"/>
    <col min="13059" max="13059" width="11.88671875" style="42" customWidth="1"/>
    <col min="13060" max="13062" width="9.6640625" style="42"/>
    <col min="13063" max="13063" width="15.44140625" style="42" customWidth="1"/>
    <col min="13064" max="13064" width="16.21875" style="42" customWidth="1"/>
    <col min="13065" max="13076" width="9.6640625" style="42"/>
    <col min="13077" max="13077" width="12" style="42" customWidth="1"/>
    <col min="13078" max="13078" width="12.77734375" style="42" customWidth="1"/>
    <col min="13079" max="13079" width="11.109375" style="42" customWidth="1"/>
    <col min="13080" max="13080" width="12" style="42" customWidth="1"/>
    <col min="13081" max="13081" width="9.6640625" style="42"/>
    <col min="13082" max="13082" width="15.33203125" style="42" customWidth="1"/>
    <col min="13083" max="13083" width="15.21875" style="42" customWidth="1"/>
    <col min="13084" max="13084" width="21.44140625" style="42" customWidth="1"/>
    <col min="13085" max="13100" width="9.6640625" style="42"/>
    <col min="13101" max="13102" width="13.44140625" style="42" customWidth="1"/>
    <col min="13103" max="13103" width="9.6640625" style="42"/>
    <col min="13104" max="13104" width="13.88671875" style="42" customWidth="1"/>
    <col min="13105" max="13105" width="10.6640625" style="42" customWidth="1"/>
    <col min="13106" max="13106" width="17.33203125" style="42" customWidth="1"/>
    <col min="13107" max="13108" width="12.6640625" style="42" customWidth="1"/>
    <col min="13109" max="13109" width="11.21875" style="42" customWidth="1"/>
    <col min="13110" max="13110" width="18.33203125" style="42" customWidth="1"/>
    <col min="13111" max="13111" width="12.88671875" style="42" customWidth="1"/>
    <col min="13112" max="13113" width="13.21875" style="42" customWidth="1"/>
    <col min="13114" max="13114" width="10.88671875" style="42" customWidth="1"/>
    <col min="13115" max="13115" width="11.109375" style="42" customWidth="1"/>
    <col min="13116" max="13116" width="15.21875" style="42" customWidth="1"/>
    <col min="13117" max="13117" width="9.6640625" style="42"/>
    <col min="13118" max="13118" width="11" style="42" customWidth="1"/>
    <col min="13119" max="13119" width="10.77734375" style="42" customWidth="1"/>
    <col min="13120" max="13120" width="11.44140625" style="42" customWidth="1"/>
    <col min="13121" max="13121" width="4" style="42" customWidth="1"/>
    <col min="13122" max="13312" width="9.6640625" style="42"/>
    <col min="13313" max="13313" width="6.44140625" style="42" customWidth="1"/>
    <col min="13314" max="13314" width="13.88671875" style="42" customWidth="1"/>
    <col min="13315" max="13315" width="11.88671875" style="42" customWidth="1"/>
    <col min="13316" max="13318" width="9.6640625" style="42"/>
    <col min="13319" max="13319" width="15.44140625" style="42" customWidth="1"/>
    <col min="13320" max="13320" width="16.21875" style="42" customWidth="1"/>
    <col min="13321" max="13332" width="9.6640625" style="42"/>
    <col min="13333" max="13333" width="12" style="42" customWidth="1"/>
    <col min="13334" max="13334" width="12.77734375" style="42" customWidth="1"/>
    <col min="13335" max="13335" width="11.109375" style="42" customWidth="1"/>
    <col min="13336" max="13336" width="12" style="42" customWidth="1"/>
    <col min="13337" max="13337" width="9.6640625" style="42"/>
    <col min="13338" max="13338" width="15.33203125" style="42" customWidth="1"/>
    <col min="13339" max="13339" width="15.21875" style="42" customWidth="1"/>
    <col min="13340" max="13340" width="21.44140625" style="42" customWidth="1"/>
    <col min="13341" max="13356" width="9.6640625" style="42"/>
    <col min="13357" max="13358" width="13.44140625" style="42" customWidth="1"/>
    <col min="13359" max="13359" width="9.6640625" style="42"/>
    <col min="13360" max="13360" width="13.88671875" style="42" customWidth="1"/>
    <col min="13361" max="13361" width="10.6640625" style="42" customWidth="1"/>
    <col min="13362" max="13362" width="17.33203125" style="42" customWidth="1"/>
    <col min="13363" max="13364" width="12.6640625" style="42" customWidth="1"/>
    <col min="13365" max="13365" width="11.21875" style="42" customWidth="1"/>
    <col min="13366" max="13366" width="18.33203125" style="42" customWidth="1"/>
    <col min="13367" max="13367" width="12.88671875" style="42" customWidth="1"/>
    <col min="13368" max="13369" width="13.21875" style="42" customWidth="1"/>
    <col min="13370" max="13370" width="10.88671875" style="42" customWidth="1"/>
    <col min="13371" max="13371" width="11.109375" style="42" customWidth="1"/>
    <col min="13372" max="13372" width="15.21875" style="42" customWidth="1"/>
    <col min="13373" max="13373" width="9.6640625" style="42"/>
    <col min="13374" max="13374" width="11" style="42" customWidth="1"/>
    <col min="13375" max="13375" width="10.77734375" style="42" customWidth="1"/>
    <col min="13376" max="13376" width="11.44140625" style="42" customWidth="1"/>
    <col min="13377" max="13377" width="4" style="42" customWidth="1"/>
    <col min="13378" max="13568" width="9.6640625" style="42"/>
    <col min="13569" max="13569" width="6.44140625" style="42" customWidth="1"/>
    <col min="13570" max="13570" width="13.88671875" style="42" customWidth="1"/>
    <col min="13571" max="13571" width="11.88671875" style="42" customWidth="1"/>
    <col min="13572" max="13574" width="9.6640625" style="42"/>
    <col min="13575" max="13575" width="15.44140625" style="42" customWidth="1"/>
    <col min="13576" max="13576" width="16.21875" style="42" customWidth="1"/>
    <col min="13577" max="13588" width="9.6640625" style="42"/>
    <col min="13589" max="13589" width="12" style="42" customWidth="1"/>
    <col min="13590" max="13590" width="12.77734375" style="42" customWidth="1"/>
    <col min="13591" max="13591" width="11.109375" style="42" customWidth="1"/>
    <col min="13592" max="13592" width="12" style="42" customWidth="1"/>
    <col min="13593" max="13593" width="9.6640625" style="42"/>
    <col min="13594" max="13594" width="15.33203125" style="42" customWidth="1"/>
    <col min="13595" max="13595" width="15.21875" style="42" customWidth="1"/>
    <col min="13596" max="13596" width="21.44140625" style="42" customWidth="1"/>
    <col min="13597" max="13612" width="9.6640625" style="42"/>
    <col min="13613" max="13614" width="13.44140625" style="42" customWidth="1"/>
    <col min="13615" max="13615" width="9.6640625" style="42"/>
    <col min="13616" max="13616" width="13.88671875" style="42" customWidth="1"/>
    <col min="13617" max="13617" width="10.6640625" style="42" customWidth="1"/>
    <col min="13618" max="13618" width="17.33203125" style="42" customWidth="1"/>
    <col min="13619" max="13620" width="12.6640625" style="42" customWidth="1"/>
    <col min="13621" max="13621" width="11.21875" style="42" customWidth="1"/>
    <col min="13622" max="13622" width="18.33203125" style="42" customWidth="1"/>
    <col min="13623" max="13623" width="12.88671875" style="42" customWidth="1"/>
    <col min="13624" max="13625" width="13.21875" style="42" customWidth="1"/>
    <col min="13626" max="13626" width="10.88671875" style="42" customWidth="1"/>
    <col min="13627" max="13627" width="11.109375" style="42" customWidth="1"/>
    <col min="13628" max="13628" width="15.21875" style="42" customWidth="1"/>
    <col min="13629" max="13629" width="9.6640625" style="42"/>
    <col min="13630" max="13630" width="11" style="42" customWidth="1"/>
    <col min="13631" max="13631" width="10.77734375" style="42" customWidth="1"/>
    <col min="13632" max="13632" width="11.44140625" style="42" customWidth="1"/>
    <col min="13633" max="13633" width="4" style="42" customWidth="1"/>
    <col min="13634" max="13824" width="9.6640625" style="42"/>
    <col min="13825" max="13825" width="6.44140625" style="42" customWidth="1"/>
    <col min="13826" max="13826" width="13.88671875" style="42" customWidth="1"/>
    <col min="13827" max="13827" width="11.88671875" style="42" customWidth="1"/>
    <col min="13828" max="13830" width="9.6640625" style="42"/>
    <col min="13831" max="13831" width="15.44140625" style="42" customWidth="1"/>
    <col min="13832" max="13832" width="16.21875" style="42" customWidth="1"/>
    <col min="13833" max="13844" width="9.6640625" style="42"/>
    <col min="13845" max="13845" width="12" style="42" customWidth="1"/>
    <col min="13846" max="13846" width="12.77734375" style="42" customWidth="1"/>
    <col min="13847" max="13847" width="11.109375" style="42" customWidth="1"/>
    <col min="13848" max="13848" width="12" style="42" customWidth="1"/>
    <col min="13849" max="13849" width="9.6640625" style="42"/>
    <col min="13850" max="13850" width="15.33203125" style="42" customWidth="1"/>
    <col min="13851" max="13851" width="15.21875" style="42" customWidth="1"/>
    <col min="13852" max="13852" width="21.44140625" style="42" customWidth="1"/>
    <col min="13853" max="13868" width="9.6640625" style="42"/>
    <col min="13869" max="13870" width="13.44140625" style="42" customWidth="1"/>
    <col min="13871" max="13871" width="9.6640625" style="42"/>
    <col min="13872" max="13872" width="13.88671875" style="42" customWidth="1"/>
    <col min="13873" max="13873" width="10.6640625" style="42" customWidth="1"/>
    <col min="13874" max="13874" width="17.33203125" style="42" customWidth="1"/>
    <col min="13875" max="13876" width="12.6640625" style="42" customWidth="1"/>
    <col min="13877" max="13877" width="11.21875" style="42" customWidth="1"/>
    <col min="13878" max="13878" width="18.33203125" style="42" customWidth="1"/>
    <col min="13879" max="13879" width="12.88671875" style="42" customWidth="1"/>
    <col min="13880" max="13881" width="13.21875" style="42" customWidth="1"/>
    <col min="13882" max="13882" width="10.88671875" style="42" customWidth="1"/>
    <col min="13883" max="13883" width="11.109375" style="42" customWidth="1"/>
    <col min="13884" max="13884" width="15.21875" style="42" customWidth="1"/>
    <col min="13885" max="13885" width="9.6640625" style="42"/>
    <col min="13886" max="13886" width="11" style="42" customWidth="1"/>
    <col min="13887" max="13887" width="10.77734375" style="42" customWidth="1"/>
    <col min="13888" max="13888" width="11.44140625" style="42" customWidth="1"/>
    <col min="13889" max="13889" width="4" style="42" customWidth="1"/>
    <col min="13890" max="14080" width="9.6640625" style="42"/>
    <col min="14081" max="14081" width="6.44140625" style="42" customWidth="1"/>
    <col min="14082" max="14082" width="13.88671875" style="42" customWidth="1"/>
    <col min="14083" max="14083" width="11.88671875" style="42" customWidth="1"/>
    <col min="14084" max="14086" width="9.6640625" style="42"/>
    <col min="14087" max="14087" width="15.44140625" style="42" customWidth="1"/>
    <col min="14088" max="14088" width="16.21875" style="42" customWidth="1"/>
    <col min="14089" max="14100" width="9.6640625" style="42"/>
    <col min="14101" max="14101" width="12" style="42" customWidth="1"/>
    <col min="14102" max="14102" width="12.77734375" style="42" customWidth="1"/>
    <col min="14103" max="14103" width="11.109375" style="42" customWidth="1"/>
    <col min="14104" max="14104" width="12" style="42" customWidth="1"/>
    <col min="14105" max="14105" width="9.6640625" style="42"/>
    <col min="14106" max="14106" width="15.33203125" style="42" customWidth="1"/>
    <col min="14107" max="14107" width="15.21875" style="42" customWidth="1"/>
    <col min="14108" max="14108" width="21.44140625" style="42" customWidth="1"/>
    <col min="14109" max="14124" width="9.6640625" style="42"/>
    <col min="14125" max="14126" width="13.44140625" style="42" customWidth="1"/>
    <col min="14127" max="14127" width="9.6640625" style="42"/>
    <col min="14128" max="14128" width="13.88671875" style="42" customWidth="1"/>
    <col min="14129" max="14129" width="10.6640625" style="42" customWidth="1"/>
    <col min="14130" max="14130" width="17.33203125" style="42" customWidth="1"/>
    <col min="14131" max="14132" width="12.6640625" style="42" customWidth="1"/>
    <col min="14133" max="14133" width="11.21875" style="42" customWidth="1"/>
    <col min="14134" max="14134" width="18.33203125" style="42" customWidth="1"/>
    <col min="14135" max="14135" width="12.88671875" style="42" customWidth="1"/>
    <col min="14136" max="14137" width="13.21875" style="42" customWidth="1"/>
    <col min="14138" max="14138" width="10.88671875" style="42" customWidth="1"/>
    <col min="14139" max="14139" width="11.109375" style="42" customWidth="1"/>
    <col min="14140" max="14140" width="15.21875" style="42" customWidth="1"/>
    <col min="14141" max="14141" width="9.6640625" style="42"/>
    <col min="14142" max="14142" width="11" style="42" customWidth="1"/>
    <col min="14143" max="14143" width="10.77734375" style="42" customWidth="1"/>
    <col min="14144" max="14144" width="11.44140625" style="42" customWidth="1"/>
    <col min="14145" max="14145" width="4" style="42" customWidth="1"/>
    <col min="14146" max="14336" width="9.6640625" style="42"/>
    <col min="14337" max="14337" width="6.44140625" style="42" customWidth="1"/>
    <col min="14338" max="14338" width="13.88671875" style="42" customWidth="1"/>
    <col min="14339" max="14339" width="11.88671875" style="42" customWidth="1"/>
    <col min="14340" max="14342" width="9.6640625" style="42"/>
    <col min="14343" max="14343" width="15.44140625" style="42" customWidth="1"/>
    <col min="14344" max="14344" width="16.21875" style="42" customWidth="1"/>
    <col min="14345" max="14356" width="9.6640625" style="42"/>
    <col min="14357" max="14357" width="12" style="42" customWidth="1"/>
    <col min="14358" max="14358" width="12.77734375" style="42" customWidth="1"/>
    <col min="14359" max="14359" width="11.109375" style="42" customWidth="1"/>
    <col min="14360" max="14360" width="12" style="42" customWidth="1"/>
    <col min="14361" max="14361" width="9.6640625" style="42"/>
    <col min="14362" max="14362" width="15.33203125" style="42" customWidth="1"/>
    <col min="14363" max="14363" width="15.21875" style="42" customWidth="1"/>
    <col min="14364" max="14364" width="21.44140625" style="42" customWidth="1"/>
    <col min="14365" max="14380" width="9.6640625" style="42"/>
    <col min="14381" max="14382" width="13.44140625" style="42" customWidth="1"/>
    <col min="14383" max="14383" width="9.6640625" style="42"/>
    <col min="14384" max="14384" width="13.88671875" style="42" customWidth="1"/>
    <col min="14385" max="14385" width="10.6640625" style="42" customWidth="1"/>
    <col min="14386" max="14386" width="17.33203125" style="42" customWidth="1"/>
    <col min="14387" max="14388" width="12.6640625" style="42" customWidth="1"/>
    <col min="14389" max="14389" width="11.21875" style="42" customWidth="1"/>
    <col min="14390" max="14390" width="18.33203125" style="42" customWidth="1"/>
    <col min="14391" max="14391" width="12.88671875" style="42" customWidth="1"/>
    <col min="14392" max="14393" width="13.21875" style="42" customWidth="1"/>
    <col min="14394" max="14394" width="10.88671875" style="42" customWidth="1"/>
    <col min="14395" max="14395" width="11.109375" style="42" customWidth="1"/>
    <col min="14396" max="14396" width="15.21875" style="42" customWidth="1"/>
    <col min="14397" max="14397" width="9.6640625" style="42"/>
    <col min="14398" max="14398" width="11" style="42" customWidth="1"/>
    <col min="14399" max="14399" width="10.77734375" style="42" customWidth="1"/>
    <col min="14400" max="14400" width="11.44140625" style="42" customWidth="1"/>
    <col min="14401" max="14401" width="4" style="42" customWidth="1"/>
    <col min="14402" max="14592" width="9.6640625" style="42"/>
    <col min="14593" max="14593" width="6.44140625" style="42" customWidth="1"/>
    <col min="14594" max="14594" width="13.88671875" style="42" customWidth="1"/>
    <col min="14595" max="14595" width="11.88671875" style="42" customWidth="1"/>
    <col min="14596" max="14598" width="9.6640625" style="42"/>
    <col min="14599" max="14599" width="15.44140625" style="42" customWidth="1"/>
    <col min="14600" max="14600" width="16.21875" style="42" customWidth="1"/>
    <col min="14601" max="14612" width="9.6640625" style="42"/>
    <col min="14613" max="14613" width="12" style="42" customWidth="1"/>
    <col min="14614" max="14614" width="12.77734375" style="42" customWidth="1"/>
    <col min="14615" max="14615" width="11.109375" style="42" customWidth="1"/>
    <col min="14616" max="14616" width="12" style="42" customWidth="1"/>
    <col min="14617" max="14617" width="9.6640625" style="42"/>
    <col min="14618" max="14618" width="15.33203125" style="42" customWidth="1"/>
    <col min="14619" max="14619" width="15.21875" style="42" customWidth="1"/>
    <col min="14620" max="14620" width="21.44140625" style="42" customWidth="1"/>
    <col min="14621" max="14636" width="9.6640625" style="42"/>
    <col min="14637" max="14638" width="13.44140625" style="42" customWidth="1"/>
    <col min="14639" max="14639" width="9.6640625" style="42"/>
    <col min="14640" max="14640" width="13.88671875" style="42" customWidth="1"/>
    <col min="14641" max="14641" width="10.6640625" style="42" customWidth="1"/>
    <col min="14642" max="14642" width="17.33203125" style="42" customWidth="1"/>
    <col min="14643" max="14644" width="12.6640625" style="42" customWidth="1"/>
    <col min="14645" max="14645" width="11.21875" style="42" customWidth="1"/>
    <col min="14646" max="14646" width="18.33203125" style="42" customWidth="1"/>
    <col min="14647" max="14647" width="12.88671875" style="42" customWidth="1"/>
    <col min="14648" max="14649" width="13.21875" style="42" customWidth="1"/>
    <col min="14650" max="14650" width="10.88671875" style="42" customWidth="1"/>
    <col min="14651" max="14651" width="11.109375" style="42" customWidth="1"/>
    <col min="14652" max="14652" width="15.21875" style="42" customWidth="1"/>
    <col min="14653" max="14653" width="9.6640625" style="42"/>
    <col min="14654" max="14654" width="11" style="42" customWidth="1"/>
    <col min="14655" max="14655" width="10.77734375" style="42" customWidth="1"/>
    <col min="14656" max="14656" width="11.44140625" style="42" customWidth="1"/>
    <col min="14657" max="14657" width="4" style="42" customWidth="1"/>
    <col min="14658" max="14848" width="9.6640625" style="42"/>
    <col min="14849" max="14849" width="6.44140625" style="42" customWidth="1"/>
    <col min="14850" max="14850" width="13.88671875" style="42" customWidth="1"/>
    <col min="14851" max="14851" width="11.88671875" style="42" customWidth="1"/>
    <col min="14852" max="14854" width="9.6640625" style="42"/>
    <col min="14855" max="14855" width="15.44140625" style="42" customWidth="1"/>
    <col min="14856" max="14856" width="16.21875" style="42" customWidth="1"/>
    <col min="14857" max="14868" width="9.6640625" style="42"/>
    <col min="14869" max="14869" width="12" style="42" customWidth="1"/>
    <col min="14870" max="14870" width="12.77734375" style="42" customWidth="1"/>
    <col min="14871" max="14871" width="11.109375" style="42" customWidth="1"/>
    <col min="14872" max="14872" width="12" style="42" customWidth="1"/>
    <col min="14873" max="14873" width="9.6640625" style="42"/>
    <col min="14874" max="14874" width="15.33203125" style="42" customWidth="1"/>
    <col min="14875" max="14875" width="15.21875" style="42" customWidth="1"/>
    <col min="14876" max="14876" width="21.44140625" style="42" customWidth="1"/>
    <col min="14877" max="14892" width="9.6640625" style="42"/>
    <col min="14893" max="14894" width="13.44140625" style="42" customWidth="1"/>
    <col min="14895" max="14895" width="9.6640625" style="42"/>
    <col min="14896" max="14896" width="13.88671875" style="42" customWidth="1"/>
    <col min="14897" max="14897" width="10.6640625" style="42" customWidth="1"/>
    <col min="14898" max="14898" width="17.33203125" style="42" customWidth="1"/>
    <col min="14899" max="14900" width="12.6640625" style="42" customWidth="1"/>
    <col min="14901" max="14901" width="11.21875" style="42" customWidth="1"/>
    <col min="14902" max="14902" width="18.33203125" style="42" customWidth="1"/>
    <col min="14903" max="14903" width="12.88671875" style="42" customWidth="1"/>
    <col min="14904" max="14905" width="13.21875" style="42" customWidth="1"/>
    <col min="14906" max="14906" width="10.88671875" style="42" customWidth="1"/>
    <col min="14907" max="14907" width="11.109375" style="42" customWidth="1"/>
    <col min="14908" max="14908" width="15.21875" style="42" customWidth="1"/>
    <col min="14909" max="14909" width="9.6640625" style="42"/>
    <col min="14910" max="14910" width="11" style="42" customWidth="1"/>
    <col min="14911" max="14911" width="10.77734375" style="42" customWidth="1"/>
    <col min="14912" max="14912" width="11.44140625" style="42" customWidth="1"/>
    <col min="14913" max="14913" width="4" style="42" customWidth="1"/>
    <col min="14914" max="15104" width="9.6640625" style="42"/>
    <col min="15105" max="15105" width="6.44140625" style="42" customWidth="1"/>
    <col min="15106" max="15106" width="13.88671875" style="42" customWidth="1"/>
    <col min="15107" max="15107" width="11.88671875" style="42" customWidth="1"/>
    <col min="15108" max="15110" width="9.6640625" style="42"/>
    <col min="15111" max="15111" width="15.44140625" style="42" customWidth="1"/>
    <col min="15112" max="15112" width="16.21875" style="42" customWidth="1"/>
    <col min="15113" max="15124" width="9.6640625" style="42"/>
    <col min="15125" max="15125" width="12" style="42" customWidth="1"/>
    <col min="15126" max="15126" width="12.77734375" style="42" customWidth="1"/>
    <col min="15127" max="15127" width="11.109375" style="42" customWidth="1"/>
    <col min="15128" max="15128" width="12" style="42" customWidth="1"/>
    <col min="15129" max="15129" width="9.6640625" style="42"/>
    <col min="15130" max="15130" width="15.33203125" style="42" customWidth="1"/>
    <col min="15131" max="15131" width="15.21875" style="42" customWidth="1"/>
    <col min="15132" max="15132" width="21.44140625" style="42" customWidth="1"/>
    <col min="15133" max="15148" width="9.6640625" style="42"/>
    <col min="15149" max="15150" width="13.44140625" style="42" customWidth="1"/>
    <col min="15151" max="15151" width="9.6640625" style="42"/>
    <col min="15152" max="15152" width="13.88671875" style="42" customWidth="1"/>
    <col min="15153" max="15153" width="10.6640625" style="42" customWidth="1"/>
    <col min="15154" max="15154" width="17.33203125" style="42" customWidth="1"/>
    <col min="15155" max="15156" width="12.6640625" style="42" customWidth="1"/>
    <col min="15157" max="15157" width="11.21875" style="42" customWidth="1"/>
    <col min="15158" max="15158" width="18.33203125" style="42" customWidth="1"/>
    <col min="15159" max="15159" width="12.88671875" style="42" customWidth="1"/>
    <col min="15160" max="15161" width="13.21875" style="42" customWidth="1"/>
    <col min="15162" max="15162" width="10.88671875" style="42" customWidth="1"/>
    <col min="15163" max="15163" width="11.109375" style="42" customWidth="1"/>
    <col min="15164" max="15164" width="15.21875" style="42" customWidth="1"/>
    <col min="15165" max="15165" width="9.6640625" style="42"/>
    <col min="15166" max="15166" width="11" style="42" customWidth="1"/>
    <col min="15167" max="15167" width="10.77734375" style="42" customWidth="1"/>
    <col min="15168" max="15168" width="11.44140625" style="42" customWidth="1"/>
    <col min="15169" max="15169" width="4" style="42" customWidth="1"/>
    <col min="15170" max="15360" width="9.6640625" style="42"/>
    <col min="15361" max="15361" width="6.44140625" style="42" customWidth="1"/>
    <col min="15362" max="15362" width="13.88671875" style="42" customWidth="1"/>
    <col min="15363" max="15363" width="11.88671875" style="42" customWidth="1"/>
    <col min="15364" max="15366" width="9.6640625" style="42"/>
    <col min="15367" max="15367" width="15.44140625" style="42" customWidth="1"/>
    <col min="15368" max="15368" width="16.21875" style="42" customWidth="1"/>
    <col min="15369" max="15380" width="9.6640625" style="42"/>
    <col min="15381" max="15381" width="12" style="42" customWidth="1"/>
    <col min="15382" max="15382" width="12.77734375" style="42" customWidth="1"/>
    <col min="15383" max="15383" width="11.109375" style="42" customWidth="1"/>
    <col min="15384" max="15384" width="12" style="42" customWidth="1"/>
    <col min="15385" max="15385" width="9.6640625" style="42"/>
    <col min="15386" max="15386" width="15.33203125" style="42" customWidth="1"/>
    <col min="15387" max="15387" width="15.21875" style="42" customWidth="1"/>
    <col min="15388" max="15388" width="21.44140625" style="42" customWidth="1"/>
    <col min="15389" max="15404" width="9.6640625" style="42"/>
    <col min="15405" max="15406" width="13.44140625" style="42" customWidth="1"/>
    <col min="15407" max="15407" width="9.6640625" style="42"/>
    <col min="15408" max="15408" width="13.88671875" style="42" customWidth="1"/>
    <col min="15409" max="15409" width="10.6640625" style="42" customWidth="1"/>
    <col min="15410" max="15410" width="17.33203125" style="42" customWidth="1"/>
    <col min="15411" max="15412" width="12.6640625" style="42" customWidth="1"/>
    <col min="15413" max="15413" width="11.21875" style="42" customWidth="1"/>
    <col min="15414" max="15414" width="18.33203125" style="42" customWidth="1"/>
    <col min="15415" max="15415" width="12.88671875" style="42" customWidth="1"/>
    <col min="15416" max="15417" width="13.21875" style="42" customWidth="1"/>
    <col min="15418" max="15418" width="10.88671875" style="42" customWidth="1"/>
    <col min="15419" max="15419" width="11.109375" style="42" customWidth="1"/>
    <col min="15420" max="15420" width="15.21875" style="42" customWidth="1"/>
    <col min="15421" max="15421" width="9.6640625" style="42"/>
    <col min="15422" max="15422" width="11" style="42" customWidth="1"/>
    <col min="15423" max="15423" width="10.77734375" style="42" customWidth="1"/>
    <col min="15424" max="15424" width="11.44140625" style="42" customWidth="1"/>
    <col min="15425" max="15425" width="4" style="42" customWidth="1"/>
    <col min="15426" max="15616" width="9.6640625" style="42"/>
    <col min="15617" max="15617" width="6.44140625" style="42" customWidth="1"/>
    <col min="15618" max="15618" width="13.88671875" style="42" customWidth="1"/>
    <col min="15619" max="15619" width="11.88671875" style="42" customWidth="1"/>
    <col min="15620" max="15622" width="9.6640625" style="42"/>
    <col min="15623" max="15623" width="15.44140625" style="42" customWidth="1"/>
    <col min="15624" max="15624" width="16.21875" style="42" customWidth="1"/>
    <col min="15625" max="15636" width="9.6640625" style="42"/>
    <col min="15637" max="15637" width="12" style="42" customWidth="1"/>
    <col min="15638" max="15638" width="12.77734375" style="42" customWidth="1"/>
    <col min="15639" max="15639" width="11.109375" style="42" customWidth="1"/>
    <col min="15640" max="15640" width="12" style="42" customWidth="1"/>
    <col min="15641" max="15641" width="9.6640625" style="42"/>
    <col min="15642" max="15642" width="15.33203125" style="42" customWidth="1"/>
    <col min="15643" max="15643" width="15.21875" style="42" customWidth="1"/>
    <col min="15644" max="15644" width="21.44140625" style="42" customWidth="1"/>
    <col min="15645" max="15660" width="9.6640625" style="42"/>
    <col min="15661" max="15662" width="13.44140625" style="42" customWidth="1"/>
    <col min="15663" max="15663" width="9.6640625" style="42"/>
    <col min="15664" max="15664" width="13.88671875" style="42" customWidth="1"/>
    <col min="15665" max="15665" width="10.6640625" style="42" customWidth="1"/>
    <col min="15666" max="15666" width="17.33203125" style="42" customWidth="1"/>
    <col min="15667" max="15668" width="12.6640625" style="42" customWidth="1"/>
    <col min="15669" max="15669" width="11.21875" style="42" customWidth="1"/>
    <col min="15670" max="15670" width="18.33203125" style="42" customWidth="1"/>
    <col min="15671" max="15671" width="12.88671875" style="42" customWidth="1"/>
    <col min="15672" max="15673" width="13.21875" style="42" customWidth="1"/>
    <col min="15674" max="15674" width="10.88671875" style="42" customWidth="1"/>
    <col min="15675" max="15675" width="11.109375" style="42" customWidth="1"/>
    <col min="15676" max="15676" width="15.21875" style="42" customWidth="1"/>
    <col min="15677" max="15677" width="9.6640625" style="42"/>
    <col min="15678" max="15678" width="11" style="42" customWidth="1"/>
    <col min="15679" max="15679" width="10.77734375" style="42" customWidth="1"/>
    <col min="15680" max="15680" width="11.44140625" style="42" customWidth="1"/>
    <col min="15681" max="15681" width="4" style="42" customWidth="1"/>
    <col min="15682" max="15872" width="9.6640625" style="42"/>
    <col min="15873" max="15873" width="6.44140625" style="42" customWidth="1"/>
    <col min="15874" max="15874" width="13.88671875" style="42" customWidth="1"/>
    <col min="15875" max="15875" width="11.88671875" style="42" customWidth="1"/>
    <col min="15876" max="15878" width="9.6640625" style="42"/>
    <col min="15879" max="15879" width="15.44140625" style="42" customWidth="1"/>
    <col min="15880" max="15880" width="16.21875" style="42" customWidth="1"/>
    <col min="15881" max="15892" width="9.6640625" style="42"/>
    <col min="15893" max="15893" width="12" style="42" customWidth="1"/>
    <col min="15894" max="15894" width="12.77734375" style="42" customWidth="1"/>
    <col min="15895" max="15895" width="11.109375" style="42" customWidth="1"/>
    <col min="15896" max="15896" width="12" style="42" customWidth="1"/>
    <col min="15897" max="15897" width="9.6640625" style="42"/>
    <col min="15898" max="15898" width="15.33203125" style="42" customWidth="1"/>
    <col min="15899" max="15899" width="15.21875" style="42" customWidth="1"/>
    <col min="15900" max="15900" width="21.44140625" style="42" customWidth="1"/>
    <col min="15901" max="15916" width="9.6640625" style="42"/>
    <col min="15917" max="15918" width="13.44140625" style="42" customWidth="1"/>
    <col min="15919" max="15919" width="9.6640625" style="42"/>
    <col min="15920" max="15920" width="13.88671875" style="42" customWidth="1"/>
    <col min="15921" max="15921" width="10.6640625" style="42" customWidth="1"/>
    <col min="15922" max="15922" width="17.33203125" style="42" customWidth="1"/>
    <col min="15923" max="15924" width="12.6640625" style="42" customWidth="1"/>
    <col min="15925" max="15925" width="11.21875" style="42" customWidth="1"/>
    <col min="15926" max="15926" width="18.33203125" style="42" customWidth="1"/>
    <col min="15927" max="15927" width="12.88671875" style="42" customWidth="1"/>
    <col min="15928" max="15929" width="13.21875" style="42" customWidth="1"/>
    <col min="15930" max="15930" width="10.88671875" style="42" customWidth="1"/>
    <col min="15931" max="15931" width="11.109375" style="42" customWidth="1"/>
    <col min="15932" max="15932" width="15.21875" style="42" customWidth="1"/>
    <col min="15933" max="15933" width="9.6640625" style="42"/>
    <col min="15934" max="15934" width="11" style="42" customWidth="1"/>
    <col min="15935" max="15935" width="10.77734375" style="42" customWidth="1"/>
    <col min="15936" max="15936" width="11.44140625" style="42" customWidth="1"/>
    <col min="15937" max="15937" width="4" style="42" customWidth="1"/>
    <col min="15938" max="16128" width="9.6640625" style="42"/>
    <col min="16129" max="16129" width="6.44140625" style="42" customWidth="1"/>
    <col min="16130" max="16130" width="13.88671875" style="42" customWidth="1"/>
    <col min="16131" max="16131" width="11.88671875" style="42" customWidth="1"/>
    <col min="16132" max="16134" width="9.6640625" style="42"/>
    <col min="16135" max="16135" width="15.44140625" style="42" customWidth="1"/>
    <col min="16136" max="16136" width="16.21875" style="42" customWidth="1"/>
    <col min="16137" max="16148" width="9.6640625" style="42"/>
    <col min="16149" max="16149" width="12" style="42" customWidth="1"/>
    <col min="16150" max="16150" width="12.77734375" style="42" customWidth="1"/>
    <col min="16151" max="16151" width="11.109375" style="42" customWidth="1"/>
    <col min="16152" max="16152" width="12" style="42" customWidth="1"/>
    <col min="16153" max="16153" width="9.6640625" style="42"/>
    <col min="16154" max="16154" width="15.33203125" style="42" customWidth="1"/>
    <col min="16155" max="16155" width="15.21875" style="42" customWidth="1"/>
    <col min="16156" max="16156" width="21.44140625" style="42" customWidth="1"/>
    <col min="16157" max="16172" width="9.6640625" style="42"/>
    <col min="16173" max="16174" width="13.44140625" style="42" customWidth="1"/>
    <col min="16175" max="16175" width="9.6640625" style="42"/>
    <col min="16176" max="16176" width="13.88671875" style="42" customWidth="1"/>
    <col min="16177" max="16177" width="10.6640625" style="42" customWidth="1"/>
    <col min="16178" max="16178" width="17.33203125" style="42" customWidth="1"/>
    <col min="16179" max="16180" width="12.6640625" style="42" customWidth="1"/>
    <col min="16181" max="16181" width="11.21875" style="42" customWidth="1"/>
    <col min="16182" max="16182" width="18.33203125" style="42" customWidth="1"/>
    <col min="16183" max="16183" width="12.88671875" style="42" customWidth="1"/>
    <col min="16184" max="16185" width="13.21875" style="42" customWidth="1"/>
    <col min="16186" max="16186" width="10.88671875" style="42" customWidth="1"/>
    <col min="16187" max="16187" width="11.109375" style="42" customWidth="1"/>
    <col min="16188" max="16188" width="15.21875" style="42" customWidth="1"/>
    <col min="16189" max="16189" width="9.6640625" style="42"/>
    <col min="16190" max="16190" width="11" style="42" customWidth="1"/>
    <col min="16191" max="16191" width="10.77734375" style="42" customWidth="1"/>
    <col min="16192" max="16192" width="11.44140625" style="42" customWidth="1"/>
    <col min="16193" max="16193" width="4" style="42" customWidth="1"/>
    <col min="16194" max="16384" width="9.6640625" style="42"/>
  </cols>
  <sheetData>
    <row r="1" spans="1:77" ht="13.2" x14ac:dyDescent="0.2">
      <c r="A1" s="41" t="s">
        <v>146</v>
      </c>
    </row>
    <row r="2" spans="1:77" x14ac:dyDescent="0.2">
      <c r="C2" s="44" t="s">
        <v>147</v>
      </c>
    </row>
    <row r="3" spans="1:77" s="43" customFormat="1" x14ac:dyDescent="0.2">
      <c r="A3" s="45"/>
      <c r="B3" s="46" t="s">
        <v>148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</row>
    <row r="4" spans="1:77" s="43" customFormat="1" x14ac:dyDescent="0.2">
      <c r="A4" s="45"/>
      <c r="B4" s="49" t="s">
        <v>149</v>
      </c>
      <c r="C4" s="47" t="s">
        <v>21</v>
      </c>
      <c r="D4" s="47" t="s">
        <v>21</v>
      </c>
      <c r="E4" s="47" t="s">
        <v>21</v>
      </c>
      <c r="F4" s="47" t="s">
        <v>21</v>
      </c>
      <c r="G4" s="47" t="s">
        <v>21</v>
      </c>
      <c r="H4" s="47" t="s">
        <v>43</v>
      </c>
      <c r="I4" s="47" t="s">
        <v>21</v>
      </c>
      <c r="J4" s="47" t="s">
        <v>21</v>
      </c>
      <c r="K4" s="47" t="s">
        <v>21</v>
      </c>
      <c r="L4" s="47" t="s">
        <v>21</v>
      </c>
      <c r="M4" s="47" t="s">
        <v>21</v>
      </c>
      <c r="N4" s="47" t="s">
        <v>21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</row>
    <row r="5" spans="1:77" s="43" customFormat="1" x14ac:dyDescent="0.2">
      <c r="A5" s="45"/>
      <c r="B5" s="46" t="s">
        <v>153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</row>
    <row r="6" spans="1:77" s="54" customFormat="1" ht="10.199999999999999" x14ac:dyDescent="0.2">
      <c r="A6" s="50"/>
      <c r="B6" s="46" t="s">
        <v>154</v>
      </c>
      <c r="C6" s="46" t="s">
        <v>7</v>
      </c>
      <c r="D6" s="46" t="s">
        <v>8</v>
      </c>
      <c r="E6" s="46" t="s">
        <v>47</v>
      </c>
      <c r="F6" s="46" t="s">
        <v>48</v>
      </c>
      <c r="G6" s="46" t="s">
        <v>49</v>
      </c>
      <c r="H6" s="46" t="s">
        <v>50</v>
      </c>
      <c r="I6" s="46" t="s">
        <v>51</v>
      </c>
      <c r="J6" s="46" t="s">
        <v>11</v>
      </c>
      <c r="K6" s="46" t="s">
        <v>52</v>
      </c>
      <c r="L6" s="46" t="s">
        <v>38</v>
      </c>
      <c r="M6" s="46" t="s">
        <v>53</v>
      </c>
      <c r="N6" s="46" t="s">
        <v>37</v>
      </c>
      <c r="O6" s="46"/>
      <c r="P6" s="46"/>
      <c r="Q6" s="46"/>
      <c r="R6" s="46"/>
      <c r="S6" s="46"/>
      <c r="T6" s="46"/>
      <c r="U6" s="46"/>
      <c r="V6" s="46"/>
      <c r="W6" s="63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2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</row>
    <row r="7" spans="1:77" x14ac:dyDescent="0.2">
      <c r="A7" s="55" t="s">
        <v>158</v>
      </c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</row>
    <row r="8" spans="1:77" x14ac:dyDescent="0.2">
      <c r="A8" s="58" t="s">
        <v>159</v>
      </c>
      <c r="B8" s="56"/>
      <c r="C8" s="64">
        <v>4.685212298682284E-3</v>
      </c>
      <c r="D8" s="64">
        <v>2.9282576866764276E-3</v>
      </c>
      <c r="E8" s="64">
        <v>7.6866764275256223E-4</v>
      </c>
      <c r="F8" s="64">
        <v>1.7569546120058566E-3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</row>
    <row r="9" spans="1:77" x14ac:dyDescent="0.2">
      <c r="A9" s="58" t="s">
        <v>160</v>
      </c>
      <c r="B9" s="56"/>
      <c r="C9" s="64">
        <v>4.5387994143484623E-3</v>
      </c>
      <c r="D9" s="64">
        <v>2.5622254758418742E-3</v>
      </c>
      <c r="E9" s="64">
        <v>6.9546120058565169E-4</v>
      </c>
      <c r="F9" s="64">
        <v>1.7569546120058566E-3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</row>
    <row r="10" spans="1:77" x14ac:dyDescent="0.2">
      <c r="A10" s="58" t="s">
        <v>161</v>
      </c>
      <c r="B10" s="56"/>
      <c r="C10" s="64">
        <v>4.3787030828806393E-3</v>
      </c>
      <c r="D10" s="64">
        <v>2.4903873783883633E-3</v>
      </c>
      <c r="E10" s="64">
        <v>7.3890614523610787E-4</v>
      </c>
      <c r="F10" s="64">
        <v>1.6420136560802395E-3</v>
      </c>
      <c r="G10" s="64">
        <v>1.2315102420601798E-2</v>
      </c>
      <c r="H10" s="64">
        <v>3.7383177570093455E-2</v>
      </c>
      <c r="I10" s="64">
        <v>3.0103583694804396E-3</v>
      </c>
      <c r="J10" s="64">
        <v>4.652372025560679E-2</v>
      </c>
      <c r="K10" s="64">
        <v>5.4733788536007986E-3</v>
      </c>
      <c r="L10" s="64">
        <v>1.0995052226498074E-3</v>
      </c>
      <c r="M10" s="64">
        <v>6.0207167389608783E-4</v>
      </c>
      <c r="N10" s="64">
        <v>1.4367619490702097E-3</v>
      </c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</row>
    <row r="11" spans="1:77" x14ac:dyDescent="0.2"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45"/>
  <sheetViews>
    <sheetView zoomScale="70" zoomScaleNormal="70" workbookViewId="0">
      <pane xSplit="1" ySplit="3" topLeftCell="N32" activePane="bottomRight" state="frozen"/>
      <selection pane="topRight" activeCell="B1" sqref="B1"/>
      <selection pane="bottomLeft" activeCell="A4" sqref="A4"/>
      <selection pane="bottomRight" activeCell="R62" sqref="R62"/>
    </sheetView>
  </sheetViews>
  <sheetFormatPr defaultRowHeight="14.4" x14ac:dyDescent="0.3"/>
  <cols>
    <col min="1" max="1" width="26.5546875" style="5" customWidth="1"/>
    <col min="2" max="3" width="13.21875" style="21" customWidth="1"/>
    <col min="4" max="6" width="13.21875" customWidth="1"/>
    <col min="7" max="7" width="7.33203125" style="21" customWidth="1"/>
    <col min="8" max="9" width="11.88671875" customWidth="1"/>
    <col min="10" max="10" width="13.44140625" customWidth="1"/>
    <col min="11" max="11" width="10.77734375" customWidth="1"/>
    <col min="12" max="12" width="11.88671875" customWidth="1"/>
    <col min="13" max="13" width="15.109375" customWidth="1"/>
    <col min="14" max="14" width="7.33203125" style="21" customWidth="1"/>
    <col min="15" max="15" width="11.88671875" customWidth="1"/>
    <col min="16" max="16" width="9.88671875" customWidth="1"/>
    <col min="17" max="17" width="13.44140625" customWidth="1"/>
    <col min="18" max="18" width="10.77734375" style="3" customWidth="1"/>
    <col min="19" max="19" width="11" style="3" customWidth="1"/>
    <col min="20" max="20" width="14.5546875" style="3" customWidth="1"/>
    <col min="21" max="21" width="7.77734375" style="21" customWidth="1"/>
    <col min="22" max="24" width="13.21875" style="3" customWidth="1"/>
    <col min="25" max="25" width="7.77734375" style="21" customWidth="1"/>
    <col min="26" max="26" width="13.21875" style="3" customWidth="1"/>
    <col min="27" max="36" width="13.21875" customWidth="1"/>
  </cols>
  <sheetData>
    <row r="2" spans="1:34" s="95" customFormat="1" ht="31.8" customHeight="1" x14ac:dyDescent="0.3">
      <c r="A2" s="94"/>
      <c r="D2" s="106" t="s">
        <v>139</v>
      </c>
      <c r="E2" s="106"/>
      <c r="F2" s="106"/>
      <c r="H2" s="106" t="s">
        <v>98</v>
      </c>
      <c r="I2" s="106"/>
      <c r="J2" s="106"/>
      <c r="K2" s="106" t="s">
        <v>99</v>
      </c>
      <c r="L2" s="106"/>
      <c r="M2" s="106"/>
      <c r="O2" s="106" t="s">
        <v>100</v>
      </c>
      <c r="P2" s="106"/>
      <c r="Q2" s="106"/>
      <c r="R2" s="107" t="s">
        <v>101</v>
      </c>
      <c r="S2" s="107"/>
      <c r="T2" s="107"/>
      <c r="U2" s="96"/>
      <c r="V2" s="107" t="s">
        <v>94</v>
      </c>
      <c r="W2" s="107"/>
      <c r="X2" s="107"/>
      <c r="Y2" s="96"/>
      <c r="Z2" s="106" t="s">
        <v>90</v>
      </c>
      <c r="AA2" s="106"/>
      <c r="AB2" s="106"/>
      <c r="AC2" s="106" t="s">
        <v>55</v>
      </c>
      <c r="AD2" s="106"/>
      <c r="AE2" s="106"/>
      <c r="AF2" s="106" t="s">
        <v>54</v>
      </c>
      <c r="AG2" s="106"/>
      <c r="AH2" s="106"/>
    </row>
    <row r="3" spans="1:34" s="7" customFormat="1" ht="15.6" x14ac:dyDescent="0.3">
      <c r="A3" s="19" t="s">
        <v>0</v>
      </c>
      <c r="B3" s="37" t="s">
        <v>1</v>
      </c>
      <c r="C3" s="37"/>
      <c r="D3" s="8" t="s">
        <v>2</v>
      </c>
      <c r="E3" s="9" t="s">
        <v>12</v>
      </c>
      <c r="F3" s="9" t="s">
        <v>13</v>
      </c>
      <c r="G3" s="37" t="s">
        <v>1</v>
      </c>
      <c r="H3" s="8" t="s">
        <v>2</v>
      </c>
      <c r="I3" s="9" t="s">
        <v>12</v>
      </c>
      <c r="J3" s="9" t="s">
        <v>13</v>
      </c>
      <c r="K3" s="8" t="s">
        <v>2</v>
      </c>
      <c r="L3" s="9" t="s">
        <v>12</v>
      </c>
      <c r="M3" s="9" t="s">
        <v>13</v>
      </c>
      <c r="N3" s="37" t="s">
        <v>1</v>
      </c>
      <c r="O3" s="8" t="s">
        <v>2</v>
      </c>
      <c r="P3" s="9" t="s">
        <v>12</v>
      </c>
      <c r="Q3" s="9" t="s">
        <v>13</v>
      </c>
      <c r="R3" s="82" t="s">
        <v>2</v>
      </c>
      <c r="S3" s="9" t="s">
        <v>12</v>
      </c>
      <c r="T3" s="9" t="s">
        <v>13</v>
      </c>
      <c r="U3" s="37" t="s">
        <v>1</v>
      </c>
      <c r="V3" s="82" t="s">
        <v>2</v>
      </c>
      <c r="W3" s="9" t="s">
        <v>12</v>
      </c>
      <c r="X3" s="9" t="s">
        <v>13</v>
      </c>
      <c r="Y3" s="37" t="s">
        <v>1</v>
      </c>
      <c r="Z3" s="82" t="s">
        <v>2</v>
      </c>
      <c r="AA3" s="9" t="s">
        <v>12</v>
      </c>
      <c r="AB3" s="9" t="s">
        <v>13</v>
      </c>
      <c r="AC3" s="8" t="s">
        <v>2</v>
      </c>
      <c r="AD3" s="9" t="s">
        <v>12</v>
      </c>
      <c r="AE3" s="9" t="s">
        <v>13</v>
      </c>
      <c r="AF3" s="8" t="s">
        <v>2</v>
      </c>
      <c r="AG3" s="9" t="s">
        <v>12</v>
      </c>
      <c r="AH3" s="9" t="s">
        <v>13</v>
      </c>
    </row>
    <row r="4" spans="1:34" s="3" customFormat="1" x14ac:dyDescent="0.3">
      <c r="A4" s="17" t="s">
        <v>56</v>
      </c>
      <c r="B4" s="93" t="s">
        <v>15</v>
      </c>
      <c r="C4" s="17" t="s">
        <v>21</v>
      </c>
      <c r="D4" s="35">
        <f>$D$65*28000</f>
        <v>182000</v>
      </c>
      <c r="E4" s="35">
        <v>840</v>
      </c>
      <c r="F4" s="66">
        <f>E4/D4</f>
        <v>4.6153846153846158E-3</v>
      </c>
      <c r="G4" s="17" t="s">
        <v>102</v>
      </c>
      <c r="H4" s="35">
        <v>1000</v>
      </c>
      <c r="I4" s="35">
        <v>1466</v>
      </c>
      <c r="J4" s="66">
        <f>I4/H4</f>
        <v>1.466</v>
      </c>
      <c r="K4" s="35">
        <v>1200</v>
      </c>
      <c r="L4" s="35">
        <v>1733</v>
      </c>
      <c r="M4" s="66">
        <f>L4/K4</f>
        <v>1.4441666666666666</v>
      </c>
      <c r="N4" s="93" t="s">
        <v>102</v>
      </c>
      <c r="O4" s="35">
        <v>700</v>
      </c>
      <c r="P4" s="35">
        <v>1166</v>
      </c>
      <c r="Q4" s="66">
        <f t="shared" ref="Q4:Q11" si="0">P4/O4</f>
        <v>1.6657142857142857</v>
      </c>
      <c r="R4" s="35">
        <v>751</v>
      </c>
      <c r="S4" s="35">
        <v>841</v>
      </c>
      <c r="T4" s="66">
        <f t="shared" ref="T4:T11" si="1">S4/R4</f>
        <v>1.1198402130492677</v>
      </c>
      <c r="U4" s="17" t="s">
        <v>15</v>
      </c>
      <c r="V4" s="35">
        <v>18200</v>
      </c>
      <c r="W4" s="17">
        <v>250</v>
      </c>
      <c r="X4" s="66">
        <f t="shared" ref="X4:X10" si="2">W4/V4</f>
        <v>1.3736263736263736E-2</v>
      </c>
      <c r="Y4" s="17" t="s">
        <v>15</v>
      </c>
      <c r="Z4" s="17">
        <v>65000</v>
      </c>
      <c r="AA4" s="3">
        <v>1083</v>
      </c>
      <c r="AB4" s="66">
        <f t="shared" ref="AB4:AB11" si="3">AA4/Z4</f>
        <v>1.666153846153846E-2</v>
      </c>
      <c r="AC4" s="11">
        <v>48750</v>
      </c>
      <c r="AD4" s="11">
        <v>800</v>
      </c>
      <c r="AE4" s="66">
        <f t="shared" ref="AE4:AE11" si="4">AD4/AC4</f>
        <v>1.641025641025641E-2</v>
      </c>
      <c r="AF4" s="11">
        <v>42000</v>
      </c>
      <c r="AG4" s="11">
        <v>700</v>
      </c>
      <c r="AH4" s="66">
        <f t="shared" ref="AH4:AH11" si="5">AG4/AF4</f>
        <v>1.6666666666666666E-2</v>
      </c>
    </row>
    <row r="5" spans="1:34" s="3" customFormat="1" x14ac:dyDescent="0.3">
      <c r="A5" s="17" t="s">
        <v>63</v>
      </c>
      <c r="B5" s="93" t="s">
        <v>15</v>
      </c>
      <c r="C5" s="17" t="s">
        <v>21</v>
      </c>
      <c r="D5" s="97" t="s">
        <v>272</v>
      </c>
      <c r="E5" s="35">
        <v>1470</v>
      </c>
      <c r="F5" s="66"/>
      <c r="G5" s="17" t="s">
        <v>102</v>
      </c>
      <c r="H5" s="35">
        <v>200</v>
      </c>
      <c r="I5" s="35">
        <v>600</v>
      </c>
      <c r="J5" s="66">
        <f>I5/H5</f>
        <v>3</v>
      </c>
      <c r="K5" s="35">
        <v>200</v>
      </c>
      <c r="L5" s="35">
        <v>600</v>
      </c>
      <c r="M5" s="66">
        <f>L5/K5</f>
        <v>3</v>
      </c>
      <c r="N5" s="93" t="s">
        <v>102</v>
      </c>
      <c r="O5" s="35">
        <v>400</v>
      </c>
      <c r="P5" s="35">
        <v>800</v>
      </c>
      <c r="Q5" s="66">
        <f t="shared" si="0"/>
        <v>2</v>
      </c>
      <c r="R5" s="35">
        <v>207</v>
      </c>
      <c r="S5" s="35">
        <v>578</v>
      </c>
      <c r="T5" s="66">
        <f t="shared" si="1"/>
        <v>2.7922705314009661</v>
      </c>
      <c r="U5" s="17" t="s">
        <v>15</v>
      </c>
      <c r="V5" s="35">
        <v>6000</v>
      </c>
      <c r="W5" s="35">
        <v>2500</v>
      </c>
      <c r="X5" s="66">
        <f t="shared" si="2"/>
        <v>0.41666666666666669</v>
      </c>
      <c r="Y5" s="17" t="s">
        <v>15</v>
      </c>
      <c r="Z5" s="17">
        <v>43075</v>
      </c>
      <c r="AA5" s="11">
        <v>1794</v>
      </c>
      <c r="AB5" s="66">
        <f t="shared" si="3"/>
        <v>4.1648287869994194E-2</v>
      </c>
      <c r="AC5" s="11">
        <v>33600</v>
      </c>
      <c r="AD5" s="11">
        <v>1400</v>
      </c>
      <c r="AE5" s="66">
        <f t="shared" si="4"/>
        <v>4.1666666666666664E-2</v>
      </c>
      <c r="AF5" s="11">
        <v>21000</v>
      </c>
      <c r="AG5" s="11">
        <v>1050</v>
      </c>
      <c r="AH5" s="66">
        <f t="shared" si="5"/>
        <v>0.05</v>
      </c>
    </row>
    <row r="6" spans="1:34" s="3" customFormat="1" x14ac:dyDescent="0.3">
      <c r="A6" s="17" t="s">
        <v>6</v>
      </c>
      <c r="B6" s="93" t="s">
        <v>15</v>
      </c>
      <c r="C6" s="17" t="s">
        <v>21</v>
      </c>
      <c r="D6" s="35">
        <f>$D$65*4200</f>
        <v>27300</v>
      </c>
      <c r="E6" s="35">
        <v>1260</v>
      </c>
      <c r="F6" s="66">
        <f>E6/D6</f>
        <v>4.6153846153846156E-2</v>
      </c>
      <c r="G6" s="17" t="s">
        <v>102</v>
      </c>
      <c r="H6" s="35"/>
      <c r="I6" s="35"/>
      <c r="J6" s="66"/>
      <c r="K6" s="35">
        <v>500</v>
      </c>
      <c r="L6" s="35">
        <v>266</v>
      </c>
      <c r="M6" s="66">
        <f>L6/K6</f>
        <v>0.53200000000000003</v>
      </c>
      <c r="N6" s="17" t="s">
        <v>15</v>
      </c>
      <c r="O6" s="35">
        <f>$F$93*400</f>
        <v>67200</v>
      </c>
      <c r="P6" s="35">
        <v>2266</v>
      </c>
      <c r="Q6" s="66">
        <f t="shared" si="0"/>
        <v>3.3720238095238095E-2</v>
      </c>
      <c r="R6" s="35">
        <f>$F$93*307</f>
        <v>51576</v>
      </c>
      <c r="S6" s="35">
        <v>1719</v>
      </c>
      <c r="T6" s="66">
        <f t="shared" si="1"/>
        <v>3.3329455560725918E-2</v>
      </c>
      <c r="U6" s="17" t="s">
        <v>15</v>
      </c>
      <c r="V6" s="17">
        <v>14000</v>
      </c>
      <c r="W6" s="35">
        <v>700</v>
      </c>
      <c r="X6" s="66">
        <f t="shared" si="2"/>
        <v>0.05</v>
      </c>
      <c r="Y6" s="17" t="s">
        <v>15</v>
      </c>
      <c r="Z6" s="17">
        <v>23500</v>
      </c>
      <c r="AA6" s="11">
        <v>1175</v>
      </c>
      <c r="AB6" s="66">
        <f t="shared" si="3"/>
        <v>0.05</v>
      </c>
      <c r="AC6" s="11">
        <v>27600</v>
      </c>
      <c r="AD6" s="11">
        <v>1380</v>
      </c>
      <c r="AE6" s="66">
        <f t="shared" si="4"/>
        <v>0.05</v>
      </c>
      <c r="AF6" s="11">
        <v>1400</v>
      </c>
      <c r="AG6" s="11">
        <v>100</v>
      </c>
      <c r="AH6" s="66">
        <f t="shared" si="5"/>
        <v>7.1428571428571425E-2</v>
      </c>
    </row>
    <row r="7" spans="1:34" s="3" customFormat="1" x14ac:dyDescent="0.3">
      <c r="A7" s="17" t="s">
        <v>178</v>
      </c>
      <c r="B7" s="17" t="s">
        <v>102</v>
      </c>
      <c r="C7" s="17" t="s">
        <v>184</v>
      </c>
      <c r="D7" s="35"/>
      <c r="E7" s="35"/>
      <c r="F7" s="66"/>
      <c r="G7" s="17" t="s">
        <v>102</v>
      </c>
      <c r="H7" s="35"/>
      <c r="I7" s="35"/>
      <c r="J7" s="66"/>
      <c r="K7" s="35"/>
      <c r="L7" s="35"/>
      <c r="M7" s="66"/>
      <c r="N7" s="93" t="s">
        <v>102</v>
      </c>
      <c r="O7" s="35">
        <v>20</v>
      </c>
      <c r="P7" s="35">
        <v>60</v>
      </c>
      <c r="Q7" s="66">
        <f t="shared" si="0"/>
        <v>3</v>
      </c>
      <c r="R7" s="35">
        <v>12</v>
      </c>
      <c r="S7" s="35">
        <v>67</v>
      </c>
      <c r="T7" s="66">
        <f t="shared" si="1"/>
        <v>5.583333333333333</v>
      </c>
      <c r="U7" s="17" t="s">
        <v>15</v>
      </c>
      <c r="V7" s="35">
        <v>350</v>
      </c>
      <c r="W7" s="35">
        <v>15</v>
      </c>
      <c r="X7" s="66">
        <f t="shared" si="2"/>
        <v>4.2857142857142858E-2</v>
      </c>
      <c r="Y7" s="17" t="s">
        <v>15</v>
      </c>
      <c r="Z7" s="17">
        <v>1300</v>
      </c>
      <c r="AA7" s="11">
        <v>130</v>
      </c>
      <c r="AB7" s="66">
        <f t="shared" si="3"/>
        <v>0.1</v>
      </c>
      <c r="AC7" s="11">
        <v>3500</v>
      </c>
      <c r="AD7" s="11">
        <v>180</v>
      </c>
      <c r="AE7" s="66">
        <f t="shared" si="4"/>
        <v>5.1428571428571428E-2</v>
      </c>
      <c r="AF7" s="11">
        <v>1050</v>
      </c>
      <c r="AG7" s="11">
        <v>40</v>
      </c>
      <c r="AH7" s="66">
        <f t="shared" si="5"/>
        <v>3.8095238095238099E-2</v>
      </c>
    </row>
    <row r="8" spans="1:34" s="3" customFormat="1" x14ac:dyDescent="0.3">
      <c r="A8" s="34" t="s">
        <v>83</v>
      </c>
      <c r="B8" s="93" t="s">
        <v>15</v>
      </c>
      <c r="C8" s="17" t="s">
        <v>21</v>
      </c>
      <c r="D8" s="35">
        <f>$D$65*9800</f>
        <v>63700</v>
      </c>
      <c r="E8" s="35">
        <v>588</v>
      </c>
      <c r="F8" s="66">
        <f>E8/D8</f>
        <v>9.2307692307692316E-3</v>
      </c>
      <c r="G8" s="17" t="s">
        <v>102</v>
      </c>
      <c r="H8" s="35">
        <v>300</v>
      </c>
      <c r="I8" s="35">
        <v>640</v>
      </c>
      <c r="J8" s="66">
        <f>I8/H8</f>
        <v>2.1333333333333333</v>
      </c>
      <c r="K8" s="35">
        <v>350</v>
      </c>
      <c r="L8" s="35">
        <v>746</v>
      </c>
      <c r="M8" s="66">
        <f>L8/K8</f>
        <v>2.1314285714285712</v>
      </c>
      <c r="N8" s="93" t="s">
        <v>102</v>
      </c>
      <c r="O8" s="35">
        <v>250</v>
      </c>
      <c r="P8" s="35">
        <v>833</v>
      </c>
      <c r="Q8" s="66">
        <f t="shared" si="0"/>
        <v>3.3319999999999999</v>
      </c>
      <c r="R8" s="35">
        <v>332</v>
      </c>
      <c r="S8" s="35">
        <v>743</v>
      </c>
      <c r="T8" s="66">
        <f t="shared" si="1"/>
        <v>2.2379518072289155</v>
      </c>
      <c r="U8" s="17" t="s">
        <v>15</v>
      </c>
      <c r="V8" s="35">
        <v>5333</v>
      </c>
      <c r="W8" s="17">
        <v>200</v>
      </c>
      <c r="X8" s="66">
        <f t="shared" si="2"/>
        <v>3.7502343896493533E-2</v>
      </c>
      <c r="Y8" s="17" t="s">
        <v>15</v>
      </c>
      <c r="Z8" s="17">
        <v>16250</v>
      </c>
      <c r="AA8" s="11">
        <v>609</v>
      </c>
      <c r="AB8" s="66">
        <f t="shared" si="3"/>
        <v>3.7476923076923074E-2</v>
      </c>
      <c r="AC8" s="11">
        <v>12600</v>
      </c>
      <c r="AD8" s="11">
        <v>470</v>
      </c>
      <c r="AE8" s="66">
        <f t="shared" si="4"/>
        <v>3.7301587301587301E-2</v>
      </c>
      <c r="AF8" s="11">
        <v>7000</v>
      </c>
      <c r="AG8" s="11">
        <v>260</v>
      </c>
      <c r="AH8" s="66">
        <f t="shared" si="5"/>
        <v>3.7142857142857144E-2</v>
      </c>
    </row>
    <row r="9" spans="1:34" s="3" customFormat="1" x14ac:dyDescent="0.3">
      <c r="A9" s="17" t="s">
        <v>72</v>
      </c>
      <c r="B9" s="17" t="s">
        <v>102</v>
      </c>
      <c r="C9" s="17" t="s">
        <v>184</v>
      </c>
      <c r="D9" s="35"/>
      <c r="E9" s="35"/>
      <c r="F9" s="66"/>
      <c r="G9" s="17" t="s">
        <v>102</v>
      </c>
      <c r="H9" s="35"/>
      <c r="I9" s="35"/>
      <c r="J9" s="66"/>
      <c r="K9" s="35"/>
      <c r="L9" s="35"/>
      <c r="M9" s="66"/>
      <c r="N9" s="93" t="s">
        <v>102</v>
      </c>
      <c r="O9" s="35">
        <v>150</v>
      </c>
      <c r="P9" s="35">
        <v>2000</v>
      </c>
      <c r="Q9" s="66">
        <f t="shared" si="0"/>
        <v>13.333333333333334</v>
      </c>
      <c r="R9" s="35">
        <v>160</v>
      </c>
      <c r="S9" s="35">
        <v>2016</v>
      </c>
      <c r="T9" s="66">
        <f t="shared" si="1"/>
        <v>12.6</v>
      </c>
      <c r="U9" s="17" t="s">
        <v>15</v>
      </c>
      <c r="V9" s="35">
        <v>8000</v>
      </c>
      <c r="W9" s="35">
        <v>1200</v>
      </c>
      <c r="X9" s="66">
        <f t="shared" si="2"/>
        <v>0.15</v>
      </c>
      <c r="Y9" s="17" t="s">
        <v>15</v>
      </c>
      <c r="Z9" s="17">
        <v>9100</v>
      </c>
      <c r="AA9" s="11">
        <v>1365</v>
      </c>
      <c r="AB9" s="66">
        <f t="shared" si="3"/>
        <v>0.15</v>
      </c>
      <c r="AC9" s="11">
        <v>15600</v>
      </c>
      <c r="AD9" s="11">
        <v>2340</v>
      </c>
      <c r="AE9" s="66">
        <f t="shared" si="4"/>
        <v>0.15</v>
      </c>
      <c r="AF9" s="11">
        <v>2520</v>
      </c>
      <c r="AG9" s="11">
        <v>250</v>
      </c>
      <c r="AH9" s="66">
        <f t="shared" si="5"/>
        <v>9.9206349206349201E-2</v>
      </c>
    </row>
    <row r="10" spans="1:34" s="3" customFormat="1" x14ac:dyDescent="0.3">
      <c r="A10" s="17" t="s">
        <v>73</v>
      </c>
      <c r="B10" s="93" t="s">
        <v>15</v>
      </c>
      <c r="C10" s="17" t="s">
        <v>21</v>
      </c>
      <c r="D10" s="35">
        <f>$D$65*4500</f>
        <v>29250</v>
      </c>
      <c r="E10" s="35">
        <v>2700</v>
      </c>
      <c r="F10" s="66">
        <f>E10/D10</f>
        <v>9.2307692307692313E-2</v>
      </c>
      <c r="G10" s="17" t="s">
        <v>102</v>
      </c>
      <c r="H10" s="35">
        <v>500</v>
      </c>
      <c r="I10" s="35">
        <v>5000</v>
      </c>
      <c r="J10" s="66">
        <f>I10/H10</f>
        <v>10</v>
      </c>
      <c r="K10" s="35">
        <v>700</v>
      </c>
      <c r="L10" s="35">
        <v>7000</v>
      </c>
      <c r="M10" s="66">
        <f>L10/K10</f>
        <v>10</v>
      </c>
      <c r="N10" s="93" t="s">
        <v>102</v>
      </c>
      <c r="O10" s="35">
        <v>50</v>
      </c>
      <c r="P10" s="35">
        <v>1083</v>
      </c>
      <c r="Q10" s="66">
        <f t="shared" si="0"/>
        <v>21.66</v>
      </c>
      <c r="R10" s="35">
        <v>95</v>
      </c>
      <c r="S10" s="35">
        <v>1710</v>
      </c>
      <c r="T10" s="66">
        <f t="shared" si="1"/>
        <v>18</v>
      </c>
      <c r="U10" s="17" t="s">
        <v>15</v>
      </c>
      <c r="V10" s="35">
        <v>1600</v>
      </c>
      <c r="W10" s="35">
        <v>400</v>
      </c>
      <c r="X10" s="66">
        <f t="shared" si="2"/>
        <v>0.25</v>
      </c>
      <c r="Y10" s="17" t="s">
        <v>15</v>
      </c>
      <c r="Z10" s="17">
        <v>4550</v>
      </c>
      <c r="AA10" s="11">
        <v>1365</v>
      </c>
      <c r="AB10" s="66">
        <f t="shared" si="3"/>
        <v>0.3</v>
      </c>
      <c r="AC10" s="11">
        <v>6200</v>
      </c>
      <c r="AD10" s="11">
        <v>1700</v>
      </c>
      <c r="AE10" s="66">
        <f t="shared" si="4"/>
        <v>0.27419354838709675</v>
      </c>
      <c r="AF10" s="11">
        <v>6640</v>
      </c>
      <c r="AG10" s="11">
        <v>2660</v>
      </c>
      <c r="AH10" s="66">
        <f t="shared" si="5"/>
        <v>0.4006024096385542</v>
      </c>
    </row>
    <row r="11" spans="1:34" s="3" customFormat="1" x14ac:dyDescent="0.3">
      <c r="A11" s="17" t="s">
        <v>84</v>
      </c>
      <c r="B11" s="93" t="s">
        <v>15</v>
      </c>
      <c r="C11" s="17" t="s">
        <v>21</v>
      </c>
      <c r="D11" s="35">
        <f>$D$65*2800</f>
        <v>18200</v>
      </c>
      <c r="E11" s="35">
        <v>392</v>
      </c>
      <c r="F11" s="66">
        <f>E11/D11</f>
        <v>2.1538461538461538E-2</v>
      </c>
      <c r="G11" s="17" t="s">
        <v>102</v>
      </c>
      <c r="H11" s="35">
        <v>200</v>
      </c>
      <c r="I11" s="35">
        <v>320</v>
      </c>
      <c r="J11" s="66">
        <f>I11/H11</f>
        <v>1.6</v>
      </c>
      <c r="K11" s="35">
        <v>250</v>
      </c>
      <c r="L11" s="35">
        <v>400</v>
      </c>
      <c r="M11" s="66">
        <f>L11/K11</f>
        <v>1.6</v>
      </c>
      <c r="N11" s="93" t="s">
        <v>102</v>
      </c>
      <c r="O11" s="35">
        <v>300</v>
      </c>
      <c r="P11" s="35">
        <v>900</v>
      </c>
      <c r="Q11" s="66">
        <f t="shared" si="0"/>
        <v>3</v>
      </c>
      <c r="R11" s="35">
        <v>228</v>
      </c>
      <c r="S11" s="35">
        <v>638</v>
      </c>
      <c r="T11" s="66">
        <f t="shared" si="1"/>
        <v>2.7982456140350878</v>
      </c>
      <c r="U11" s="17" t="s">
        <v>15</v>
      </c>
      <c r="V11" s="35"/>
      <c r="W11" s="35"/>
      <c r="X11" s="66"/>
      <c r="Y11" s="17" t="s">
        <v>15</v>
      </c>
      <c r="Z11" s="17">
        <v>5620</v>
      </c>
      <c r="AA11" s="11">
        <v>117</v>
      </c>
      <c r="AB11" s="66">
        <f t="shared" si="3"/>
        <v>2.0818505338078292E-2</v>
      </c>
      <c r="AC11" s="11">
        <v>2800</v>
      </c>
      <c r="AD11" s="11">
        <v>60</v>
      </c>
      <c r="AE11" s="66">
        <f t="shared" si="4"/>
        <v>2.1428571428571429E-2</v>
      </c>
      <c r="AF11" s="11">
        <v>12000</v>
      </c>
      <c r="AG11" s="11">
        <v>400</v>
      </c>
      <c r="AH11" s="66">
        <f t="shared" si="5"/>
        <v>3.3333333333333333E-2</v>
      </c>
    </row>
    <row r="12" spans="1:34" s="3" customFormat="1" x14ac:dyDescent="0.3">
      <c r="A12" s="17" t="s">
        <v>109</v>
      </c>
      <c r="B12" s="93" t="s">
        <v>15</v>
      </c>
      <c r="C12" s="17" t="s">
        <v>21</v>
      </c>
      <c r="D12" s="35">
        <f>$D$65*1400</f>
        <v>9100</v>
      </c>
      <c r="E12" s="35">
        <v>420</v>
      </c>
      <c r="F12" s="66">
        <f>E12/D12</f>
        <v>4.6153846153846156E-2</v>
      </c>
      <c r="G12" s="17" t="s">
        <v>102</v>
      </c>
      <c r="H12" s="35">
        <v>50</v>
      </c>
      <c r="I12" s="35">
        <v>76</v>
      </c>
      <c r="J12" s="66">
        <f>I12/H12</f>
        <v>1.52</v>
      </c>
      <c r="K12" s="35">
        <v>10</v>
      </c>
      <c r="L12" s="35">
        <v>40</v>
      </c>
      <c r="M12" s="66">
        <f>L12/K12</f>
        <v>4</v>
      </c>
      <c r="N12" s="93" t="s">
        <v>102</v>
      </c>
      <c r="O12" s="35"/>
      <c r="P12" s="35"/>
      <c r="Q12" s="66"/>
      <c r="R12" s="35"/>
      <c r="S12" s="35"/>
      <c r="T12" s="66"/>
      <c r="U12" s="17"/>
      <c r="V12" s="17"/>
      <c r="W12" s="35"/>
      <c r="X12" s="66"/>
      <c r="Y12" s="17"/>
      <c r="Z12" s="17"/>
      <c r="AA12" s="11"/>
      <c r="AB12" s="66"/>
      <c r="AC12" s="11"/>
      <c r="AD12" s="11"/>
      <c r="AE12" s="66"/>
      <c r="AF12" s="11"/>
      <c r="AG12" s="11"/>
      <c r="AH12" s="66"/>
    </row>
    <row r="13" spans="1:34" s="3" customFormat="1" x14ac:dyDescent="0.3">
      <c r="A13" s="17" t="s">
        <v>62</v>
      </c>
      <c r="B13" s="93" t="s">
        <v>15</v>
      </c>
      <c r="C13" s="17" t="s">
        <v>21</v>
      </c>
      <c r="D13" s="35">
        <f>$D$65*8750</f>
        <v>56875</v>
      </c>
      <c r="E13" s="35">
        <v>872</v>
      </c>
      <c r="F13" s="66">
        <f>E13/D13</f>
        <v>1.5331868131868131E-2</v>
      </c>
      <c r="G13" s="17" t="s">
        <v>102</v>
      </c>
      <c r="H13" s="35">
        <v>600</v>
      </c>
      <c r="I13" s="35">
        <v>2800</v>
      </c>
      <c r="J13" s="66">
        <f>I13/H13</f>
        <v>4.666666666666667</v>
      </c>
      <c r="K13" s="35">
        <v>500</v>
      </c>
      <c r="L13" s="35">
        <v>2500</v>
      </c>
      <c r="M13" s="66">
        <f>L13/K13</f>
        <v>5</v>
      </c>
      <c r="N13" s="93" t="s">
        <v>102</v>
      </c>
      <c r="O13" s="35">
        <v>800</v>
      </c>
      <c r="P13" s="35">
        <v>3413</v>
      </c>
      <c r="Q13" s="66">
        <f>P13/O13</f>
        <v>4.2662500000000003</v>
      </c>
      <c r="R13" s="35">
        <v>564</v>
      </c>
      <c r="S13" s="35">
        <v>1692</v>
      </c>
      <c r="T13" s="66">
        <f t="shared" ref="T13:T28" si="6">S13/R13</f>
        <v>3</v>
      </c>
      <c r="U13" s="17" t="s">
        <v>15</v>
      </c>
      <c r="V13" s="35">
        <v>85715</v>
      </c>
      <c r="W13" s="35">
        <v>2500</v>
      </c>
      <c r="X13" s="66">
        <f>W13/V13</f>
        <v>2.9166423613136556E-2</v>
      </c>
      <c r="Y13" s="17" t="s">
        <v>15</v>
      </c>
      <c r="Z13" s="17">
        <v>23075</v>
      </c>
      <c r="AA13" s="11">
        <v>769</v>
      </c>
      <c r="AB13" s="66">
        <f>AA13/Z13</f>
        <v>3.3326110509209098E-2</v>
      </c>
      <c r="AC13" s="11">
        <v>25200</v>
      </c>
      <c r="AD13" s="11">
        <v>950</v>
      </c>
      <c r="AE13" s="66">
        <f>AD13/AC13</f>
        <v>3.7698412698412696E-2</v>
      </c>
      <c r="AF13" s="11">
        <v>3600</v>
      </c>
      <c r="AG13" s="11">
        <v>170</v>
      </c>
      <c r="AH13" s="66">
        <f>AG13/AF13</f>
        <v>4.7222222222222221E-2</v>
      </c>
    </row>
    <row r="14" spans="1:34" s="3" customFormat="1" x14ac:dyDescent="0.3">
      <c r="A14" s="17" t="s">
        <v>78</v>
      </c>
      <c r="B14" s="17" t="s">
        <v>102</v>
      </c>
      <c r="C14" s="17" t="s">
        <v>184</v>
      </c>
      <c r="D14" s="35"/>
      <c r="E14" s="35"/>
      <c r="F14" s="66"/>
      <c r="G14" s="17" t="s">
        <v>102</v>
      </c>
      <c r="H14" s="35"/>
      <c r="I14" s="35"/>
      <c r="J14" s="66"/>
      <c r="K14" s="35"/>
      <c r="L14" s="35"/>
      <c r="M14" s="66"/>
      <c r="N14" s="93" t="s">
        <v>102</v>
      </c>
      <c r="O14" s="35"/>
      <c r="P14" s="35"/>
      <c r="Q14" s="66"/>
      <c r="R14" s="35">
        <v>70</v>
      </c>
      <c r="S14" s="35">
        <v>156</v>
      </c>
      <c r="T14" s="66">
        <f t="shared" si="6"/>
        <v>2.2285714285714286</v>
      </c>
      <c r="U14" s="17" t="s">
        <v>15</v>
      </c>
      <c r="V14" s="35"/>
      <c r="W14" s="2"/>
      <c r="X14" s="66"/>
      <c r="Y14" s="17" t="s">
        <v>15</v>
      </c>
      <c r="Z14" s="17">
        <v>1575</v>
      </c>
      <c r="AA14" s="11">
        <v>59</v>
      </c>
      <c r="AB14" s="66">
        <f>AA14/Z14</f>
        <v>3.7460317460317458E-2</v>
      </c>
      <c r="AC14" s="11">
        <v>4200</v>
      </c>
      <c r="AD14" s="11">
        <v>160</v>
      </c>
      <c r="AE14" s="66">
        <f>AD14/AC14</f>
        <v>3.8095238095238099E-2</v>
      </c>
      <c r="AF14" s="11"/>
      <c r="AG14" s="11"/>
      <c r="AH14" s="66"/>
    </row>
    <row r="15" spans="1:34" s="3" customFormat="1" x14ac:dyDescent="0.3">
      <c r="A15" s="17" t="s">
        <v>68</v>
      </c>
      <c r="B15" s="17" t="s">
        <v>102</v>
      </c>
      <c r="C15" s="17" t="s">
        <v>184</v>
      </c>
      <c r="D15" s="35"/>
      <c r="E15" s="35"/>
      <c r="F15" s="66"/>
      <c r="G15" s="17" t="s">
        <v>102</v>
      </c>
      <c r="H15" s="35">
        <v>100</v>
      </c>
      <c r="I15" s="35">
        <v>106</v>
      </c>
      <c r="J15" s="66">
        <f>I15/H15</f>
        <v>1.06</v>
      </c>
      <c r="K15" s="35">
        <v>100</v>
      </c>
      <c r="L15" s="35">
        <v>106</v>
      </c>
      <c r="M15" s="66">
        <f>L15/K15</f>
        <v>1.06</v>
      </c>
      <c r="N15" s="93" t="s">
        <v>102</v>
      </c>
      <c r="O15" s="35">
        <v>100</v>
      </c>
      <c r="P15" s="35">
        <v>93</v>
      </c>
      <c r="Q15" s="66">
        <f>P15/O15</f>
        <v>0.93</v>
      </c>
      <c r="R15" s="35">
        <v>145</v>
      </c>
      <c r="S15" s="35">
        <v>162</v>
      </c>
      <c r="T15" s="66">
        <f t="shared" si="6"/>
        <v>1.1172413793103448</v>
      </c>
      <c r="U15" s="17" t="s">
        <v>15</v>
      </c>
      <c r="V15" s="35">
        <v>91000</v>
      </c>
      <c r="W15" s="35">
        <v>1137</v>
      </c>
      <c r="X15" s="66">
        <f>W15/V15</f>
        <v>1.2494505494505495E-2</v>
      </c>
      <c r="Y15" s="17" t="s">
        <v>15</v>
      </c>
      <c r="Z15" s="17">
        <v>65000</v>
      </c>
      <c r="AA15" s="11">
        <v>1083</v>
      </c>
      <c r="AB15" s="66">
        <f>AA15/Z15</f>
        <v>1.666153846153846E-2</v>
      </c>
      <c r="AC15" s="11">
        <v>30000</v>
      </c>
      <c r="AD15" s="11">
        <v>500</v>
      </c>
      <c r="AE15" s="66">
        <f>AD15/AC15</f>
        <v>1.6666666666666666E-2</v>
      </c>
      <c r="AF15" s="11">
        <v>4000</v>
      </c>
      <c r="AG15" s="11">
        <v>80</v>
      </c>
      <c r="AH15" s="66">
        <f>AG15/AF15</f>
        <v>0.02</v>
      </c>
    </row>
    <row r="16" spans="1:34" s="3" customFormat="1" x14ac:dyDescent="0.3">
      <c r="A16" s="17" t="s">
        <v>113</v>
      </c>
      <c r="B16" s="93" t="s">
        <v>15</v>
      </c>
      <c r="C16" s="17" t="s">
        <v>21</v>
      </c>
      <c r="D16" s="35">
        <v>6250</v>
      </c>
      <c r="E16" s="35">
        <v>377</v>
      </c>
      <c r="F16" s="66">
        <f>E16/D16</f>
        <v>6.0319999999999999E-2</v>
      </c>
      <c r="G16" s="17" t="s">
        <v>114</v>
      </c>
      <c r="H16" s="35">
        <v>500</v>
      </c>
      <c r="I16" s="35">
        <v>866</v>
      </c>
      <c r="J16" s="66">
        <f>I16/H16</f>
        <v>1.732</v>
      </c>
      <c r="K16" s="35">
        <v>400</v>
      </c>
      <c r="L16" s="35">
        <v>1333</v>
      </c>
      <c r="M16" s="66">
        <f>L16/K16</f>
        <v>3.3325</v>
      </c>
      <c r="N16" s="17" t="s">
        <v>114</v>
      </c>
      <c r="O16" s="35">
        <v>450</v>
      </c>
      <c r="P16" s="35">
        <v>706</v>
      </c>
      <c r="Q16" s="66">
        <f>P16/O16</f>
        <v>1.568888888888889</v>
      </c>
      <c r="R16" s="35">
        <v>321</v>
      </c>
      <c r="S16" s="35">
        <v>556</v>
      </c>
      <c r="T16" s="66">
        <f t="shared" si="6"/>
        <v>1.7320872274143302</v>
      </c>
      <c r="U16" s="17"/>
      <c r="V16" s="35"/>
      <c r="W16" s="35"/>
      <c r="X16" s="66"/>
      <c r="Y16" s="17"/>
      <c r="Z16" s="17"/>
      <c r="AA16" s="11"/>
      <c r="AB16" s="66"/>
      <c r="AC16" s="11"/>
      <c r="AD16" s="11"/>
      <c r="AE16" s="66"/>
      <c r="AF16" s="11"/>
      <c r="AG16" s="11"/>
      <c r="AH16" s="66"/>
    </row>
    <row r="17" spans="1:34" s="3" customFormat="1" ht="15" customHeight="1" x14ac:dyDescent="0.3">
      <c r="A17" s="17" t="s">
        <v>71</v>
      </c>
      <c r="B17" s="17" t="s">
        <v>102</v>
      </c>
      <c r="C17" s="17" t="s">
        <v>184</v>
      </c>
      <c r="D17" s="35"/>
      <c r="E17" s="35"/>
      <c r="F17" s="66"/>
      <c r="G17" s="17" t="s">
        <v>102</v>
      </c>
      <c r="H17" s="35"/>
      <c r="I17" s="35"/>
      <c r="J17" s="66"/>
      <c r="K17" s="35"/>
      <c r="L17" s="35"/>
      <c r="M17" s="66"/>
      <c r="N17" s="93" t="s">
        <v>102</v>
      </c>
      <c r="O17" s="35">
        <v>80</v>
      </c>
      <c r="P17" s="35">
        <v>853</v>
      </c>
      <c r="Q17" s="66">
        <f>P17/O17</f>
        <v>10.6625</v>
      </c>
      <c r="R17" s="35">
        <v>105</v>
      </c>
      <c r="S17" s="35">
        <v>882</v>
      </c>
      <c r="T17" s="66">
        <f t="shared" si="6"/>
        <v>8.4</v>
      </c>
      <c r="U17" s="17" t="s">
        <v>15</v>
      </c>
      <c r="W17" s="35"/>
      <c r="X17" s="66"/>
      <c r="Y17" s="17" t="s">
        <v>15</v>
      </c>
      <c r="Z17" s="17"/>
      <c r="AA17" s="11"/>
      <c r="AB17" s="66"/>
      <c r="AC17" s="11"/>
      <c r="AD17" s="11"/>
      <c r="AE17" s="66"/>
      <c r="AF17" s="11">
        <v>3500</v>
      </c>
      <c r="AG17" s="11">
        <v>520</v>
      </c>
      <c r="AH17" s="66">
        <f>AG17/AF17</f>
        <v>0.14857142857142858</v>
      </c>
    </row>
    <row r="18" spans="1:34" s="3" customFormat="1" x14ac:dyDescent="0.3">
      <c r="A18" s="17" t="s">
        <v>103</v>
      </c>
      <c r="B18" s="17" t="s">
        <v>102</v>
      </c>
      <c r="C18" s="17" t="s">
        <v>261</v>
      </c>
      <c r="D18" s="35"/>
      <c r="E18" s="35"/>
      <c r="F18" s="66"/>
      <c r="G18" s="17" t="s">
        <v>102</v>
      </c>
      <c r="H18" s="35">
        <v>10</v>
      </c>
      <c r="I18" s="35">
        <v>100</v>
      </c>
      <c r="J18" s="66">
        <f>I18/H18</f>
        <v>10</v>
      </c>
      <c r="K18" s="35">
        <v>10</v>
      </c>
      <c r="L18" s="35">
        <v>100</v>
      </c>
      <c r="M18" s="66">
        <f>L18/K18</f>
        <v>10</v>
      </c>
      <c r="N18" s="17" t="s">
        <v>102</v>
      </c>
      <c r="O18" s="35">
        <v>10</v>
      </c>
      <c r="P18" s="35">
        <v>150</v>
      </c>
      <c r="Q18" s="66">
        <f>P18/O18</f>
        <v>15</v>
      </c>
      <c r="R18" s="35">
        <v>22</v>
      </c>
      <c r="S18" s="35">
        <v>215</v>
      </c>
      <c r="T18" s="66">
        <f t="shared" si="6"/>
        <v>9.7727272727272734</v>
      </c>
      <c r="U18" s="17"/>
      <c r="V18" s="35"/>
      <c r="W18" s="35"/>
      <c r="X18" s="66"/>
      <c r="Y18" s="17"/>
      <c r="Z18" s="17"/>
      <c r="AA18" s="11"/>
      <c r="AB18" s="66"/>
      <c r="AC18" s="11"/>
      <c r="AD18" s="11"/>
      <c r="AE18" s="66"/>
      <c r="AF18" s="11"/>
      <c r="AG18" s="11"/>
      <c r="AH18" s="66"/>
    </row>
    <row r="19" spans="1:34" s="3" customFormat="1" ht="15" customHeight="1" x14ac:dyDescent="0.3">
      <c r="A19" s="17" t="s">
        <v>104</v>
      </c>
      <c r="B19" s="17" t="s">
        <v>102</v>
      </c>
      <c r="C19" s="17" t="s">
        <v>261</v>
      </c>
      <c r="D19" s="35"/>
      <c r="E19" s="35"/>
      <c r="F19" s="66"/>
      <c r="G19" s="17" t="s">
        <v>102</v>
      </c>
      <c r="H19" s="35">
        <v>500</v>
      </c>
      <c r="I19" s="35">
        <v>700</v>
      </c>
      <c r="J19" s="66">
        <f>I19/H19</f>
        <v>1.4</v>
      </c>
      <c r="K19" s="35">
        <v>600</v>
      </c>
      <c r="L19" s="35">
        <v>840</v>
      </c>
      <c r="M19" s="66">
        <f>L19/K19</f>
        <v>1.4</v>
      </c>
      <c r="N19" s="17" t="s">
        <v>102</v>
      </c>
      <c r="O19" s="35"/>
      <c r="P19" s="35"/>
      <c r="Q19" s="66"/>
      <c r="R19" s="35">
        <v>432</v>
      </c>
      <c r="S19" s="35">
        <v>725</v>
      </c>
      <c r="T19" s="66">
        <f t="shared" si="6"/>
        <v>1.6782407407407407</v>
      </c>
      <c r="U19" s="17"/>
      <c r="V19" s="35"/>
      <c r="W19" s="35"/>
      <c r="X19" s="66"/>
      <c r="Y19" s="17"/>
      <c r="Z19" s="17"/>
      <c r="AA19" s="11"/>
      <c r="AB19" s="66"/>
      <c r="AC19" s="11"/>
      <c r="AD19" s="11"/>
      <c r="AE19" s="66"/>
      <c r="AF19" s="11"/>
      <c r="AG19" s="11"/>
      <c r="AH19" s="66"/>
    </row>
    <row r="20" spans="1:34" s="3" customFormat="1" ht="15" customHeight="1" x14ac:dyDescent="0.3">
      <c r="A20" s="17" t="s">
        <v>16</v>
      </c>
      <c r="B20" s="17" t="s">
        <v>64</v>
      </c>
      <c r="C20" s="17" t="s">
        <v>262</v>
      </c>
      <c r="D20" s="35">
        <v>300</v>
      </c>
      <c r="E20" s="35">
        <v>750</v>
      </c>
      <c r="F20" s="66">
        <f>E20/D20</f>
        <v>2.5</v>
      </c>
      <c r="G20" s="17" t="s">
        <v>64</v>
      </c>
      <c r="H20" s="35">
        <v>1000</v>
      </c>
      <c r="I20" s="35">
        <v>2000</v>
      </c>
      <c r="J20" s="66">
        <f>I20/H20</f>
        <v>2</v>
      </c>
      <c r="K20" s="35">
        <v>1200</v>
      </c>
      <c r="L20" s="35">
        <v>2040</v>
      </c>
      <c r="M20" s="66">
        <f>L20/K20</f>
        <v>1.7</v>
      </c>
      <c r="N20" s="17" t="s">
        <v>64</v>
      </c>
      <c r="O20" s="35">
        <v>1500</v>
      </c>
      <c r="P20" s="35">
        <v>3500</v>
      </c>
      <c r="Q20" s="66">
        <f t="shared" ref="Q20:Q27" si="7">P20/O20</f>
        <v>2.3333333333333335</v>
      </c>
      <c r="R20" s="35">
        <v>1800</v>
      </c>
      <c r="S20" s="35">
        <v>4320</v>
      </c>
      <c r="T20" s="66">
        <f t="shared" si="6"/>
        <v>2.4</v>
      </c>
      <c r="U20" s="17" t="s">
        <v>64</v>
      </c>
      <c r="V20" s="35">
        <v>300</v>
      </c>
      <c r="W20" s="35">
        <v>120</v>
      </c>
      <c r="X20" s="66">
        <f>W20/V20</f>
        <v>0.4</v>
      </c>
      <c r="Y20" s="17" t="s">
        <v>64</v>
      </c>
      <c r="Z20" s="17">
        <v>1800</v>
      </c>
      <c r="AA20" s="11">
        <v>4680</v>
      </c>
      <c r="AB20" s="66">
        <f>AA20/Z20</f>
        <v>2.6</v>
      </c>
      <c r="AC20" s="11">
        <v>2500</v>
      </c>
      <c r="AD20" s="11">
        <v>6500</v>
      </c>
      <c r="AE20" s="66">
        <f>AD20/AC20</f>
        <v>2.6</v>
      </c>
      <c r="AF20" s="11">
        <v>1500</v>
      </c>
      <c r="AG20" s="11">
        <v>4350</v>
      </c>
      <c r="AH20" s="66">
        <f>AG20/AF20</f>
        <v>2.9</v>
      </c>
    </row>
    <row r="21" spans="1:34" s="3" customFormat="1" ht="15" customHeight="1" x14ac:dyDescent="0.3">
      <c r="A21" s="17" t="s">
        <v>105</v>
      </c>
      <c r="B21" s="17" t="s">
        <v>106</v>
      </c>
      <c r="C21" s="17" t="s">
        <v>263</v>
      </c>
      <c r="D21" s="35"/>
      <c r="E21" s="35"/>
      <c r="F21" s="66"/>
      <c r="G21" s="17" t="s">
        <v>106</v>
      </c>
      <c r="H21" s="35">
        <v>10</v>
      </c>
      <c r="I21" s="35">
        <v>50</v>
      </c>
      <c r="J21" s="66">
        <f>I21/H21</f>
        <v>5</v>
      </c>
      <c r="K21" s="35">
        <v>10</v>
      </c>
      <c r="L21" s="35">
        <v>50</v>
      </c>
      <c r="M21" s="66">
        <f>L21/K21</f>
        <v>5</v>
      </c>
      <c r="N21" s="17" t="s">
        <v>106</v>
      </c>
      <c r="O21" s="35">
        <v>15</v>
      </c>
      <c r="P21" s="35">
        <v>16</v>
      </c>
      <c r="Q21" s="66">
        <f t="shared" si="7"/>
        <v>1.0666666666666667</v>
      </c>
      <c r="R21" s="35">
        <v>12</v>
      </c>
      <c r="S21" s="35">
        <v>36</v>
      </c>
      <c r="T21" s="66">
        <f t="shared" si="6"/>
        <v>3</v>
      </c>
      <c r="U21" s="17"/>
      <c r="V21" s="35"/>
      <c r="W21" s="35"/>
      <c r="X21" s="66"/>
      <c r="Y21" s="17"/>
      <c r="Z21" s="17"/>
      <c r="AA21" s="11"/>
      <c r="AB21" s="66"/>
      <c r="AC21" s="11"/>
      <c r="AD21" s="11"/>
      <c r="AE21" s="66"/>
      <c r="AF21" s="11"/>
      <c r="AG21" s="11"/>
      <c r="AH21" s="66"/>
    </row>
    <row r="22" spans="1:34" s="3" customFormat="1" ht="15" customHeight="1" x14ac:dyDescent="0.3">
      <c r="A22" s="17" t="s">
        <v>107</v>
      </c>
      <c r="B22" s="17" t="s">
        <v>108</v>
      </c>
      <c r="C22" s="17" t="s">
        <v>264</v>
      </c>
      <c r="D22" s="35"/>
      <c r="E22" s="35">
        <v>306</v>
      </c>
      <c r="F22" s="66"/>
      <c r="G22" s="17" t="s">
        <v>108</v>
      </c>
      <c r="H22" s="35"/>
      <c r="I22" s="35"/>
      <c r="J22" s="66"/>
      <c r="K22" s="35"/>
      <c r="L22" s="35"/>
      <c r="M22" s="66"/>
      <c r="N22" s="17" t="s">
        <v>108</v>
      </c>
      <c r="O22" s="35">
        <v>20</v>
      </c>
      <c r="P22" s="35">
        <v>250</v>
      </c>
      <c r="Q22" s="66">
        <f t="shared" si="7"/>
        <v>12.5</v>
      </c>
      <c r="R22" s="35">
        <v>16</v>
      </c>
      <c r="S22" s="35">
        <v>256</v>
      </c>
      <c r="T22" s="66">
        <f t="shared" si="6"/>
        <v>16</v>
      </c>
      <c r="U22" s="17"/>
      <c r="V22" s="35"/>
      <c r="W22" s="35"/>
      <c r="X22" s="66"/>
      <c r="Y22" s="17"/>
      <c r="Z22" s="17"/>
      <c r="AA22" s="11"/>
      <c r="AB22" s="66"/>
      <c r="AC22" s="11"/>
      <c r="AD22" s="11"/>
      <c r="AE22" s="66"/>
      <c r="AF22" s="11"/>
      <c r="AG22" s="11"/>
      <c r="AH22" s="66"/>
    </row>
    <row r="23" spans="1:34" s="3" customFormat="1" ht="15" customHeight="1" x14ac:dyDescent="0.3">
      <c r="A23" s="17" t="s">
        <v>111</v>
      </c>
      <c r="B23" s="17" t="s">
        <v>102</v>
      </c>
      <c r="C23" s="17" t="s">
        <v>261</v>
      </c>
      <c r="D23" s="35"/>
      <c r="E23" s="35"/>
      <c r="F23" s="66"/>
      <c r="G23" s="17" t="s">
        <v>102</v>
      </c>
      <c r="H23" s="35"/>
      <c r="I23" s="35"/>
      <c r="J23" s="66"/>
      <c r="K23" s="35"/>
      <c r="L23" s="35"/>
      <c r="M23" s="66"/>
      <c r="N23" s="17" t="s">
        <v>102</v>
      </c>
      <c r="O23" s="35">
        <v>10</v>
      </c>
      <c r="P23" s="35">
        <v>53</v>
      </c>
      <c r="Q23" s="66">
        <f t="shared" si="7"/>
        <v>5.3</v>
      </c>
      <c r="R23" s="35">
        <v>12</v>
      </c>
      <c r="S23" s="35">
        <v>57</v>
      </c>
      <c r="T23" s="66">
        <f t="shared" si="6"/>
        <v>4.75</v>
      </c>
      <c r="U23" s="17"/>
      <c r="V23" s="35"/>
      <c r="W23" s="35"/>
      <c r="X23" s="66"/>
      <c r="Y23" s="17"/>
      <c r="Z23" s="17"/>
      <c r="AA23" s="11"/>
      <c r="AB23" s="66"/>
      <c r="AC23" s="11"/>
      <c r="AD23" s="11"/>
      <c r="AE23" s="66"/>
      <c r="AF23" s="11"/>
      <c r="AG23" s="11"/>
      <c r="AH23" s="66"/>
    </row>
    <row r="24" spans="1:34" s="3" customFormat="1" ht="15" customHeight="1" x14ac:dyDescent="0.3">
      <c r="A24" s="17" t="s">
        <v>271</v>
      </c>
      <c r="B24" s="17" t="s">
        <v>270</v>
      </c>
      <c r="C24" s="17" t="s">
        <v>269</v>
      </c>
      <c r="D24" s="35">
        <f>$D$65*2500/D69</f>
        <v>145.08928571428572</v>
      </c>
      <c r="E24" s="35">
        <v>1300</v>
      </c>
      <c r="F24" s="66">
        <f>E24/D24</f>
        <v>8.9599999999999991</v>
      </c>
      <c r="G24" s="17" t="s">
        <v>270</v>
      </c>
      <c r="H24" s="35">
        <f>2500*D109</f>
        <v>2210</v>
      </c>
      <c r="I24" s="35">
        <v>10833</v>
      </c>
      <c r="J24" s="66">
        <f>I24/H24</f>
        <v>4.9018099547511316</v>
      </c>
      <c r="K24" s="35">
        <f>D109*3000</f>
        <v>2652</v>
      </c>
      <c r="L24" s="35">
        <v>13000</v>
      </c>
      <c r="M24" s="66">
        <f>L24/K24</f>
        <v>4.9019607843137258</v>
      </c>
      <c r="N24" s="17" t="s">
        <v>270</v>
      </c>
      <c r="O24" s="35">
        <f>D109*2000</f>
        <v>1768</v>
      </c>
      <c r="P24" s="35">
        <v>8666</v>
      </c>
      <c r="Q24" s="66">
        <f t="shared" si="7"/>
        <v>4.9015837104072402</v>
      </c>
      <c r="R24" s="35">
        <f>D109*2012</f>
        <v>1778.6079999999999</v>
      </c>
      <c r="S24" s="35">
        <v>2414</v>
      </c>
      <c r="T24" s="66">
        <f t="shared" si="6"/>
        <v>1.3572411683743693</v>
      </c>
      <c r="U24" s="17" t="s">
        <v>270</v>
      </c>
      <c r="V24" s="35">
        <f>D109*2000</f>
        <v>1768</v>
      </c>
      <c r="W24" s="35">
        <v>9000</v>
      </c>
      <c r="X24" s="66">
        <f>W24/V24</f>
        <v>5.0904977375565608</v>
      </c>
      <c r="Y24" s="17" t="s">
        <v>270</v>
      </c>
      <c r="Z24" s="17">
        <f>D109*2000</f>
        <v>1768</v>
      </c>
      <c r="AA24" s="11">
        <v>11000</v>
      </c>
      <c r="AB24" s="66">
        <f>AA24/Z24</f>
        <v>6.2217194570135748</v>
      </c>
      <c r="AC24" s="11">
        <f>D109*2500</f>
        <v>2210</v>
      </c>
      <c r="AD24" s="11">
        <v>13500</v>
      </c>
      <c r="AE24" s="66">
        <f>AD24/AC24</f>
        <v>6.1085972850678729</v>
      </c>
      <c r="AF24" s="11">
        <f>D109*1000</f>
        <v>884</v>
      </c>
      <c r="AG24" s="11">
        <v>5000</v>
      </c>
      <c r="AH24" s="66">
        <f>AG24/AF24</f>
        <v>5.6561085972850682</v>
      </c>
    </row>
    <row r="25" spans="1:34" s="3" customFormat="1" x14ac:dyDescent="0.3">
      <c r="A25" s="17" t="s">
        <v>112</v>
      </c>
      <c r="B25" s="17" t="s">
        <v>102</v>
      </c>
      <c r="C25" s="17" t="s">
        <v>261</v>
      </c>
      <c r="D25" s="35"/>
      <c r="E25" s="35"/>
      <c r="F25" s="35"/>
      <c r="G25" s="17" t="s">
        <v>102</v>
      </c>
      <c r="H25" s="35">
        <v>100</v>
      </c>
      <c r="I25" s="35">
        <v>70</v>
      </c>
      <c r="J25" s="66">
        <f>I25/H25</f>
        <v>0.7</v>
      </c>
      <c r="K25" s="35">
        <v>60</v>
      </c>
      <c r="L25" s="35">
        <v>44</v>
      </c>
      <c r="M25" s="66">
        <f>L25/K25</f>
        <v>0.73333333333333328</v>
      </c>
      <c r="N25" s="17" t="s">
        <v>102</v>
      </c>
      <c r="O25" s="35">
        <v>50</v>
      </c>
      <c r="P25" s="35">
        <v>43</v>
      </c>
      <c r="Q25" s="66">
        <f t="shared" si="7"/>
        <v>0.86</v>
      </c>
      <c r="R25" s="35">
        <v>64</v>
      </c>
      <c r="S25" s="35">
        <v>53</v>
      </c>
      <c r="T25" s="66">
        <f t="shared" si="6"/>
        <v>0.828125</v>
      </c>
      <c r="X25" s="66"/>
      <c r="AB25" s="66"/>
      <c r="AE25" s="66"/>
      <c r="AH25" s="66"/>
    </row>
    <row r="26" spans="1:34" s="3" customFormat="1" x14ac:dyDescent="0.3">
      <c r="A26" s="17" t="s">
        <v>91</v>
      </c>
      <c r="B26" s="17" t="s">
        <v>15</v>
      </c>
      <c r="C26" s="17" t="s">
        <v>21</v>
      </c>
      <c r="D26" s="35">
        <f>$D$65*100</f>
        <v>650</v>
      </c>
      <c r="E26" s="35">
        <v>110</v>
      </c>
      <c r="F26" s="66">
        <f>E26/D26</f>
        <v>0.16923076923076924</v>
      </c>
      <c r="G26" s="17" t="s">
        <v>15</v>
      </c>
      <c r="H26" s="35">
        <v>11200</v>
      </c>
      <c r="I26" s="35">
        <v>326</v>
      </c>
      <c r="J26" s="66">
        <f>I26/H26</f>
        <v>2.9107142857142856E-2</v>
      </c>
      <c r="K26" s="35">
        <v>8960</v>
      </c>
      <c r="L26" s="35">
        <v>266</v>
      </c>
      <c r="M26" s="66">
        <f>L26/K26</f>
        <v>2.9687499999999999E-2</v>
      </c>
      <c r="N26" s="17" t="s">
        <v>15</v>
      </c>
      <c r="O26" s="35">
        <v>4900</v>
      </c>
      <c r="P26" s="35">
        <v>40</v>
      </c>
      <c r="Q26" s="66">
        <f t="shared" si="7"/>
        <v>8.1632653061224497E-3</v>
      </c>
      <c r="R26" s="35">
        <v>8624</v>
      </c>
      <c r="S26" s="35">
        <v>339</v>
      </c>
      <c r="T26" s="66">
        <f t="shared" si="6"/>
        <v>3.930890538033395E-2</v>
      </c>
      <c r="U26" s="17" t="s">
        <v>15</v>
      </c>
      <c r="V26" s="35">
        <v>3000</v>
      </c>
      <c r="W26" s="17">
        <v>187</v>
      </c>
      <c r="X26" s="66">
        <f>W26/V26</f>
        <v>6.2333333333333331E-2</v>
      </c>
      <c r="Y26" s="17" t="s">
        <v>15</v>
      </c>
      <c r="Z26" s="17">
        <v>5525</v>
      </c>
      <c r="AA26" s="3">
        <v>368</v>
      </c>
      <c r="AB26" s="66">
        <f t="shared" ref="AB26:AB31" si="8">AA26/Z26</f>
        <v>6.6606334841628964E-2</v>
      </c>
      <c r="AC26" s="11">
        <v>12950</v>
      </c>
      <c r="AD26" s="11">
        <v>650</v>
      </c>
      <c r="AE26" s="66">
        <f t="shared" ref="AE26:AE31" si="9">AD26/AC26</f>
        <v>5.019305019305019E-2</v>
      </c>
      <c r="AF26" s="11">
        <v>3600</v>
      </c>
      <c r="AG26" s="11">
        <v>200</v>
      </c>
      <c r="AH26" s="66">
        <f>AG26/AF26</f>
        <v>5.5555555555555552E-2</v>
      </c>
    </row>
    <row r="27" spans="1:34" s="3" customFormat="1" ht="15" customHeight="1" x14ac:dyDescent="0.3">
      <c r="A27" s="17" t="s">
        <v>57</v>
      </c>
      <c r="B27" s="17" t="s">
        <v>3</v>
      </c>
      <c r="C27" s="17" t="s">
        <v>152</v>
      </c>
      <c r="D27" s="35"/>
      <c r="E27" s="35"/>
      <c r="F27" s="66"/>
      <c r="G27" s="17" t="s">
        <v>3</v>
      </c>
      <c r="H27" s="35"/>
      <c r="I27" s="35"/>
      <c r="J27" s="66"/>
      <c r="K27" s="35"/>
      <c r="L27" s="35"/>
      <c r="M27" s="66"/>
      <c r="N27" s="93" t="s">
        <v>3</v>
      </c>
      <c r="O27" s="35">
        <v>20</v>
      </c>
      <c r="P27" s="35">
        <v>250</v>
      </c>
      <c r="Q27" s="66">
        <f t="shared" si="7"/>
        <v>12.5</v>
      </c>
      <c r="R27" s="35">
        <v>16</v>
      </c>
      <c r="S27" s="35">
        <v>256</v>
      </c>
      <c r="T27" s="66">
        <f t="shared" si="6"/>
        <v>16</v>
      </c>
      <c r="U27" s="17" t="s">
        <v>15</v>
      </c>
      <c r="V27" s="17">
        <f>12*50</f>
        <v>600</v>
      </c>
      <c r="W27" s="17">
        <v>800</v>
      </c>
      <c r="X27" s="66">
        <f>W27/V27</f>
        <v>1.3333333333333333</v>
      </c>
      <c r="Y27" s="17" t="s">
        <v>15</v>
      </c>
      <c r="Z27" s="17">
        <f>12*16</f>
        <v>192</v>
      </c>
      <c r="AA27" s="3">
        <v>160</v>
      </c>
      <c r="AB27" s="66">
        <f t="shared" si="8"/>
        <v>0.83333333333333337</v>
      </c>
      <c r="AC27" s="11">
        <f>12*100</f>
        <v>1200</v>
      </c>
      <c r="AD27" s="11">
        <v>1000</v>
      </c>
      <c r="AE27" s="66">
        <f t="shared" si="9"/>
        <v>0.83333333333333337</v>
      </c>
      <c r="AF27" s="11">
        <f>12*45</f>
        <v>540</v>
      </c>
      <c r="AG27" s="11">
        <v>470</v>
      </c>
      <c r="AH27" s="66">
        <f>AG27/AF27</f>
        <v>0.87037037037037035</v>
      </c>
    </row>
    <row r="28" spans="1:34" s="3" customFormat="1" x14ac:dyDescent="0.3">
      <c r="A28" s="17" t="s">
        <v>36</v>
      </c>
      <c r="B28" s="17" t="s">
        <v>79</v>
      </c>
      <c r="C28" s="17" t="s">
        <v>265</v>
      </c>
      <c r="D28" s="35"/>
      <c r="E28" s="35"/>
      <c r="F28" s="66"/>
      <c r="G28" s="17" t="s">
        <v>79</v>
      </c>
      <c r="H28" s="35"/>
      <c r="I28" s="35"/>
      <c r="J28" s="66"/>
      <c r="K28" s="35"/>
      <c r="L28" s="35"/>
      <c r="M28" s="66"/>
      <c r="N28" s="93" t="s">
        <v>79</v>
      </c>
      <c r="O28" s="35"/>
      <c r="P28" s="35"/>
      <c r="Q28" s="66"/>
      <c r="R28" s="35">
        <v>35</v>
      </c>
      <c r="S28" s="35">
        <v>42</v>
      </c>
      <c r="T28" s="66">
        <f t="shared" si="6"/>
        <v>1.2</v>
      </c>
      <c r="U28" s="17" t="s">
        <v>15</v>
      </c>
      <c r="V28" s="35"/>
      <c r="W28" s="17"/>
      <c r="X28" s="66"/>
      <c r="Y28" s="17" t="s">
        <v>15</v>
      </c>
      <c r="Z28" s="17">
        <v>2100</v>
      </c>
      <c r="AA28" s="11">
        <v>79</v>
      </c>
      <c r="AB28" s="66">
        <f t="shared" si="8"/>
        <v>3.7619047619047621E-2</v>
      </c>
      <c r="AC28" s="11">
        <v>1500</v>
      </c>
      <c r="AD28" s="11">
        <v>60</v>
      </c>
      <c r="AE28" s="66">
        <f t="shared" si="9"/>
        <v>0.04</v>
      </c>
      <c r="AF28" s="11">
        <v>3000</v>
      </c>
      <c r="AG28" s="11">
        <v>110</v>
      </c>
      <c r="AH28" s="66">
        <f>AG28/AF28</f>
        <v>3.6666666666666667E-2</v>
      </c>
    </row>
    <row r="29" spans="1:34" s="3" customFormat="1" x14ac:dyDescent="0.3">
      <c r="A29" s="17" t="s">
        <v>58</v>
      </c>
      <c r="B29" s="17" t="s">
        <v>3</v>
      </c>
      <c r="C29" s="17" t="s">
        <v>152</v>
      </c>
      <c r="D29" s="35"/>
      <c r="E29" s="35"/>
      <c r="F29" s="66"/>
      <c r="G29" s="17" t="s">
        <v>3</v>
      </c>
      <c r="H29" s="35"/>
      <c r="I29" s="35"/>
      <c r="J29" s="66"/>
      <c r="K29" s="35"/>
      <c r="L29" s="35"/>
      <c r="M29" s="66"/>
      <c r="N29" s="93" t="s">
        <v>3</v>
      </c>
      <c r="O29" s="35"/>
      <c r="P29" s="35"/>
      <c r="Q29" s="66"/>
      <c r="R29" s="35"/>
      <c r="S29" s="35"/>
      <c r="T29" s="66"/>
      <c r="U29" s="17" t="s">
        <v>15</v>
      </c>
      <c r="X29" s="66"/>
      <c r="Y29" s="17" t="s">
        <v>3</v>
      </c>
      <c r="Z29" s="17">
        <v>6</v>
      </c>
      <c r="AA29" s="3">
        <v>36</v>
      </c>
      <c r="AB29" s="66">
        <f t="shared" si="8"/>
        <v>6</v>
      </c>
      <c r="AC29" s="11">
        <v>45</v>
      </c>
      <c r="AD29" s="11">
        <v>270</v>
      </c>
      <c r="AE29" s="66">
        <f t="shared" si="9"/>
        <v>6</v>
      </c>
      <c r="AF29" s="11"/>
      <c r="AG29" s="11"/>
      <c r="AH29" s="66"/>
    </row>
    <row r="30" spans="1:34" s="3" customFormat="1" x14ac:dyDescent="0.3">
      <c r="A30" s="17" t="s">
        <v>59</v>
      </c>
      <c r="B30" s="17" t="s">
        <v>64</v>
      </c>
      <c r="C30" s="17" t="s">
        <v>262</v>
      </c>
      <c r="D30" s="35">
        <v>4000</v>
      </c>
      <c r="E30" s="35">
        <v>2400</v>
      </c>
      <c r="F30" s="66">
        <f>E30/D30</f>
        <v>0.6</v>
      </c>
      <c r="G30" s="17" t="s">
        <v>64</v>
      </c>
      <c r="H30" s="35"/>
      <c r="I30" s="35"/>
      <c r="J30" s="66"/>
      <c r="K30" s="35"/>
      <c r="L30" s="35"/>
      <c r="M30" s="66"/>
      <c r="N30" s="93" t="s">
        <v>64</v>
      </c>
      <c r="O30" s="35"/>
      <c r="P30" s="35"/>
      <c r="Q30" s="66"/>
      <c r="R30" s="35"/>
      <c r="S30" s="35"/>
      <c r="T30" s="66"/>
      <c r="U30" s="17" t="s">
        <v>15</v>
      </c>
      <c r="V30" s="35">
        <v>1500</v>
      </c>
      <c r="W30" s="35">
        <v>1500</v>
      </c>
      <c r="X30" s="66">
        <f>W30/V30</f>
        <v>1</v>
      </c>
      <c r="Y30" s="17" t="s">
        <v>15</v>
      </c>
      <c r="Z30" s="17">
        <v>6000</v>
      </c>
      <c r="AA30" s="11">
        <v>4500</v>
      </c>
      <c r="AB30" s="66">
        <f t="shared" si="8"/>
        <v>0.75</v>
      </c>
      <c r="AC30" s="11">
        <v>1600</v>
      </c>
      <c r="AD30" s="11">
        <v>1200</v>
      </c>
      <c r="AE30" s="66">
        <f t="shared" si="9"/>
        <v>0.75</v>
      </c>
      <c r="AF30" s="11">
        <v>1500</v>
      </c>
      <c r="AG30" s="11">
        <v>1050</v>
      </c>
      <c r="AH30" s="66">
        <f>AG30/AF30</f>
        <v>0.7</v>
      </c>
    </row>
    <row r="31" spans="1:34" s="3" customFormat="1" x14ac:dyDescent="0.3">
      <c r="A31" s="17" t="s">
        <v>60</v>
      </c>
      <c r="B31" s="17" t="s">
        <v>64</v>
      </c>
      <c r="C31" s="17" t="s">
        <v>262</v>
      </c>
      <c r="D31" s="35"/>
      <c r="E31" s="35"/>
      <c r="F31" s="66"/>
      <c r="G31" s="17" t="s">
        <v>64</v>
      </c>
      <c r="H31" s="35"/>
      <c r="I31" s="35"/>
      <c r="J31" s="66"/>
      <c r="K31" s="35"/>
      <c r="L31" s="35"/>
      <c r="M31" s="66"/>
      <c r="N31" s="93" t="s">
        <v>64</v>
      </c>
      <c r="O31" s="35">
        <v>2000</v>
      </c>
      <c r="P31" s="35">
        <v>1333</v>
      </c>
      <c r="Q31" s="66">
        <f>P31/O31</f>
        <v>0.66649999999999998</v>
      </c>
      <c r="R31" s="35">
        <v>1600</v>
      </c>
      <c r="S31" s="35">
        <v>1036</v>
      </c>
      <c r="T31" s="66">
        <f>S31/R31</f>
        <v>0.64749999999999996</v>
      </c>
      <c r="U31" s="17" t="s">
        <v>15</v>
      </c>
      <c r="V31" s="17">
        <v>500</v>
      </c>
      <c r="W31" s="17">
        <v>500</v>
      </c>
      <c r="X31" s="66">
        <f>W31/V31</f>
        <v>1</v>
      </c>
      <c r="Y31" s="17" t="s">
        <v>15</v>
      </c>
      <c r="Z31" s="17">
        <v>1500</v>
      </c>
      <c r="AA31" s="11">
        <v>1125</v>
      </c>
      <c r="AB31" s="66">
        <f t="shared" si="8"/>
        <v>0.75</v>
      </c>
      <c r="AC31" s="11">
        <v>2000</v>
      </c>
      <c r="AD31" s="11">
        <v>1500</v>
      </c>
      <c r="AE31" s="66">
        <f t="shared" si="9"/>
        <v>0.75</v>
      </c>
      <c r="AF31" s="11">
        <v>3000</v>
      </c>
      <c r="AG31" s="11">
        <v>1950</v>
      </c>
      <c r="AH31" s="66">
        <f>AG31/AF31</f>
        <v>0.65</v>
      </c>
    </row>
    <row r="32" spans="1:34" s="3" customFormat="1" x14ac:dyDescent="0.3">
      <c r="A32" s="17" t="s">
        <v>115</v>
      </c>
      <c r="B32" s="17" t="s">
        <v>64</v>
      </c>
      <c r="C32" s="17" t="s">
        <v>262</v>
      </c>
      <c r="D32" s="35"/>
      <c r="E32" s="35"/>
      <c r="F32" s="66"/>
      <c r="G32" s="17" t="s">
        <v>64</v>
      </c>
      <c r="H32" s="35">
        <v>400</v>
      </c>
      <c r="I32" s="35">
        <v>600</v>
      </c>
      <c r="J32" s="66">
        <f>I32/H32</f>
        <v>1.5</v>
      </c>
      <c r="K32" s="35">
        <v>500</v>
      </c>
      <c r="L32" s="35">
        <v>750</v>
      </c>
      <c r="M32" s="66">
        <f>L32/K32</f>
        <v>1.5</v>
      </c>
      <c r="N32" s="17" t="s">
        <v>64</v>
      </c>
      <c r="O32" s="35">
        <v>1500</v>
      </c>
      <c r="P32" s="35">
        <v>1100</v>
      </c>
      <c r="Q32" s="66">
        <f>P32/O32</f>
        <v>0.73333333333333328</v>
      </c>
      <c r="R32" s="35">
        <v>1216</v>
      </c>
      <c r="S32" s="35">
        <v>849</v>
      </c>
      <c r="T32" s="66">
        <f>S32/R32</f>
        <v>0.69819078947368418</v>
      </c>
      <c r="U32" s="17"/>
      <c r="Y32" s="17"/>
    </row>
    <row r="33" spans="1:34" s="3" customFormat="1" x14ac:dyDescent="0.3">
      <c r="A33" s="17" t="s">
        <v>75</v>
      </c>
      <c r="B33" s="17" t="s">
        <v>20</v>
      </c>
      <c r="C33" s="17" t="s">
        <v>266</v>
      </c>
      <c r="D33" s="35"/>
      <c r="E33" s="35"/>
      <c r="F33" s="66"/>
      <c r="G33" s="17" t="s">
        <v>20</v>
      </c>
      <c r="H33" s="35"/>
      <c r="I33" s="35"/>
      <c r="J33" s="66"/>
      <c r="K33" s="35"/>
      <c r="L33" s="35"/>
      <c r="M33" s="66"/>
      <c r="N33" s="17" t="s">
        <v>20</v>
      </c>
      <c r="O33" s="35"/>
      <c r="P33" s="35"/>
      <c r="Q33" s="66"/>
      <c r="R33" s="35"/>
      <c r="S33" s="35"/>
      <c r="T33" s="66"/>
      <c r="U33" s="17" t="s">
        <v>20</v>
      </c>
      <c r="V33" s="35">
        <v>9000</v>
      </c>
      <c r="W33" s="35">
        <v>6750</v>
      </c>
      <c r="X33" s="66">
        <f>W33/V33</f>
        <v>0.75</v>
      </c>
      <c r="Y33" s="17" t="s">
        <v>20</v>
      </c>
      <c r="Z33" s="17">
        <v>7500</v>
      </c>
      <c r="AA33" s="11">
        <v>6000</v>
      </c>
      <c r="AB33" s="66">
        <f>AA33/Z33</f>
        <v>0.8</v>
      </c>
      <c r="AC33" s="11">
        <v>15200</v>
      </c>
      <c r="AD33" s="11">
        <v>12160</v>
      </c>
      <c r="AE33" s="66">
        <f>AD33/AC33</f>
        <v>0.8</v>
      </c>
      <c r="AF33" s="11">
        <v>5500</v>
      </c>
      <c r="AG33" s="11">
        <v>4470</v>
      </c>
      <c r="AH33" s="66">
        <f>AG33/AF33</f>
        <v>0.81272727272727274</v>
      </c>
    </row>
    <row r="34" spans="1:34" s="3" customFormat="1" x14ac:dyDescent="0.3">
      <c r="A34" s="17" t="s">
        <v>74</v>
      </c>
      <c r="B34" s="17" t="s">
        <v>20</v>
      </c>
      <c r="C34" s="17" t="s">
        <v>266</v>
      </c>
      <c r="D34" s="35"/>
      <c r="E34" s="35"/>
      <c r="F34" s="66"/>
      <c r="G34" s="17" t="s">
        <v>20</v>
      </c>
      <c r="H34" s="35"/>
      <c r="I34" s="35"/>
      <c r="J34" s="66"/>
      <c r="K34" s="35"/>
      <c r="L34" s="35"/>
      <c r="M34" s="66"/>
      <c r="N34" s="17" t="s">
        <v>20</v>
      </c>
      <c r="O34" s="35"/>
      <c r="P34" s="35"/>
      <c r="Q34" s="66"/>
      <c r="R34" s="35"/>
      <c r="S34" s="35"/>
      <c r="T34" s="66"/>
      <c r="U34" s="17" t="s">
        <v>20</v>
      </c>
      <c r="V34" s="35">
        <v>20000</v>
      </c>
      <c r="W34" s="35">
        <v>8000</v>
      </c>
      <c r="X34" s="66">
        <f>W34/V34</f>
        <v>0.4</v>
      </c>
      <c r="Y34" s="17" t="s">
        <v>20</v>
      </c>
      <c r="Z34" s="17">
        <v>32500</v>
      </c>
      <c r="AA34" s="11">
        <v>9750</v>
      </c>
      <c r="AB34" s="66">
        <f>AA34/Z34</f>
        <v>0.3</v>
      </c>
      <c r="AC34" s="11">
        <v>20000</v>
      </c>
      <c r="AD34" s="11">
        <v>6000</v>
      </c>
      <c r="AE34" s="66">
        <f>AD34/AC34</f>
        <v>0.3</v>
      </c>
      <c r="AF34" s="11">
        <v>1200</v>
      </c>
      <c r="AG34" s="11">
        <v>480</v>
      </c>
      <c r="AH34" s="66">
        <f>AG34/AF34</f>
        <v>0.4</v>
      </c>
    </row>
    <row r="35" spans="1:34" s="3" customFormat="1" x14ac:dyDescent="0.3">
      <c r="A35" s="17" t="s">
        <v>77</v>
      </c>
      <c r="B35" s="3" t="s">
        <v>20</v>
      </c>
      <c r="C35" s="17" t="s">
        <v>266</v>
      </c>
      <c r="D35" s="35"/>
      <c r="E35" s="35"/>
      <c r="F35" s="66"/>
      <c r="G35" t="s">
        <v>20</v>
      </c>
      <c r="H35" s="35"/>
      <c r="I35" s="35"/>
      <c r="J35" s="66"/>
      <c r="K35" s="35"/>
      <c r="L35" s="35"/>
      <c r="M35" s="66"/>
      <c r="N35" t="s">
        <v>20</v>
      </c>
      <c r="O35" s="35"/>
      <c r="P35" s="35"/>
      <c r="Q35" s="66"/>
      <c r="R35" s="35"/>
      <c r="S35" s="35"/>
      <c r="T35" s="66"/>
      <c r="U35" s="3" t="s">
        <v>20</v>
      </c>
      <c r="V35" s="35">
        <v>8000</v>
      </c>
      <c r="W35" s="35">
        <v>8000</v>
      </c>
      <c r="X35" s="66">
        <f>W35/V35</f>
        <v>1</v>
      </c>
      <c r="Y35" s="3" t="s">
        <v>20</v>
      </c>
      <c r="AA35" s="11"/>
      <c r="AB35" s="66"/>
      <c r="AC35" s="11">
        <v>3000</v>
      </c>
      <c r="AD35" s="11">
        <v>2400</v>
      </c>
      <c r="AE35" s="66">
        <f t="shared" ref="AE35:AE39" si="10">AD35/AC35</f>
        <v>0.8</v>
      </c>
      <c r="AF35" s="11">
        <v>2500</v>
      </c>
      <c r="AG35" s="11">
        <v>1750</v>
      </c>
      <c r="AH35" s="66">
        <f t="shared" ref="AH35:AH38" si="11">AG35/AF35</f>
        <v>0.7</v>
      </c>
    </row>
    <row r="36" spans="1:34" s="3" customFormat="1" x14ac:dyDescent="0.3">
      <c r="A36" s="17" t="s">
        <v>85</v>
      </c>
      <c r="B36" s="17" t="s">
        <v>3</v>
      </c>
      <c r="C36" s="17" t="s">
        <v>152</v>
      </c>
      <c r="D36" s="35"/>
      <c r="E36" s="35"/>
      <c r="F36" s="66"/>
      <c r="G36" s="17" t="s">
        <v>3</v>
      </c>
      <c r="H36" s="35"/>
      <c r="I36" s="35"/>
      <c r="J36" s="66"/>
      <c r="K36" s="35"/>
      <c r="L36" s="35"/>
      <c r="M36" s="66"/>
      <c r="N36" s="17" t="s">
        <v>3</v>
      </c>
      <c r="O36" s="35"/>
      <c r="P36" s="35"/>
      <c r="Q36" s="66"/>
      <c r="R36" s="35"/>
      <c r="S36" s="35"/>
      <c r="T36" s="66"/>
      <c r="U36" s="17" t="s">
        <v>3</v>
      </c>
      <c r="V36" s="17"/>
      <c r="W36" s="17"/>
      <c r="X36" s="66"/>
      <c r="Y36" s="17" t="s">
        <v>3</v>
      </c>
      <c r="Z36" s="11">
        <f>1000000*10</f>
        <v>10000000</v>
      </c>
      <c r="AA36" s="11">
        <v>300</v>
      </c>
      <c r="AB36" s="66">
        <f>AA36/Z36</f>
        <v>3.0000000000000001E-5</v>
      </c>
      <c r="AC36" s="11">
        <f>1000*550</f>
        <v>550000</v>
      </c>
      <c r="AD36" s="11">
        <v>160</v>
      </c>
      <c r="AE36" s="66">
        <f t="shared" si="10"/>
        <v>2.9090909090909091E-4</v>
      </c>
      <c r="AF36" s="11">
        <f>1000*667</f>
        <v>667000</v>
      </c>
      <c r="AG36" s="11">
        <v>200</v>
      </c>
      <c r="AH36" s="66">
        <f t="shared" si="11"/>
        <v>2.9985007496251872E-4</v>
      </c>
    </row>
    <row r="37" spans="1:34" s="3" customFormat="1" x14ac:dyDescent="0.3">
      <c r="A37" s="17" t="s">
        <v>69</v>
      </c>
      <c r="B37" s="17" t="s">
        <v>15</v>
      </c>
      <c r="C37" s="17" t="s">
        <v>21</v>
      </c>
      <c r="D37" s="35">
        <f>$D$65*5000</f>
        <v>32500</v>
      </c>
      <c r="E37" s="35">
        <v>900</v>
      </c>
      <c r="F37" s="66">
        <f>E37/D37</f>
        <v>2.7692307692307693E-2</v>
      </c>
      <c r="G37" s="17" t="s">
        <v>15</v>
      </c>
      <c r="H37" s="35">
        <v>112000</v>
      </c>
      <c r="I37" s="35">
        <v>4133</v>
      </c>
      <c r="J37" s="66">
        <f>I37/H37</f>
        <v>3.6901785714285713E-2</v>
      </c>
      <c r="K37" s="35">
        <v>78400</v>
      </c>
      <c r="L37" s="35">
        <v>2166</v>
      </c>
      <c r="M37" s="66">
        <f>L37/K37</f>
        <v>2.7627551020408165E-2</v>
      </c>
      <c r="N37" s="17" t="s">
        <v>15</v>
      </c>
      <c r="O37" s="35">
        <v>112000</v>
      </c>
      <c r="P37" s="35">
        <v>4133</v>
      </c>
      <c r="Q37" s="66">
        <f>P37/O37</f>
        <v>3.6901785714285713E-2</v>
      </c>
      <c r="R37" s="35">
        <v>42500</v>
      </c>
      <c r="S37" s="35">
        <v>2554</v>
      </c>
      <c r="T37" s="66">
        <f>S37/R37</f>
        <v>6.0094117647058826E-2</v>
      </c>
      <c r="U37" s="17" t="s">
        <v>15</v>
      </c>
      <c r="V37" s="35">
        <v>28000</v>
      </c>
      <c r="W37" s="35">
        <v>1400</v>
      </c>
      <c r="X37" s="66">
        <f>W37/V37</f>
        <v>0.05</v>
      </c>
      <c r="Y37" s="17" t="s">
        <v>15</v>
      </c>
      <c r="Z37" s="17">
        <v>35698</v>
      </c>
      <c r="AA37" s="11">
        <v>1781</v>
      </c>
      <c r="AB37" s="66">
        <f>AA37/Z37</f>
        <v>4.9890750182083027E-2</v>
      </c>
      <c r="AC37" s="11">
        <v>42000</v>
      </c>
      <c r="AD37" s="11">
        <v>2100</v>
      </c>
      <c r="AE37" s="66">
        <f t="shared" si="10"/>
        <v>0.05</v>
      </c>
      <c r="AF37" s="11">
        <v>17500</v>
      </c>
      <c r="AG37" s="11">
        <v>1170</v>
      </c>
      <c r="AH37" s="66">
        <f t="shared" si="11"/>
        <v>6.6857142857142851E-2</v>
      </c>
    </row>
    <row r="38" spans="1:34" s="3" customFormat="1" x14ac:dyDescent="0.3">
      <c r="A38" s="17" t="s">
        <v>65</v>
      </c>
      <c r="B38" s="17" t="s">
        <v>15</v>
      </c>
      <c r="C38" s="17" t="s">
        <v>21</v>
      </c>
      <c r="D38" s="35"/>
      <c r="E38" s="35"/>
      <c r="F38" s="66"/>
      <c r="G38" s="17" t="s">
        <v>15</v>
      </c>
      <c r="H38" s="35"/>
      <c r="I38" s="35"/>
      <c r="J38" s="66"/>
      <c r="K38" s="35"/>
      <c r="L38" s="35"/>
      <c r="M38" s="66"/>
      <c r="N38" s="17" t="s">
        <v>15</v>
      </c>
      <c r="O38" s="35"/>
      <c r="P38" s="35"/>
      <c r="Q38" s="66"/>
      <c r="R38" s="35"/>
      <c r="S38" s="35"/>
      <c r="T38" s="66"/>
      <c r="U38" s="17" t="s">
        <v>15</v>
      </c>
      <c r="V38" s="35">
        <v>5760</v>
      </c>
      <c r="W38" s="35">
        <v>480</v>
      </c>
      <c r="X38" s="66">
        <f>W38/V38</f>
        <v>8.3333333333333329E-2</v>
      </c>
      <c r="Y38" s="17" t="s">
        <v>15</v>
      </c>
      <c r="Z38" s="17">
        <v>26000</v>
      </c>
      <c r="AA38" s="11">
        <v>325</v>
      </c>
      <c r="AB38" s="66">
        <f>AA38/Z38</f>
        <v>1.2500000000000001E-2</v>
      </c>
      <c r="AC38" s="11">
        <v>7000</v>
      </c>
      <c r="AD38" s="11">
        <v>870</v>
      </c>
      <c r="AE38" s="66">
        <f t="shared" si="10"/>
        <v>0.12428571428571429</v>
      </c>
      <c r="AF38" s="11">
        <v>7000</v>
      </c>
      <c r="AG38" s="11">
        <v>870</v>
      </c>
      <c r="AH38" s="66">
        <f t="shared" si="11"/>
        <v>0.12428571428571429</v>
      </c>
    </row>
    <row r="39" spans="1:34" s="3" customFormat="1" x14ac:dyDescent="0.3">
      <c r="A39" s="17" t="s">
        <v>278</v>
      </c>
      <c r="B39" s="3" t="s">
        <v>10</v>
      </c>
      <c r="C39" s="17" t="s">
        <v>267</v>
      </c>
      <c r="D39" s="35"/>
      <c r="E39" s="35"/>
      <c r="F39" s="66"/>
      <c r="G39" t="s">
        <v>10</v>
      </c>
      <c r="H39" s="35"/>
      <c r="I39" s="35"/>
      <c r="J39" s="66"/>
      <c r="K39" s="35"/>
      <c r="L39" s="35"/>
      <c r="M39" s="66"/>
      <c r="N39" t="s">
        <v>10</v>
      </c>
      <c r="O39" s="35"/>
      <c r="P39" s="35"/>
      <c r="Q39" s="66"/>
      <c r="R39" s="35"/>
      <c r="S39" s="35"/>
      <c r="T39" s="66"/>
      <c r="U39" s="3" t="s">
        <v>10</v>
      </c>
      <c r="V39" s="35"/>
      <c r="X39" s="66"/>
      <c r="Y39" s="3" t="s">
        <v>10</v>
      </c>
      <c r="Z39" s="17">
        <v>6000</v>
      </c>
      <c r="AA39" s="11">
        <v>3000</v>
      </c>
      <c r="AB39" s="66">
        <f>AA39/Z39</f>
        <v>0.5</v>
      </c>
      <c r="AC39" s="11">
        <v>8000</v>
      </c>
      <c r="AD39" s="11">
        <v>4000</v>
      </c>
      <c r="AE39" s="66">
        <f t="shared" si="10"/>
        <v>0.5</v>
      </c>
      <c r="AF39" s="11"/>
      <c r="AG39" s="11"/>
      <c r="AH39" s="66"/>
    </row>
    <row r="40" spans="1:34" s="3" customFormat="1" x14ac:dyDescent="0.3">
      <c r="A40" s="17" t="s">
        <v>96</v>
      </c>
      <c r="B40" s="17" t="s">
        <v>15</v>
      </c>
      <c r="C40" s="17" t="s">
        <v>21</v>
      </c>
      <c r="D40" s="35">
        <f>$D$65*25000</f>
        <v>162500</v>
      </c>
      <c r="E40" s="35">
        <v>1375</v>
      </c>
      <c r="F40" s="66">
        <f>E40/D40</f>
        <v>8.4615384615384613E-3</v>
      </c>
      <c r="G40" s="17" t="s">
        <v>15</v>
      </c>
      <c r="H40" s="35">
        <v>70000</v>
      </c>
      <c r="I40" s="35">
        <v>500</v>
      </c>
      <c r="J40" s="66">
        <f>I40/H40</f>
        <v>7.1428571428571426E-3</v>
      </c>
      <c r="K40" s="35">
        <v>49000</v>
      </c>
      <c r="L40" s="35">
        <v>350</v>
      </c>
      <c r="M40" s="66">
        <f>L40/K40</f>
        <v>7.1428571428571426E-3</v>
      </c>
      <c r="N40" s="17" t="s">
        <v>15</v>
      </c>
      <c r="O40" s="35">
        <v>70000</v>
      </c>
      <c r="P40" s="35">
        <v>666</v>
      </c>
      <c r="Q40" s="66">
        <f>P40/O40</f>
        <v>9.5142857142857147E-3</v>
      </c>
      <c r="R40" s="35">
        <v>161798</v>
      </c>
      <c r="S40" s="35">
        <v>1386</v>
      </c>
      <c r="T40" s="66">
        <f>S40/R40</f>
        <v>8.5662369126936061E-3</v>
      </c>
      <c r="U40" s="17" t="s">
        <v>15</v>
      </c>
      <c r="V40" s="35">
        <v>49000</v>
      </c>
      <c r="W40" s="35">
        <v>408</v>
      </c>
      <c r="X40" s="66">
        <f>W40/V40</f>
        <v>8.3265306122448975E-3</v>
      </c>
      <c r="Y40" s="17" t="s">
        <v>15</v>
      </c>
      <c r="Z40" s="17"/>
      <c r="AA40" s="11"/>
      <c r="AB40" s="66"/>
      <c r="AC40" s="11"/>
      <c r="AD40" s="11"/>
      <c r="AE40" s="66"/>
      <c r="AF40" s="11"/>
      <c r="AG40" s="11"/>
      <c r="AH40" s="66"/>
    </row>
    <row r="41" spans="1:34" s="3" customFormat="1" x14ac:dyDescent="0.3">
      <c r="A41" s="17" t="s">
        <v>66</v>
      </c>
      <c r="B41" s="17" t="s">
        <v>15</v>
      </c>
      <c r="C41" s="17" t="s">
        <v>21</v>
      </c>
      <c r="D41" s="35">
        <f>$D$65*25000</f>
        <v>162500</v>
      </c>
      <c r="E41" s="35">
        <v>1375</v>
      </c>
      <c r="F41" s="66">
        <f>E41/D41</f>
        <v>8.4615384615384613E-3</v>
      </c>
      <c r="G41" s="17" t="s">
        <v>15</v>
      </c>
      <c r="H41" s="35"/>
      <c r="I41" s="35"/>
      <c r="J41" s="66"/>
      <c r="K41" s="35"/>
      <c r="L41" s="35"/>
      <c r="M41" s="66"/>
      <c r="N41" s="17" t="s">
        <v>15</v>
      </c>
      <c r="O41" s="35"/>
      <c r="P41" s="35"/>
      <c r="Q41" s="66"/>
      <c r="R41" s="35"/>
      <c r="S41" s="35"/>
      <c r="T41" s="66"/>
      <c r="U41" s="17" t="s">
        <v>15</v>
      </c>
      <c r="V41" s="35">
        <v>14700</v>
      </c>
      <c r="W41" s="35">
        <v>122</v>
      </c>
      <c r="X41" s="66">
        <f>W41/V41</f>
        <v>8.2993197278911565E-3</v>
      </c>
      <c r="Y41" s="17" t="s">
        <v>15</v>
      </c>
      <c r="Z41" s="17">
        <v>5850</v>
      </c>
      <c r="AA41" s="11">
        <v>73</v>
      </c>
      <c r="AB41" s="66">
        <f>AA41/Z41</f>
        <v>1.2478632478632479E-2</v>
      </c>
      <c r="AC41" s="11">
        <v>150000</v>
      </c>
      <c r="AD41" s="11">
        <v>1870</v>
      </c>
      <c r="AE41" s="66">
        <f>AD41/AC41</f>
        <v>1.2466666666666666E-2</v>
      </c>
      <c r="AF41" s="11">
        <v>3000</v>
      </c>
      <c r="AG41" s="11">
        <v>50</v>
      </c>
      <c r="AH41" s="66">
        <f>AG41/AF41</f>
        <v>1.6666666666666666E-2</v>
      </c>
    </row>
    <row r="42" spans="1:34" s="3" customFormat="1" x14ac:dyDescent="0.3">
      <c r="A42" s="17" t="s">
        <v>67</v>
      </c>
      <c r="B42" s="17" t="s">
        <v>15</v>
      </c>
      <c r="C42" s="17" t="s">
        <v>21</v>
      </c>
      <c r="D42" s="35"/>
      <c r="E42" s="35"/>
      <c r="F42" s="66"/>
      <c r="G42" s="17" t="s">
        <v>15</v>
      </c>
      <c r="H42" s="35"/>
      <c r="I42" s="35"/>
      <c r="J42" s="66"/>
      <c r="K42" s="35"/>
      <c r="L42" s="35"/>
      <c r="M42" s="66"/>
      <c r="N42" s="17" t="s">
        <v>15</v>
      </c>
      <c r="O42" s="35"/>
      <c r="P42" s="35"/>
      <c r="Q42" s="66"/>
      <c r="R42" s="35"/>
      <c r="S42" s="35"/>
      <c r="T42" s="66"/>
      <c r="U42" s="17" t="s">
        <v>15</v>
      </c>
      <c r="V42" s="17"/>
      <c r="W42" s="35"/>
      <c r="X42" s="66"/>
      <c r="Y42" s="17" t="s">
        <v>15</v>
      </c>
      <c r="Z42" s="17"/>
      <c r="AA42" s="11"/>
      <c r="AB42" s="66"/>
      <c r="AC42" s="11"/>
      <c r="AD42" s="11"/>
      <c r="AE42" s="66"/>
      <c r="AF42" s="11">
        <v>35000</v>
      </c>
      <c r="AG42" s="11">
        <v>580</v>
      </c>
      <c r="AH42" s="66"/>
    </row>
    <row r="43" spans="1:34" s="3" customFormat="1" x14ac:dyDescent="0.3">
      <c r="A43" s="17" t="s">
        <v>281</v>
      </c>
      <c r="B43" s="17" t="s">
        <v>187</v>
      </c>
      <c r="C43" s="17" t="s">
        <v>151</v>
      </c>
      <c r="D43" s="35"/>
      <c r="E43" s="35"/>
      <c r="F43" s="66"/>
      <c r="G43" s="17" t="s">
        <v>187</v>
      </c>
      <c r="H43" s="35">
        <f>$D$87*3000</f>
        <v>27000</v>
      </c>
      <c r="I43" s="35">
        <v>1500</v>
      </c>
      <c r="J43" s="66">
        <f>I43/H43</f>
        <v>5.5555555555555552E-2</v>
      </c>
      <c r="K43" s="35">
        <f>$D$87*2000</f>
        <v>18000</v>
      </c>
      <c r="L43" s="35">
        <v>1000</v>
      </c>
      <c r="M43" s="66">
        <f>L43/K43</f>
        <v>5.5555555555555552E-2</v>
      </c>
      <c r="N43" s="17" t="s">
        <v>187</v>
      </c>
      <c r="O43" s="35">
        <f>$D$87*500</f>
        <v>4500</v>
      </c>
      <c r="P43" s="35">
        <v>216</v>
      </c>
      <c r="Q43" s="66">
        <f>P43/O43</f>
        <v>4.8000000000000001E-2</v>
      </c>
      <c r="R43" s="35">
        <f>$D$87*649</f>
        <v>5841</v>
      </c>
      <c r="S43" s="35">
        <v>649</v>
      </c>
      <c r="T43" s="66">
        <f>S43/R43</f>
        <v>0.1111111111111111</v>
      </c>
      <c r="U43" s="17" t="s">
        <v>187</v>
      </c>
      <c r="V43" s="35">
        <f>$D$87*5000</f>
        <v>45000</v>
      </c>
      <c r="W43" s="17">
        <v>7500</v>
      </c>
      <c r="X43" s="66">
        <f>W43/V43</f>
        <v>0.16666666666666666</v>
      </c>
      <c r="Y43" s="17" t="s">
        <v>187</v>
      </c>
      <c r="Z43" s="17">
        <f>$D$87*7000</f>
        <v>63000</v>
      </c>
      <c r="AA43" s="11">
        <v>7700</v>
      </c>
      <c r="AB43" s="66">
        <f>AA43/Z43</f>
        <v>0.12222222222222222</v>
      </c>
      <c r="AC43" s="11">
        <f>$D$87*10000</f>
        <v>90000</v>
      </c>
      <c r="AD43" s="11">
        <v>10500</v>
      </c>
      <c r="AE43" s="66">
        <f>AD43/AC43</f>
        <v>0.11666666666666667</v>
      </c>
      <c r="AF43" s="11">
        <f>$D$87*2500</f>
        <v>22500</v>
      </c>
      <c r="AG43" s="11">
        <v>6250</v>
      </c>
      <c r="AH43" s="66">
        <f>AG43/AF43</f>
        <v>0.27777777777777779</v>
      </c>
    </row>
    <row r="44" spans="1:34" s="3" customFormat="1" ht="15" customHeight="1" x14ac:dyDescent="0.3">
      <c r="A44" s="17" t="s">
        <v>76</v>
      </c>
      <c r="B44" s="17" t="s">
        <v>20</v>
      </c>
      <c r="C44" s="17" t="s">
        <v>266</v>
      </c>
      <c r="D44" s="35"/>
      <c r="E44" s="35"/>
      <c r="F44" s="66"/>
      <c r="G44" s="17" t="s">
        <v>20</v>
      </c>
      <c r="H44" s="35">
        <v>500</v>
      </c>
      <c r="I44" s="35">
        <v>133</v>
      </c>
      <c r="J44" s="66">
        <f>I44/H44</f>
        <v>0.26600000000000001</v>
      </c>
      <c r="K44" s="35"/>
      <c r="L44" s="35"/>
      <c r="M44" s="66"/>
      <c r="N44" s="17" t="s">
        <v>20</v>
      </c>
      <c r="O44" s="35">
        <v>500</v>
      </c>
      <c r="P44" s="35">
        <v>100</v>
      </c>
      <c r="Q44" s="66">
        <f>P44/O44</f>
        <v>0.2</v>
      </c>
      <c r="R44" s="35">
        <v>965</v>
      </c>
      <c r="S44" s="35">
        <v>270</v>
      </c>
      <c r="T44" s="66">
        <f>S44/R44</f>
        <v>0.27979274611398963</v>
      </c>
      <c r="U44" s="17" t="s">
        <v>20</v>
      </c>
      <c r="V44" s="17"/>
      <c r="W44" s="35"/>
      <c r="X44" s="66"/>
      <c r="Y44" s="17" t="s">
        <v>20</v>
      </c>
      <c r="Z44" s="17">
        <v>2600</v>
      </c>
      <c r="AA44" s="11">
        <v>780</v>
      </c>
      <c r="AB44" s="66">
        <f>AA44/Z44</f>
        <v>0.3</v>
      </c>
      <c r="AC44" s="11">
        <v>3000</v>
      </c>
      <c r="AD44" s="11">
        <v>900</v>
      </c>
      <c r="AE44" s="66">
        <f>AD44/AC44</f>
        <v>0.3</v>
      </c>
      <c r="AF44" s="11">
        <v>1250</v>
      </c>
      <c r="AG44" s="11">
        <v>370</v>
      </c>
      <c r="AH44" s="66">
        <f>AG44/AF44</f>
        <v>0.29599999999999999</v>
      </c>
    </row>
    <row r="45" spans="1:34" s="3" customFormat="1" ht="15" customHeight="1" x14ac:dyDescent="0.3">
      <c r="A45" s="17" t="s">
        <v>81</v>
      </c>
      <c r="B45" s="3" t="s">
        <v>82</v>
      </c>
      <c r="C45" s="17" t="s">
        <v>268</v>
      </c>
      <c r="D45" s="35"/>
      <c r="E45" s="35"/>
      <c r="F45" s="66"/>
      <c r="G45" t="s">
        <v>82</v>
      </c>
      <c r="H45" s="35"/>
      <c r="I45" s="35"/>
      <c r="J45" s="66"/>
      <c r="K45" s="35"/>
      <c r="L45" s="35"/>
      <c r="M45" s="66"/>
      <c r="N45" t="s">
        <v>82</v>
      </c>
      <c r="O45" s="35"/>
      <c r="P45" s="35"/>
      <c r="Q45" s="66"/>
      <c r="R45" s="35"/>
      <c r="S45" s="35"/>
      <c r="T45" s="66"/>
      <c r="U45" s="3" t="s">
        <v>82</v>
      </c>
      <c r="V45" s="35"/>
      <c r="X45" s="66"/>
      <c r="Y45" s="3" t="s">
        <v>82</v>
      </c>
      <c r="Z45" s="17">
        <v>260</v>
      </c>
      <c r="AA45" s="11">
        <v>780</v>
      </c>
      <c r="AB45" s="66">
        <f>AA45/Z45</f>
        <v>3</v>
      </c>
      <c r="AC45" s="11">
        <v>60</v>
      </c>
      <c r="AD45" s="11">
        <v>180</v>
      </c>
      <c r="AE45" s="66">
        <f>AD45/AC45</f>
        <v>3</v>
      </c>
      <c r="AF45" s="11">
        <v>22</v>
      </c>
      <c r="AG45" s="11">
        <v>70</v>
      </c>
      <c r="AH45" s="66">
        <f>AG45/AF45</f>
        <v>3.1818181818181817</v>
      </c>
    </row>
    <row r="46" spans="1:34" s="3" customFormat="1" ht="15" customHeight="1" x14ac:dyDescent="0.3">
      <c r="A46" s="17" t="s">
        <v>110</v>
      </c>
      <c r="B46" s="17" t="s">
        <v>270</v>
      </c>
      <c r="C46" s="17" t="s">
        <v>269</v>
      </c>
      <c r="D46" s="35"/>
      <c r="E46" s="35"/>
      <c r="F46" s="66"/>
      <c r="G46" s="17" t="s">
        <v>270</v>
      </c>
      <c r="H46" s="35"/>
      <c r="I46" s="35"/>
      <c r="J46" s="66"/>
      <c r="K46" s="35"/>
      <c r="L46" s="35"/>
      <c r="M46" s="66"/>
      <c r="N46" s="17" t="s">
        <v>270</v>
      </c>
      <c r="O46" s="35"/>
      <c r="P46" s="35"/>
      <c r="Q46" s="66"/>
      <c r="R46" s="35">
        <f>$D$78*83</f>
        <v>124.5</v>
      </c>
      <c r="S46" s="35">
        <v>83</v>
      </c>
      <c r="T46" s="66">
        <f>S46/R46</f>
        <v>0.66666666666666663</v>
      </c>
      <c r="U46" s="17"/>
      <c r="V46" s="35"/>
      <c r="W46" s="35"/>
      <c r="X46" s="66"/>
      <c r="Y46" s="17"/>
      <c r="Z46" s="17"/>
      <c r="AA46" s="11"/>
      <c r="AB46" s="66"/>
      <c r="AC46" s="11"/>
      <c r="AD46" s="11"/>
      <c r="AE46" s="66"/>
      <c r="AF46" s="11"/>
      <c r="AG46" s="11"/>
      <c r="AH46" s="66"/>
    </row>
    <row r="47" spans="1:34" s="3" customFormat="1" x14ac:dyDescent="0.3">
      <c r="A47" s="17" t="s">
        <v>80</v>
      </c>
      <c r="B47" s="17" t="s">
        <v>15</v>
      </c>
      <c r="C47" s="17" t="s">
        <v>21</v>
      </c>
      <c r="D47" s="35"/>
      <c r="E47" s="35"/>
      <c r="F47" s="66"/>
      <c r="G47" s="17" t="s">
        <v>15</v>
      </c>
      <c r="H47" s="35"/>
      <c r="I47" s="35"/>
      <c r="J47" s="66"/>
      <c r="K47" s="35"/>
      <c r="L47" s="35"/>
      <c r="M47" s="66"/>
      <c r="N47" s="17" t="s">
        <v>15</v>
      </c>
      <c r="O47" s="35"/>
      <c r="P47" s="35"/>
      <c r="Q47" s="66"/>
      <c r="R47" s="35"/>
      <c r="S47" s="35"/>
      <c r="T47" s="66"/>
      <c r="U47" s="17" t="s">
        <v>15</v>
      </c>
      <c r="V47" s="35"/>
      <c r="W47" s="35"/>
      <c r="X47" s="66"/>
      <c r="Y47" s="17" t="s">
        <v>15</v>
      </c>
      <c r="Z47" s="17">
        <v>300</v>
      </c>
      <c r="AA47" s="11">
        <v>15</v>
      </c>
      <c r="AB47" s="66">
        <f t="shared" ref="AB47:AB53" si="12">AA47/Z47</f>
        <v>0.05</v>
      </c>
      <c r="AC47" s="11">
        <v>3200</v>
      </c>
      <c r="AD47" s="11">
        <v>130</v>
      </c>
      <c r="AE47" s="66">
        <f>AD47/AC47</f>
        <v>4.0625000000000001E-2</v>
      </c>
      <c r="AF47" s="11">
        <v>1500</v>
      </c>
      <c r="AG47" s="11">
        <v>50</v>
      </c>
      <c r="AH47" s="66">
        <f>AG47/AF47</f>
        <v>3.3333333333333333E-2</v>
      </c>
    </row>
    <row r="48" spans="1:34" s="3" customFormat="1" ht="15" customHeight="1" x14ac:dyDescent="0.3">
      <c r="A48" s="17" t="s">
        <v>95</v>
      </c>
      <c r="B48" s="17" t="s">
        <v>187</v>
      </c>
      <c r="C48" s="17" t="s">
        <v>151</v>
      </c>
      <c r="D48" s="35">
        <f>$D$87*2000</f>
        <v>18000</v>
      </c>
      <c r="E48" s="35">
        <v>760</v>
      </c>
      <c r="F48" s="66">
        <f>E48/D48</f>
        <v>4.2222222222222223E-2</v>
      </c>
      <c r="G48" s="17" t="s">
        <v>187</v>
      </c>
      <c r="H48" s="35"/>
      <c r="I48" s="35"/>
      <c r="J48" s="66"/>
      <c r="K48" s="35"/>
      <c r="L48" s="35"/>
      <c r="M48" s="66"/>
      <c r="N48" s="17" t="s">
        <v>187</v>
      </c>
      <c r="O48" s="35"/>
      <c r="P48" s="35"/>
      <c r="Q48" s="66"/>
      <c r="R48" s="35"/>
      <c r="S48" s="35"/>
      <c r="T48" s="66"/>
      <c r="U48" s="17" t="s">
        <v>187</v>
      </c>
      <c r="V48" s="35">
        <f>$D$87*1000</f>
        <v>9000</v>
      </c>
      <c r="W48" s="35">
        <v>1000</v>
      </c>
      <c r="X48" s="66">
        <f t="shared" ref="X48:X53" si="13">W48/V48</f>
        <v>0.1111111111111111</v>
      </c>
      <c r="Y48" s="17" t="s">
        <v>187</v>
      </c>
      <c r="Z48" s="17">
        <f>$D$87*600</f>
        <v>5400</v>
      </c>
      <c r="AA48" s="11">
        <v>450</v>
      </c>
      <c r="AB48" s="66">
        <f t="shared" si="12"/>
        <v>8.3333333333333329E-2</v>
      </c>
      <c r="AC48" s="11"/>
      <c r="AD48" s="11"/>
      <c r="AE48" s="66"/>
      <c r="AF48" s="11"/>
      <c r="AG48" s="11"/>
      <c r="AH48" s="66"/>
    </row>
    <row r="49" spans="1:39" s="3" customFormat="1" ht="15" customHeight="1" x14ac:dyDescent="0.3">
      <c r="A49" s="17" t="s">
        <v>280</v>
      </c>
      <c r="B49" s="93" t="s">
        <v>108</v>
      </c>
      <c r="C49" s="17" t="s">
        <v>264</v>
      </c>
      <c r="D49" s="35"/>
      <c r="E49" s="35">
        <v>30700</v>
      </c>
      <c r="F49" s="66"/>
      <c r="G49" s="17" t="s">
        <v>20</v>
      </c>
      <c r="H49" s="35"/>
      <c r="I49" s="35"/>
      <c r="J49" s="66"/>
      <c r="K49" s="35"/>
      <c r="L49" s="35"/>
      <c r="M49" s="66"/>
      <c r="N49" s="17" t="s">
        <v>20</v>
      </c>
      <c r="O49" s="35"/>
      <c r="P49" s="35"/>
      <c r="Q49" s="66"/>
      <c r="R49" s="35"/>
      <c r="S49" s="35"/>
      <c r="T49" s="66"/>
      <c r="U49" s="17" t="s">
        <v>20</v>
      </c>
      <c r="V49" s="35">
        <v>3000</v>
      </c>
      <c r="W49" s="35">
        <v>9000</v>
      </c>
      <c r="X49" s="66">
        <f t="shared" si="13"/>
        <v>3</v>
      </c>
      <c r="Y49" s="17" t="s">
        <v>20</v>
      </c>
      <c r="Z49" s="17">
        <f>2500+4050</f>
        <v>6550</v>
      </c>
      <c r="AA49" s="11">
        <f>7500+12150</f>
        <v>19650</v>
      </c>
      <c r="AB49" s="66">
        <f t="shared" si="12"/>
        <v>3</v>
      </c>
      <c r="AC49" s="11">
        <f>4500+5000</f>
        <v>9500</v>
      </c>
      <c r="AD49" s="11">
        <f>13500+15000</f>
        <v>28500</v>
      </c>
      <c r="AE49" s="66">
        <f>AD49/AC49</f>
        <v>3</v>
      </c>
      <c r="AF49" s="11">
        <f>4000+3000</f>
        <v>7000</v>
      </c>
      <c r="AG49" s="11">
        <f>12000+9000</f>
        <v>21000</v>
      </c>
      <c r="AH49" s="66">
        <f>AG49/AF49</f>
        <v>3</v>
      </c>
    </row>
    <row r="50" spans="1:39" s="3" customFormat="1" ht="15" customHeight="1" x14ac:dyDescent="0.3">
      <c r="A50" s="17" t="s">
        <v>17</v>
      </c>
      <c r="B50" s="17" t="s">
        <v>15</v>
      </c>
      <c r="C50" s="17" t="s">
        <v>21</v>
      </c>
      <c r="D50" s="35">
        <f>$D$65*252000</f>
        <v>1638000</v>
      </c>
      <c r="E50" s="35">
        <v>23980</v>
      </c>
      <c r="F50" s="66">
        <f>E50/D50</f>
        <v>1.4639804639804639E-2</v>
      </c>
      <c r="G50" s="17" t="s">
        <v>15</v>
      </c>
      <c r="H50" s="35">
        <f>$D$65*300000</f>
        <v>1950000</v>
      </c>
      <c r="I50" s="35">
        <v>33333</v>
      </c>
      <c r="J50" s="66">
        <f>I50/H50</f>
        <v>1.7093846153846154E-2</v>
      </c>
      <c r="K50" s="35">
        <f>$D$65*375000</f>
        <v>2437500</v>
      </c>
      <c r="L50" s="35">
        <v>41666</v>
      </c>
      <c r="M50" s="66">
        <f>L50/K50</f>
        <v>1.7093743589743589E-2</v>
      </c>
      <c r="N50" s="93" t="s">
        <v>15</v>
      </c>
      <c r="O50" s="35">
        <f>$D$65*320000</f>
        <v>2080000</v>
      </c>
      <c r="P50" s="35">
        <v>28400</v>
      </c>
      <c r="Q50" s="66">
        <f>P50/O50</f>
        <v>1.3653846153846154E-2</v>
      </c>
      <c r="R50" s="35">
        <f>$D$65*150000</f>
        <v>975000</v>
      </c>
      <c r="S50" s="35">
        <v>14208</v>
      </c>
      <c r="T50" s="66">
        <f>S50/R50</f>
        <v>1.4572307692307692E-2</v>
      </c>
      <c r="U50" s="93" t="s">
        <v>64</v>
      </c>
      <c r="V50" s="35">
        <v>20000</v>
      </c>
      <c r="W50" s="35">
        <v>30000</v>
      </c>
      <c r="X50" s="66">
        <f t="shared" si="13"/>
        <v>1.5</v>
      </c>
      <c r="Y50" s="17" t="s">
        <v>15</v>
      </c>
      <c r="Z50" s="17">
        <v>209365</v>
      </c>
      <c r="AA50" s="11">
        <v>5234</v>
      </c>
      <c r="AB50" s="66">
        <f t="shared" si="12"/>
        <v>2.4999402956559121E-2</v>
      </c>
      <c r="AC50" s="11">
        <v>1680000</v>
      </c>
      <c r="AD50" s="11">
        <v>28000</v>
      </c>
      <c r="AE50" s="66">
        <f>AD50/AC50</f>
        <v>1.6666666666666666E-2</v>
      </c>
      <c r="AF50" s="11">
        <v>1078000</v>
      </c>
      <c r="AG50" s="11">
        <v>26950</v>
      </c>
      <c r="AH50" s="66">
        <f>AG50/AF50</f>
        <v>2.5000000000000001E-2</v>
      </c>
    </row>
    <row r="51" spans="1:39" s="3" customFormat="1" ht="15" customHeight="1" x14ac:dyDescent="0.3">
      <c r="A51" s="17" t="s">
        <v>18</v>
      </c>
      <c r="B51" s="93" t="s">
        <v>15</v>
      </c>
      <c r="C51" s="17" t="s">
        <v>21</v>
      </c>
      <c r="D51" s="35">
        <f>$D$65*125000</f>
        <v>812500</v>
      </c>
      <c r="E51" s="35">
        <v>8750</v>
      </c>
      <c r="F51" s="66">
        <f>E51/D51</f>
        <v>1.0769230769230769E-2</v>
      </c>
      <c r="G51" s="93" t="s">
        <v>102</v>
      </c>
      <c r="H51" s="35">
        <f>15000</f>
        <v>15000</v>
      </c>
      <c r="I51" s="35">
        <v>22500</v>
      </c>
      <c r="J51" s="66">
        <f>I51/H51</f>
        <v>1.5</v>
      </c>
      <c r="K51" s="35">
        <v>18000</v>
      </c>
      <c r="L51" s="35">
        <v>18000</v>
      </c>
      <c r="M51" s="66">
        <f>L51/K51</f>
        <v>1</v>
      </c>
      <c r="N51" s="93" t="s">
        <v>15</v>
      </c>
      <c r="O51" s="35">
        <f>$D$65*150000</f>
        <v>975000</v>
      </c>
      <c r="P51" s="35">
        <v>16666</v>
      </c>
      <c r="Q51" s="66">
        <f>P51/O51</f>
        <v>1.7093333333333332E-2</v>
      </c>
      <c r="R51" s="35">
        <f>$D$65*84000</f>
        <v>546000</v>
      </c>
      <c r="S51" s="35">
        <v>8960</v>
      </c>
      <c r="T51" s="66">
        <f>S51/R51</f>
        <v>1.641025641025641E-2</v>
      </c>
      <c r="U51" s="93" t="s">
        <v>102</v>
      </c>
      <c r="V51" s="35">
        <v>10000</v>
      </c>
      <c r="W51" s="35">
        <v>10000</v>
      </c>
      <c r="X51" s="66">
        <f t="shared" si="13"/>
        <v>1</v>
      </c>
      <c r="Y51" s="17" t="s">
        <v>15</v>
      </c>
      <c r="Z51" s="17">
        <v>812500</v>
      </c>
      <c r="AA51" s="11">
        <v>16919</v>
      </c>
      <c r="AB51" s="66">
        <f t="shared" si="12"/>
        <v>2.0823384615384615E-2</v>
      </c>
      <c r="AC51" s="11">
        <v>84000</v>
      </c>
      <c r="AD51" s="11">
        <v>1050</v>
      </c>
      <c r="AE51" s="66">
        <f>AD51/AC51</f>
        <v>1.2500000000000001E-2</v>
      </c>
      <c r="AF51" s="11">
        <v>72000</v>
      </c>
      <c r="AG51" s="11">
        <v>1200</v>
      </c>
      <c r="AH51" s="66">
        <f>AG51/AF51</f>
        <v>1.6666666666666666E-2</v>
      </c>
    </row>
    <row r="52" spans="1:39" s="3" customFormat="1" ht="15" customHeight="1" x14ac:dyDescent="0.3">
      <c r="A52" s="17" t="s">
        <v>61</v>
      </c>
      <c r="B52" s="17" t="s">
        <v>270</v>
      </c>
      <c r="C52" s="17" t="s">
        <v>287</v>
      </c>
      <c r="D52" s="35"/>
      <c r="E52" s="35"/>
      <c r="F52" s="66"/>
      <c r="G52" s="17" t="s">
        <v>270</v>
      </c>
      <c r="H52" s="35"/>
      <c r="I52" s="35"/>
      <c r="J52" s="66"/>
      <c r="K52" s="35"/>
      <c r="L52" s="35"/>
      <c r="M52" s="66"/>
      <c r="N52" s="17" t="s">
        <v>270</v>
      </c>
      <c r="O52" s="35"/>
      <c r="P52" s="35"/>
      <c r="Q52" s="66"/>
      <c r="R52" s="35"/>
      <c r="S52" s="35"/>
      <c r="T52" s="66"/>
      <c r="U52" s="17" t="s">
        <v>270</v>
      </c>
      <c r="V52" s="35">
        <f>1000*D109</f>
        <v>884</v>
      </c>
      <c r="W52" s="35">
        <v>6000</v>
      </c>
      <c r="X52" s="66">
        <f t="shared" si="13"/>
        <v>6.7873303167420813</v>
      </c>
      <c r="Y52" s="17" t="s">
        <v>270</v>
      </c>
      <c r="Z52" s="17">
        <f>1800*D109</f>
        <v>1591.2</v>
      </c>
      <c r="AA52" s="11">
        <v>8280</v>
      </c>
      <c r="AB52" s="66">
        <f t="shared" si="12"/>
        <v>5.2036199095022626</v>
      </c>
      <c r="AC52" s="11">
        <f>800*D109</f>
        <v>707.2</v>
      </c>
      <c r="AD52" s="11">
        <v>3200</v>
      </c>
      <c r="AE52" s="66">
        <f>AD52/AC52</f>
        <v>4.5248868778280542</v>
      </c>
      <c r="AF52" s="11">
        <f>200*D109*2</f>
        <v>353.6</v>
      </c>
      <c r="AG52" s="11">
        <v>1400</v>
      </c>
      <c r="AH52" s="66">
        <f>AG52/AF52</f>
        <v>3.9592760180995472</v>
      </c>
    </row>
    <row r="53" spans="1:39" s="3" customFormat="1" ht="15" customHeight="1" x14ac:dyDescent="0.3">
      <c r="A53" s="17" t="s">
        <v>70</v>
      </c>
      <c r="B53" s="36" t="s">
        <v>20</v>
      </c>
      <c r="C53" s="17" t="s">
        <v>266</v>
      </c>
      <c r="D53" s="35">
        <v>12000</v>
      </c>
      <c r="E53" s="35">
        <v>80</v>
      </c>
      <c r="F53" s="66"/>
      <c r="G53" s="17" t="s">
        <v>15</v>
      </c>
      <c r="H53" s="35">
        <v>11200</v>
      </c>
      <c r="I53" s="35">
        <v>500</v>
      </c>
      <c r="J53" s="66">
        <f>I53/H53</f>
        <v>4.4642857142857144E-2</v>
      </c>
      <c r="K53" s="35">
        <v>11200</v>
      </c>
      <c r="L53" s="35">
        <v>500</v>
      </c>
      <c r="M53" s="66">
        <f>L53/K53</f>
        <v>4.4642857142857144E-2</v>
      </c>
      <c r="N53" s="17" t="s">
        <v>15</v>
      </c>
      <c r="O53" s="35">
        <v>11200</v>
      </c>
      <c r="P53" s="35">
        <v>140</v>
      </c>
      <c r="Q53" s="66">
        <f>P53/O53</f>
        <v>1.2500000000000001E-2</v>
      </c>
      <c r="R53" s="35">
        <v>8960</v>
      </c>
      <c r="S53" s="35">
        <v>96</v>
      </c>
      <c r="T53" s="66">
        <f>S53/R53</f>
        <v>1.0714285714285714E-2</v>
      </c>
      <c r="U53" s="17" t="s">
        <v>15</v>
      </c>
      <c r="V53" s="35">
        <v>480</v>
      </c>
      <c r="W53" s="35">
        <v>50</v>
      </c>
      <c r="X53" s="66">
        <f t="shared" si="13"/>
        <v>0.10416666666666667</v>
      </c>
      <c r="Y53" s="17" t="s">
        <v>15</v>
      </c>
      <c r="Z53" s="17">
        <v>3150</v>
      </c>
      <c r="AA53" s="11">
        <v>315</v>
      </c>
      <c r="AB53" s="66">
        <f t="shared" si="12"/>
        <v>0.1</v>
      </c>
      <c r="AC53" s="11">
        <v>40000</v>
      </c>
      <c r="AD53" s="11">
        <v>4000</v>
      </c>
      <c r="AE53" s="66">
        <f>AD53/AC53</f>
        <v>0.1</v>
      </c>
      <c r="AF53" s="11"/>
      <c r="AG53" s="11"/>
      <c r="AH53" s="66"/>
    </row>
    <row r="54" spans="1:39" s="3" customFormat="1" ht="15" customHeight="1" x14ac:dyDescent="0.3">
      <c r="D54" s="35"/>
      <c r="E54" s="35">
        <v>89907</v>
      </c>
      <c r="F54" s="35"/>
      <c r="H54" s="35"/>
      <c r="I54" s="35">
        <v>100485</v>
      </c>
      <c r="J54" s="35"/>
      <c r="K54" s="35"/>
      <c r="L54" s="35">
        <v>100945</v>
      </c>
      <c r="M54" s="35"/>
      <c r="O54" s="35"/>
      <c r="P54" s="35">
        <v>86413</v>
      </c>
      <c r="Q54" s="35"/>
      <c r="R54" s="35"/>
      <c r="S54" s="35">
        <v>55918</v>
      </c>
      <c r="T54" s="35"/>
      <c r="W54" s="35">
        <f>93210+18700</f>
        <v>111910</v>
      </c>
      <c r="X54" s="35"/>
      <c r="AA54" s="11">
        <f>94679+23445</f>
        <v>118124</v>
      </c>
      <c r="AB54" s="11"/>
      <c r="AC54" s="11"/>
      <c r="AD54" s="11">
        <f>121480+29160</f>
        <v>150640</v>
      </c>
      <c r="AE54" s="11"/>
      <c r="AF54" s="11"/>
      <c r="AG54" s="11">
        <f>78770+18650</f>
        <v>97420</v>
      </c>
      <c r="AK54" s="38"/>
      <c r="AL54" s="38"/>
      <c r="AM54" s="38"/>
    </row>
    <row r="55" spans="1:39" s="3" customFormat="1" ht="15" customHeight="1" x14ac:dyDescent="0.3">
      <c r="A55" s="5"/>
      <c r="B55" s="17"/>
      <c r="C55" s="17"/>
      <c r="E55" s="38"/>
      <c r="F55" s="38"/>
      <c r="G55" s="17"/>
      <c r="I55" s="38"/>
      <c r="J55" s="38"/>
      <c r="K55" s="38"/>
      <c r="L55" s="38"/>
      <c r="M55" s="38"/>
      <c r="N55" s="17"/>
      <c r="R55" s="83"/>
      <c r="S55" s="84"/>
      <c r="T55" s="84"/>
      <c r="U55" s="17"/>
      <c r="Y55" s="17"/>
    </row>
    <row r="56" spans="1:39" s="3" customFormat="1" ht="15" customHeight="1" x14ac:dyDescent="0.3">
      <c r="A56" s="5"/>
      <c r="B56" s="17"/>
      <c r="C56" s="17"/>
      <c r="E56" s="11"/>
      <c r="F56" s="11"/>
      <c r="G56" s="17"/>
      <c r="I56" s="11"/>
      <c r="J56" s="11"/>
      <c r="N56" s="17"/>
      <c r="P56"/>
      <c r="Q56"/>
      <c r="R56" s="84"/>
      <c r="S56" s="85"/>
      <c r="T56" s="85"/>
      <c r="U56" s="17"/>
      <c r="Y56" s="17"/>
    </row>
    <row r="57" spans="1:39" s="3" customFormat="1" ht="15" customHeight="1" x14ac:dyDescent="0.3">
      <c r="A57" s="16" t="s">
        <v>5</v>
      </c>
      <c r="B57" s="22"/>
      <c r="C57" s="22"/>
      <c r="E57" s="11"/>
      <c r="F57" s="11"/>
      <c r="G57" s="22"/>
      <c r="N57" s="22"/>
      <c r="O57" s="23"/>
      <c r="S57" s="85"/>
      <c r="T57" s="85"/>
      <c r="U57" s="39"/>
      <c r="Y57" s="39"/>
    </row>
    <row r="58" spans="1:39" s="3" customFormat="1" ht="15" x14ac:dyDescent="0.3">
      <c r="A58" s="17"/>
      <c r="B58" s="21"/>
      <c r="C58" s="21"/>
      <c r="E58" s="11"/>
      <c r="F58" s="11"/>
      <c r="G58" s="21"/>
      <c r="L58" s="11"/>
      <c r="M58" s="11"/>
      <c r="N58" s="21"/>
      <c r="O58" s="23"/>
      <c r="S58" s="85"/>
      <c r="T58" s="85"/>
      <c r="U58" s="21"/>
      <c r="Y58" s="21"/>
    </row>
    <row r="59" spans="1:39" s="3" customFormat="1" ht="15" x14ac:dyDescent="0.3">
      <c r="A59" s="17"/>
      <c r="B59" s="21"/>
      <c r="C59" s="21"/>
      <c r="E59" s="2"/>
      <c r="F59" s="2"/>
      <c r="G59" s="21"/>
      <c r="I59" s="2"/>
      <c r="J59" s="2"/>
      <c r="K59" s="2"/>
      <c r="N59" s="21"/>
      <c r="O59" s="23"/>
      <c r="U59" s="21"/>
      <c r="Y59" s="21"/>
    </row>
    <row r="60" spans="1:39" ht="15" x14ac:dyDescent="0.3">
      <c r="A60" s="29" t="s">
        <v>22</v>
      </c>
      <c r="B60"/>
      <c r="C60"/>
      <c r="G60"/>
      <c r="N60"/>
      <c r="O60" s="23"/>
      <c r="U60" s="3"/>
      <c r="Y60" s="3"/>
    </row>
    <row r="61" spans="1:39" ht="15" x14ac:dyDescent="0.3">
      <c r="A61" s="29"/>
      <c r="B61"/>
      <c r="C61"/>
      <c r="G61"/>
      <c r="N61"/>
      <c r="O61" s="23"/>
      <c r="U61" s="3"/>
      <c r="Y61" s="3"/>
    </row>
    <row r="62" spans="1:39" ht="15" x14ac:dyDescent="0.3">
      <c r="A62" s="3" t="s">
        <v>23</v>
      </c>
      <c r="B62" s="3">
        <v>1</v>
      </c>
      <c r="C62" s="4" t="s">
        <v>24</v>
      </c>
      <c r="D62" s="6">
        <v>53.5</v>
      </c>
      <c r="E62" s="4" t="s">
        <v>25</v>
      </c>
      <c r="G62" s="23"/>
      <c r="H62" s="23"/>
      <c r="J62" s="3"/>
      <c r="K62" s="3"/>
      <c r="M62" s="3"/>
      <c r="N62" s="23"/>
      <c r="O62" s="3"/>
      <c r="P62" s="4"/>
      <c r="Q62" s="40"/>
      <c r="U62" s="3"/>
      <c r="Y62" s="3"/>
    </row>
    <row r="63" spans="1:39" s="3" customFormat="1" ht="15" x14ac:dyDescent="0.3">
      <c r="A63" s="17" t="s">
        <v>132</v>
      </c>
      <c r="B63" s="3">
        <v>1</v>
      </c>
      <c r="C63" s="4" t="s">
        <v>131</v>
      </c>
      <c r="D63" s="6">
        <v>108</v>
      </c>
      <c r="E63" s="4" t="s">
        <v>29</v>
      </c>
      <c r="G63" s="38"/>
      <c r="H63" s="38"/>
      <c r="L63" s="23"/>
      <c r="M63" s="21"/>
      <c r="N63" s="38"/>
      <c r="O63" s="21"/>
      <c r="P63" s="4"/>
      <c r="Q63" s="40"/>
    </row>
    <row r="64" spans="1:39" s="3" customFormat="1" x14ac:dyDescent="0.3">
      <c r="A64" s="17" t="s">
        <v>132</v>
      </c>
      <c r="B64" s="3">
        <v>1</v>
      </c>
      <c r="C64" s="4" t="s">
        <v>133</v>
      </c>
      <c r="D64" s="6">
        <v>32.5</v>
      </c>
      <c r="E64" s="4" t="s">
        <v>29</v>
      </c>
      <c r="J64"/>
      <c r="K64"/>
      <c r="M64" s="21"/>
      <c r="O64" s="21"/>
      <c r="P64" s="4"/>
      <c r="Q64" s="40"/>
    </row>
    <row r="65" spans="1:25" x14ac:dyDescent="0.3">
      <c r="B65" s="3">
        <v>1</v>
      </c>
      <c r="C65" s="4" t="s">
        <v>28</v>
      </c>
      <c r="D65" s="6">
        <v>6.5</v>
      </c>
      <c r="E65" s="40" t="s">
        <v>29</v>
      </c>
      <c r="F65" s="4"/>
      <c r="G65" s="6"/>
      <c r="H65" s="6"/>
      <c r="I65" s="4"/>
      <c r="N65" s="6"/>
      <c r="P65" s="40"/>
      <c r="Q65" s="40"/>
      <c r="S65" s="21"/>
      <c r="U65" s="3"/>
      <c r="Y65" s="3"/>
    </row>
    <row r="66" spans="1:25" x14ac:dyDescent="0.3">
      <c r="B66" s="3"/>
      <c r="C66" s="3"/>
      <c r="D66" s="4"/>
      <c r="E66" s="6"/>
      <c r="F66" s="3"/>
      <c r="G66" s="4"/>
      <c r="H66" s="6"/>
      <c r="I66" s="6"/>
      <c r="J66" s="4"/>
      <c r="L66" s="67"/>
      <c r="M66" s="67"/>
      <c r="N66" s="4"/>
      <c r="O66" s="67"/>
      <c r="P66" s="67"/>
      <c r="Q66" s="3"/>
      <c r="R66" s="86"/>
      <c r="S66" s="86"/>
      <c r="T66" s="21"/>
      <c r="U66" s="3"/>
      <c r="Y66" s="3"/>
    </row>
    <row r="67" spans="1:25" x14ac:dyDescent="0.3">
      <c r="A67" s="17"/>
      <c r="B67" s="17">
        <v>1</v>
      </c>
      <c r="C67" s="4" t="s">
        <v>131</v>
      </c>
      <c r="D67" s="6">
        <v>108</v>
      </c>
      <c r="E67" s="4" t="s">
        <v>29</v>
      </c>
      <c r="G67"/>
      <c r="H67" s="4"/>
      <c r="I67" s="6"/>
      <c r="J67" s="6"/>
      <c r="K67" s="4"/>
      <c r="M67" s="67"/>
      <c r="N67"/>
      <c r="O67" s="67"/>
      <c r="P67" s="67"/>
      <c r="Q67" s="67"/>
      <c r="R67" s="86"/>
      <c r="S67" s="86"/>
      <c r="T67" s="86"/>
    </row>
    <row r="68" spans="1:25" x14ac:dyDescent="0.3">
      <c r="A68" s="17"/>
      <c r="B68" s="17">
        <v>1</v>
      </c>
      <c r="C68" s="4" t="s">
        <v>133</v>
      </c>
      <c r="D68" s="6">
        <v>32.5</v>
      </c>
      <c r="E68" s="4" t="s">
        <v>29</v>
      </c>
      <c r="F68" s="3"/>
      <c r="G68" s="3"/>
      <c r="H68" s="4"/>
      <c r="I68" s="6"/>
      <c r="J68" s="6"/>
      <c r="K68" s="4"/>
      <c r="M68" s="67"/>
      <c r="N68" s="3"/>
      <c r="O68" s="67"/>
      <c r="P68" s="67"/>
      <c r="Q68" s="67"/>
      <c r="R68" s="86"/>
      <c r="S68" s="86"/>
      <c r="T68" s="86"/>
    </row>
    <row r="69" spans="1:25" x14ac:dyDescent="0.3">
      <c r="B69" s="17">
        <v>1</v>
      </c>
      <c r="C69" s="4" t="s">
        <v>217</v>
      </c>
      <c r="D69" s="6">
        <v>112</v>
      </c>
      <c r="E69" s="4" t="s">
        <v>218</v>
      </c>
      <c r="G69"/>
      <c r="H69" s="4"/>
      <c r="I69" s="6"/>
      <c r="J69" s="6"/>
      <c r="K69" s="4"/>
      <c r="M69" s="67"/>
      <c r="N69"/>
      <c r="O69" s="67"/>
      <c r="P69" s="67"/>
      <c r="Q69" s="67"/>
      <c r="R69" s="86"/>
      <c r="S69" s="86"/>
      <c r="T69" s="86"/>
    </row>
    <row r="70" spans="1:25" ht="14.4" customHeight="1" x14ac:dyDescent="0.3">
      <c r="A70" s="17"/>
      <c r="B70" s="108">
        <v>1</v>
      </c>
      <c r="C70" s="109" t="s">
        <v>219</v>
      </c>
      <c r="D70" s="110">
        <v>130</v>
      </c>
      <c r="E70" s="111" t="s">
        <v>29</v>
      </c>
      <c r="G70"/>
      <c r="H70" s="4"/>
      <c r="I70" s="6"/>
      <c r="J70" s="6"/>
      <c r="K70" s="4"/>
      <c r="M70" s="67"/>
      <c r="N70"/>
      <c r="O70" s="67"/>
      <c r="P70" s="67"/>
      <c r="Q70" s="67"/>
      <c r="R70" s="86"/>
      <c r="S70" s="86"/>
      <c r="T70" s="86"/>
    </row>
    <row r="71" spans="1:25" ht="14.4" customHeight="1" x14ac:dyDescent="0.3">
      <c r="A71" s="17"/>
      <c r="B71" s="108"/>
      <c r="C71" s="109"/>
      <c r="D71" s="110"/>
      <c r="E71" s="111"/>
      <c r="F71" s="3"/>
      <c r="G71" s="3"/>
      <c r="H71" s="4"/>
      <c r="I71" s="6"/>
      <c r="J71" s="6"/>
      <c r="K71" s="4"/>
      <c r="M71" s="67"/>
      <c r="N71" s="3"/>
      <c r="O71" s="67"/>
      <c r="P71" s="67"/>
      <c r="Q71" s="67"/>
      <c r="R71" s="86"/>
      <c r="S71" s="86"/>
      <c r="T71" s="86"/>
    </row>
    <row r="72" spans="1:25" x14ac:dyDescent="0.3">
      <c r="A72" s="17"/>
      <c r="B72" s="18">
        <v>1</v>
      </c>
      <c r="C72" s="4" t="s">
        <v>220</v>
      </c>
      <c r="D72" s="6">
        <v>260</v>
      </c>
      <c r="E72" s="4" t="s">
        <v>29</v>
      </c>
      <c r="F72" s="3"/>
      <c r="G72" s="3"/>
      <c r="H72" s="4"/>
      <c r="I72" s="6"/>
      <c r="J72" s="6"/>
      <c r="K72" s="4"/>
      <c r="M72" s="67"/>
      <c r="N72" s="3"/>
      <c r="O72" s="67"/>
      <c r="P72" s="67"/>
      <c r="Q72" s="67"/>
      <c r="R72" s="86"/>
      <c r="S72" s="86"/>
      <c r="T72" s="86"/>
    </row>
    <row r="73" spans="1:25" x14ac:dyDescent="0.3">
      <c r="A73" s="17"/>
      <c r="B73" s="18">
        <v>1</v>
      </c>
      <c r="C73" s="4" t="s">
        <v>284</v>
      </c>
      <c r="D73" s="6">
        <f>D70/D69</f>
        <v>1.1607142857142858</v>
      </c>
      <c r="E73" s="4" t="s">
        <v>217</v>
      </c>
      <c r="F73" s="3"/>
      <c r="G73" s="3"/>
      <c r="H73" s="4"/>
      <c r="I73" s="6"/>
      <c r="J73" s="6"/>
      <c r="K73" s="4"/>
      <c r="M73" s="67"/>
      <c r="N73" s="3"/>
      <c r="O73" s="67"/>
      <c r="P73" s="67"/>
      <c r="Q73" s="67"/>
      <c r="R73" s="86"/>
      <c r="S73" s="86"/>
      <c r="T73" s="86"/>
    </row>
    <row r="74" spans="1:25" x14ac:dyDescent="0.3">
      <c r="A74" s="17"/>
      <c r="B74" s="18">
        <v>1</v>
      </c>
      <c r="C74" s="4" t="s">
        <v>220</v>
      </c>
      <c r="D74" s="6">
        <f>D72/D69</f>
        <v>2.3214285714285716</v>
      </c>
      <c r="E74" s="4" t="s">
        <v>217</v>
      </c>
      <c r="F74" s="3"/>
      <c r="G74" s="3"/>
      <c r="H74" s="4"/>
      <c r="I74" s="6"/>
      <c r="J74" s="6"/>
      <c r="K74" s="4"/>
      <c r="M74" s="67"/>
      <c r="N74" s="3"/>
      <c r="O74" s="67"/>
      <c r="P74" s="67"/>
      <c r="Q74" s="67"/>
      <c r="R74" s="86"/>
      <c r="S74" s="86"/>
      <c r="T74" s="86"/>
    </row>
    <row r="75" spans="1:25" x14ac:dyDescent="0.3">
      <c r="A75" s="3"/>
      <c r="B75" s="3"/>
      <c r="C75" s="3"/>
      <c r="D75" s="3"/>
      <c r="E75" s="3"/>
      <c r="F75" s="3"/>
      <c r="G75" s="3"/>
      <c r="H75" s="4"/>
      <c r="I75" s="6"/>
      <c r="J75" s="6"/>
      <c r="K75" s="4"/>
      <c r="M75" s="67"/>
      <c r="N75" s="3"/>
      <c r="O75" s="67"/>
      <c r="P75" s="67"/>
      <c r="Q75" s="67"/>
      <c r="R75" s="86"/>
      <c r="S75" s="86"/>
      <c r="T75" s="86"/>
    </row>
    <row r="76" spans="1:25" x14ac:dyDescent="0.3">
      <c r="A76" s="3" t="s">
        <v>226</v>
      </c>
      <c r="B76" s="3">
        <v>1</v>
      </c>
      <c r="C76" s="40" t="s">
        <v>227</v>
      </c>
      <c r="D76" s="3">
        <v>373.33</v>
      </c>
      <c r="E76" s="4" t="s">
        <v>29</v>
      </c>
      <c r="F76" s="3">
        <f>D76/D69</f>
        <v>3.3333035714285715</v>
      </c>
      <c r="G76" s="4" t="s">
        <v>217</v>
      </c>
      <c r="H76" s="4"/>
      <c r="I76" s="6"/>
      <c r="J76" s="6"/>
      <c r="K76" s="4"/>
      <c r="M76" s="67"/>
      <c r="N76" s="4"/>
      <c r="O76" s="67"/>
      <c r="P76" s="67"/>
      <c r="Q76" s="67"/>
      <c r="R76" s="86"/>
      <c r="S76" s="86"/>
      <c r="T76" s="86"/>
    </row>
    <row r="77" spans="1:25" x14ac:dyDescent="0.3">
      <c r="A77" s="3" t="s">
        <v>19</v>
      </c>
      <c r="B77" s="3">
        <v>1</v>
      </c>
      <c r="C77" s="40" t="s">
        <v>131</v>
      </c>
      <c r="D77" s="3">
        <v>0.5</v>
      </c>
      <c r="E77" s="40" t="s">
        <v>217</v>
      </c>
      <c r="F77" s="3"/>
      <c r="G77" s="3"/>
      <c r="H77" s="4"/>
      <c r="I77" s="6"/>
      <c r="J77" s="6"/>
      <c r="K77" s="4"/>
      <c r="M77" s="67"/>
      <c r="N77" s="3"/>
      <c r="O77" s="67"/>
      <c r="P77" s="67"/>
      <c r="Q77" s="67"/>
      <c r="R77" s="86"/>
      <c r="S77" s="86"/>
      <c r="T77" s="86"/>
    </row>
    <row r="78" spans="1:25" x14ac:dyDescent="0.3">
      <c r="A78" t="s">
        <v>110</v>
      </c>
      <c r="B78">
        <v>1</v>
      </c>
      <c r="C78" s="4" t="s">
        <v>228</v>
      </c>
      <c r="D78" s="6">
        <v>1.5</v>
      </c>
      <c r="E78" s="4" t="s">
        <v>217</v>
      </c>
      <c r="G78" s="4"/>
      <c r="H78" s="4"/>
      <c r="I78" s="6"/>
      <c r="J78" s="6"/>
      <c r="K78" s="4"/>
      <c r="M78" s="67"/>
      <c r="N78" s="4"/>
      <c r="O78" s="67"/>
      <c r="P78" s="67"/>
      <c r="Q78" s="67"/>
      <c r="R78" s="86"/>
      <c r="S78" s="86"/>
      <c r="T78" s="86"/>
    </row>
    <row r="79" spans="1:25" x14ac:dyDescent="0.3">
      <c r="A79" t="s">
        <v>7</v>
      </c>
      <c r="B79">
        <v>1</v>
      </c>
      <c r="C79" s="4" t="s">
        <v>228</v>
      </c>
      <c r="D79" s="6">
        <v>1.75</v>
      </c>
      <c r="E79" s="4" t="s">
        <v>217</v>
      </c>
      <c r="G79" s="4"/>
      <c r="H79" s="4"/>
      <c r="I79" s="6"/>
      <c r="J79" s="6"/>
      <c r="K79" s="4"/>
      <c r="M79" s="67"/>
      <c r="N79" s="4"/>
      <c r="O79" s="67"/>
      <c r="P79" s="67"/>
      <c r="Q79" s="67"/>
      <c r="R79" s="86"/>
      <c r="S79" s="86"/>
      <c r="T79" s="86"/>
    </row>
    <row r="80" spans="1:25" x14ac:dyDescent="0.3">
      <c r="A80" t="s">
        <v>229</v>
      </c>
      <c r="B80">
        <v>1</v>
      </c>
      <c r="C80" s="4" t="s">
        <v>228</v>
      </c>
      <c r="D80" s="6">
        <v>1.5</v>
      </c>
      <c r="E80" s="4" t="s">
        <v>217</v>
      </c>
      <c r="G80" s="4"/>
      <c r="H80" s="4"/>
      <c r="I80" s="6"/>
      <c r="J80" s="6"/>
      <c r="K80" s="4"/>
      <c r="M80" s="67"/>
      <c r="N80" s="4"/>
      <c r="O80" s="67"/>
      <c r="P80" s="67"/>
      <c r="Q80" s="67"/>
      <c r="R80" s="86"/>
      <c r="S80" s="86"/>
      <c r="T80" s="86"/>
    </row>
    <row r="81" spans="1:20" x14ac:dyDescent="0.3">
      <c r="A81" t="s">
        <v>9</v>
      </c>
      <c r="B81">
        <v>1</v>
      </c>
      <c r="C81" s="4" t="s">
        <v>227</v>
      </c>
      <c r="D81" s="6">
        <v>1.26</v>
      </c>
      <c r="E81" s="4" t="s">
        <v>217</v>
      </c>
      <c r="G81" s="4"/>
      <c r="H81" s="4"/>
      <c r="I81" s="6"/>
      <c r="J81" s="6"/>
      <c r="K81" s="4"/>
      <c r="M81" s="67"/>
      <c r="N81" s="4"/>
      <c r="O81" s="67"/>
      <c r="P81" s="67"/>
      <c r="Q81" s="67"/>
      <c r="R81" s="86"/>
      <c r="S81" s="86"/>
      <c r="T81" s="86"/>
    </row>
    <row r="82" spans="1:20" x14ac:dyDescent="0.3">
      <c r="A82" t="s">
        <v>230</v>
      </c>
      <c r="B82">
        <v>1</v>
      </c>
      <c r="C82" s="4" t="s">
        <v>231</v>
      </c>
      <c r="D82" s="6">
        <v>15.9</v>
      </c>
      <c r="E82" s="4" t="s">
        <v>217</v>
      </c>
      <c r="G82" s="4"/>
      <c r="H82" s="4"/>
      <c r="I82" s="6"/>
      <c r="J82" s="6"/>
      <c r="K82" s="4"/>
      <c r="M82" s="67"/>
      <c r="N82" s="4"/>
      <c r="O82" s="67"/>
      <c r="P82" s="67"/>
      <c r="Q82" s="67"/>
      <c r="R82" s="86"/>
      <c r="S82" s="86"/>
      <c r="T82" s="86"/>
    </row>
    <row r="83" spans="1:20" x14ac:dyDescent="0.3">
      <c r="A83" t="s">
        <v>93</v>
      </c>
      <c r="B83">
        <v>1</v>
      </c>
      <c r="C83" s="4" t="s">
        <v>223</v>
      </c>
      <c r="D83" s="6">
        <f>439.681/D69</f>
        <v>3.9257232142857141</v>
      </c>
      <c r="E83" s="4" t="s">
        <v>217</v>
      </c>
      <c r="G83" s="4"/>
      <c r="I83" s="6"/>
      <c r="J83" s="6"/>
      <c r="K83" s="4"/>
      <c r="M83" s="67"/>
      <c r="N83" s="4"/>
      <c r="O83" s="67"/>
      <c r="P83" s="67"/>
      <c r="Q83" s="67"/>
      <c r="R83" s="86"/>
      <c r="S83" s="86"/>
      <c r="T83" s="86"/>
    </row>
    <row r="84" spans="1:20" x14ac:dyDescent="0.3">
      <c r="A84" t="s">
        <v>4</v>
      </c>
      <c r="B84">
        <v>1</v>
      </c>
      <c r="C84" s="4" t="s">
        <v>223</v>
      </c>
      <c r="D84" s="6">
        <v>3</v>
      </c>
      <c r="E84" s="4" t="s">
        <v>217</v>
      </c>
      <c r="G84" s="4"/>
      <c r="M84" s="67"/>
      <c r="N84" s="4"/>
      <c r="O84" s="67"/>
      <c r="P84" s="67"/>
      <c r="Q84" s="67"/>
      <c r="R84" s="86"/>
      <c r="S84" s="86"/>
      <c r="T84" s="86"/>
    </row>
    <row r="85" spans="1:20" x14ac:dyDescent="0.3">
      <c r="A85" t="s">
        <v>232</v>
      </c>
      <c r="B85">
        <v>1</v>
      </c>
      <c r="C85" s="4" t="s">
        <v>223</v>
      </c>
      <c r="D85" s="6">
        <v>2.98</v>
      </c>
      <c r="E85" s="4" t="s">
        <v>217</v>
      </c>
      <c r="G85" s="4"/>
      <c r="M85" s="67"/>
      <c r="N85" s="4"/>
      <c r="O85" s="67"/>
      <c r="P85" s="67"/>
      <c r="Q85" s="67"/>
      <c r="R85" s="86"/>
      <c r="S85" s="86"/>
      <c r="T85" s="86"/>
    </row>
    <row r="86" spans="1:20" x14ac:dyDescent="0.3">
      <c r="A86" t="s">
        <v>11</v>
      </c>
      <c r="B86">
        <v>1</v>
      </c>
      <c r="C86" s="4" t="s">
        <v>233</v>
      </c>
      <c r="D86" s="6">
        <v>9</v>
      </c>
      <c r="E86" s="4" t="s">
        <v>234</v>
      </c>
      <c r="G86" s="4"/>
      <c r="M86" s="67"/>
      <c r="N86" s="4"/>
      <c r="O86" s="67"/>
      <c r="P86" s="67"/>
      <c r="Q86" s="67"/>
      <c r="R86" s="86"/>
      <c r="S86" s="86"/>
      <c r="T86" s="86"/>
    </row>
    <row r="87" spans="1:20" x14ac:dyDescent="0.3">
      <c r="A87" t="s">
        <v>235</v>
      </c>
      <c r="B87">
        <v>1</v>
      </c>
      <c r="C87" s="4" t="s">
        <v>236</v>
      </c>
      <c r="D87" s="6">
        <v>9</v>
      </c>
      <c r="E87" s="4" t="s">
        <v>234</v>
      </c>
      <c r="G87" s="4"/>
      <c r="M87" s="67"/>
      <c r="N87" s="4"/>
      <c r="O87" s="67"/>
      <c r="P87" s="67"/>
      <c r="Q87" s="67"/>
      <c r="R87" s="86"/>
      <c r="S87" s="86"/>
      <c r="T87" s="86"/>
    </row>
    <row r="88" spans="1:20" x14ac:dyDescent="0.3">
      <c r="A88" t="s">
        <v>237</v>
      </c>
      <c r="B88">
        <v>1</v>
      </c>
      <c r="C88" s="4" t="s">
        <v>228</v>
      </c>
      <c r="D88" s="6">
        <v>1.75</v>
      </c>
      <c r="E88" s="4" t="s">
        <v>217</v>
      </c>
      <c r="F88">
        <f>D88*D69</f>
        <v>196</v>
      </c>
      <c r="G88" s="4" t="s">
        <v>29</v>
      </c>
      <c r="M88" s="67"/>
      <c r="N88" s="4"/>
      <c r="O88" s="67"/>
      <c r="P88" s="67"/>
      <c r="Q88" s="67"/>
      <c r="R88" s="86"/>
      <c r="S88" s="86"/>
      <c r="T88" s="86"/>
    </row>
    <row r="89" spans="1:20" x14ac:dyDescent="0.3">
      <c r="A89" t="s">
        <v>237</v>
      </c>
      <c r="B89">
        <v>1</v>
      </c>
      <c r="C89" s="4" t="s">
        <v>227</v>
      </c>
      <c r="D89" s="6">
        <f>F89/D69</f>
        <v>1.5625</v>
      </c>
      <c r="E89" s="4" t="s">
        <v>217</v>
      </c>
      <c r="F89" s="6">
        <v>175</v>
      </c>
      <c r="G89" s="4" t="s">
        <v>29</v>
      </c>
      <c r="M89" s="67"/>
      <c r="N89" s="4"/>
      <c r="O89" s="67"/>
      <c r="P89" s="67"/>
      <c r="Q89" s="67"/>
      <c r="R89" s="86"/>
      <c r="S89" s="86"/>
      <c r="T89" s="86"/>
    </row>
    <row r="90" spans="1:20" x14ac:dyDescent="0.3">
      <c r="A90" t="s">
        <v>238</v>
      </c>
      <c r="B90">
        <v>1</v>
      </c>
      <c r="C90" s="4" t="s">
        <v>239</v>
      </c>
      <c r="D90" s="6">
        <v>0.15175</v>
      </c>
      <c r="E90" s="4" t="s">
        <v>217</v>
      </c>
      <c r="F90" s="6">
        <v>16.997</v>
      </c>
      <c r="G90" s="4" t="s">
        <v>29</v>
      </c>
      <c r="M90" s="67"/>
      <c r="N90" s="4"/>
      <c r="O90" s="67"/>
      <c r="P90" s="67"/>
      <c r="Q90" s="67"/>
      <c r="R90" s="86"/>
      <c r="S90" s="86"/>
      <c r="T90" s="86"/>
    </row>
    <row r="91" spans="1:20" x14ac:dyDescent="0.3">
      <c r="A91" t="s">
        <v>8</v>
      </c>
      <c r="B91">
        <v>1</v>
      </c>
      <c r="C91" s="4" t="s">
        <v>228</v>
      </c>
      <c r="D91" s="6">
        <v>1.5</v>
      </c>
      <c r="E91" s="4" t="s">
        <v>217</v>
      </c>
      <c r="G91" s="4"/>
      <c r="M91" s="67"/>
      <c r="N91" s="4"/>
      <c r="O91" s="67"/>
      <c r="P91" s="67"/>
      <c r="Q91" s="67"/>
      <c r="R91" s="86"/>
      <c r="S91" s="86"/>
      <c r="T91" s="86"/>
    </row>
    <row r="92" spans="1:20" x14ac:dyDescent="0.3">
      <c r="A92" t="s">
        <v>240</v>
      </c>
      <c r="B92">
        <v>1</v>
      </c>
      <c r="C92" s="4" t="s">
        <v>228</v>
      </c>
      <c r="D92" s="6">
        <v>1.625</v>
      </c>
      <c r="E92" s="4" t="s">
        <v>217</v>
      </c>
      <c r="G92" s="4"/>
      <c r="M92" s="67"/>
      <c r="N92" s="4"/>
      <c r="O92" s="67"/>
      <c r="P92" s="67"/>
      <c r="Q92" s="67"/>
      <c r="R92" s="86"/>
      <c r="S92" s="86"/>
      <c r="T92" s="86"/>
    </row>
    <row r="93" spans="1:20" x14ac:dyDescent="0.3">
      <c r="A93" t="s">
        <v>6</v>
      </c>
      <c r="B93">
        <v>1</v>
      </c>
      <c r="C93" s="4" t="s">
        <v>228</v>
      </c>
      <c r="D93" s="6">
        <v>1.5</v>
      </c>
      <c r="E93" s="4" t="s">
        <v>217</v>
      </c>
      <c r="F93">
        <f>D93*D69</f>
        <v>168</v>
      </c>
      <c r="G93" s="4" t="s">
        <v>29</v>
      </c>
      <c r="M93" s="67"/>
      <c r="N93" s="4"/>
      <c r="O93" s="67"/>
      <c r="P93" s="67"/>
      <c r="Q93" s="67"/>
      <c r="R93" s="86"/>
      <c r="S93" s="86"/>
      <c r="T93" s="86"/>
    </row>
    <row r="94" spans="1:20" x14ac:dyDescent="0.3">
      <c r="A94" t="s">
        <v>241</v>
      </c>
      <c r="B94">
        <v>1</v>
      </c>
      <c r="C94" s="4" t="s">
        <v>228</v>
      </c>
      <c r="D94" s="6">
        <v>1.5</v>
      </c>
      <c r="E94" s="4" t="s">
        <v>217</v>
      </c>
      <c r="G94" s="4"/>
      <c r="M94" s="67"/>
      <c r="N94" s="4"/>
      <c r="O94" s="67"/>
      <c r="P94" s="67"/>
      <c r="Q94" s="67"/>
      <c r="R94" s="86"/>
      <c r="S94" s="86"/>
      <c r="T94" s="86"/>
    </row>
    <row r="95" spans="1:20" x14ac:dyDescent="0.3">
      <c r="A95" t="s">
        <v>242</v>
      </c>
      <c r="B95">
        <v>1</v>
      </c>
      <c r="C95" s="4" t="s">
        <v>243</v>
      </c>
      <c r="D95" s="6">
        <v>18.559999999999999</v>
      </c>
      <c r="E95" s="4" t="s">
        <v>234</v>
      </c>
      <c r="G95" s="4"/>
      <c r="M95" s="67"/>
      <c r="N95" s="4"/>
      <c r="O95" s="67"/>
      <c r="P95" s="67"/>
      <c r="Q95" s="67"/>
      <c r="R95" s="86"/>
      <c r="S95" s="86"/>
      <c r="T95" s="86"/>
    </row>
    <row r="96" spans="1:20" x14ac:dyDescent="0.3">
      <c r="A96" s="113" t="s">
        <v>244</v>
      </c>
      <c r="B96">
        <v>1</v>
      </c>
      <c r="C96" s="4" t="s">
        <v>245</v>
      </c>
      <c r="D96" s="6">
        <v>336</v>
      </c>
      <c r="E96" s="4" t="s">
        <v>29</v>
      </c>
      <c r="F96" s="6">
        <v>3</v>
      </c>
      <c r="G96" s="4" t="s">
        <v>217</v>
      </c>
      <c r="M96" s="67"/>
      <c r="N96" s="4"/>
      <c r="O96" s="67"/>
      <c r="P96" s="67"/>
      <c r="Q96" s="67"/>
      <c r="R96" s="86"/>
      <c r="S96" s="86"/>
      <c r="T96" s="86"/>
    </row>
    <row r="97" spans="1:20" x14ac:dyDescent="0.3">
      <c r="A97" s="113"/>
      <c r="B97">
        <v>1</v>
      </c>
      <c r="C97" s="4" t="s">
        <v>246</v>
      </c>
      <c r="D97" s="6">
        <v>240</v>
      </c>
      <c r="E97" s="4" t="s">
        <v>29</v>
      </c>
      <c r="F97" s="6">
        <f>D97/D69</f>
        <v>2.1428571428571428</v>
      </c>
      <c r="G97" s="4" t="s">
        <v>217</v>
      </c>
      <c r="M97" s="67"/>
      <c r="N97" s="4"/>
      <c r="O97" s="67"/>
      <c r="P97" s="67"/>
      <c r="Q97" s="67"/>
      <c r="R97" s="86"/>
      <c r="S97" s="86"/>
      <c r="T97" s="86"/>
    </row>
    <row r="98" spans="1:20" x14ac:dyDescent="0.3">
      <c r="A98" s="112" t="s">
        <v>247</v>
      </c>
      <c r="B98">
        <v>1</v>
      </c>
      <c r="C98" s="4" t="s">
        <v>248</v>
      </c>
      <c r="D98" s="6">
        <v>3.40835</v>
      </c>
      <c r="E98" s="4" t="s">
        <v>228</v>
      </c>
      <c r="F98" s="6">
        <f>D98*D99/D69</f>
        <v>5.9646125000000003</v>
      </c>
      <c r="G98" s="4" t="s">
        <v>224</v>
      </c>
      <c r="M98" s="67"/>
      <c r="N98" s="4"/>
      <c r="O98" s="67"/>
      <c r="P98" s="67"/>
      <c r="Q98" s="67"/>
      <c r="R98" s="86"/>
      <c r="S98" s="86"/>
      <c r="T98" s="86"/>
    </row>
    <row r="99" spans="1:20" x14ac:dyDescent="0.3">
      <c r="A99" s="112"/>
      <c r="B99">
        <v>1</v>
      </c>
      <c r="C99" s="4" t="s">
        <v>228</v>
      </c>
      <c r="D99" s="79">
        <v>196</v>
      </c>
      <c r="E99" s="4" t="s">
        <v>29</v>
      </c>
      <c r="F99" s="6"/>
      <c r="G99" s="3"/>
      <c r="M99" s="67"/>
      <c r="N99" s="3"/>
      <c r="O99" s="67"/>
      <c r="P99" s="67"/>
      <c r="Q99" s="67"/>
      <c r="R99" s="86"/>
      <c r="S99" s="86"/>
      <c r="T99" s="86"/>
    </row>
    <row r="100" spans="1:20" x14ac:dyDescent="0.3">
      <c r="A100" s="112" t="s">
        <v>221</v>
      </c>
      <c r="B100">
        <v>1</v>
      </c>
      <c r="C100" s="4" t="s">
        <v>222</v>
      </c>
      <c r="D100" s="79">
        <v>1</v>
      </c>
      <c r="E100" s="4" t="s">
        <v>223</v>
      </c>
      <c r="F100" s="6">
        <f>F101</f>
        <v>3.0446428571428572</v>
      </c>
      <c r="G100" s="4" t="s">
        <v>224</v>
      </c>
      <c r="M100" s="67"/>
      <c r="N100" s="4"/>
      <c r="O100" s="67"/>
      <c r="P100" s="67"/>
      <c r="Q100" s="67"/>
      <c r="R100" s="86"/>
      <c r="S100" s="86"/>
      <c r="T100" s="86"/>
    </row>
    <row r="101" spans="1:20" x14ac:dyDescent="0.3">
      <c r="A101" s="112"/>
      <c r="B101">
        <v>1</v>
      </c>
      <c r="C101" s="4" t="s">
        <v>223</v>
      </c>
      <c r="D101" s="79">
        <f>(355+327)/2</f>
        <v>341</v>
      </c>
      <c r="E101" s="4" t="s">
        <v>29</v>
      </c>
      <c r="F101" s="6">
        <f>D101/D69</f>
        <v>3.0446428571428572</v>
      </c>
      <c r="G101" s="4" t="s">
        <v>224</v>
      </c>
      <c r="M101" s="67"/>
      <c r="N101" s="4"/>
      <c r="O101" s="67"/>
      <c r="P101" s="67"/>
      <c r="Q101" s="67"/>
      <c r="R101" s="86"/>
      <c r="S101" s="86"/>
      <c r="T101" s="86"/>
    </row>
    <row r="102" spans="1:20" x14ac:dyDescent="0.3">
      <c r="A102" s="112"/>
      <c r="B102">
        <v>1</v>
      </c>
      <c r="C102" s="40" t="s">
        <v>225</v>
      </c>
      <c r="D102" s="79">
        <f>(2.2+2.5)/2</f>
        <v>2.35</v>
      </c>
      <c r="E102" s="4" t="s">
        <v>29</v>
      </c>
      <c r="F102" s="6">
        <f>D102/D69</f>
        <v>2.0982142857142859E-2</v>
      </c>
      <c r="G102" s="4" t="s">
        <v>224</v>
      </c>
      <c r="M102" s="67"/>
      <c r="N102" s="4"/>
      <c r="O102" s="67"/>
      <c r="P102" s="67"/>
      <c r="Q102" s="67"/>
      <c r="R102" s="86"/>
      <c r="S102" s="86"/>
      <c r="T102" s="86"/>
    </row>
    <row r="103" spans="1:20" x14ac:dyDescent="0.3">
      <c r="A103" s="112" t="s">
        <v>9</v>
      </c>
      <c r="B103">
        <v>1</v>
      </c>
      <c r="C103" s="40" t="s">
        <v>227</v>
      </c>
      <c r="D103" s="79">
        <v>140.63</v>
      </c>
      <c r="E103" s="4" t="s">
        <v>29</v>
      </c>
      <c r="F103" s="6">
        <f>D103/D69</f>
        <v>1.255625</v>
      </c>
      <c r="G103" s="4" t="s">
        <v>224</v>
      </c>
      <c r="M103" s="67"/>
      <c r="N103" s="4"/>
      <c r="O103" s="67"/>
      <c r="P103" s="67"/>
      <c r="Q103" s="67"/>
      <c r="R103" s="86"/>
      <c r="S103" s="86"/>
      <c r="T103" s="86"/>
    </row>
    <row r="104" spans="1:20" x14ac:dyDescent="0.3">
      <c r="A104" s="112"/>
      <c r="B104">
        <v>1</v>
      </c>
      <c r="C104" s="40" t="s">
        <v>249</v>
      </c>
      <c r="D104" s="79">
        <v>0.91576999999999997</v>
      </c>
      <c r="E104" s="4" t="s">
        <v>227</v>
      </c>
      <c r="F104" s="6">
        <f>F103*D104</f>
        <v>1.1498637062499999</v>
      </c>
      <c r="G104" s="4" t="s">
        <v>224</v>
      </c>
      <c r="M104" s="67"/>
      <c r="N104" s="4"/>
      <c r="O104" s="67"/>
      <c r="P104" s="67"/>
      <c r="Q104" s="67"/>
      <c r="R104" s="86"/>
      <c r="S104" s="86"/>
      <c r="T104" s="86"/>
    </row>
    <row r="105" spans="1:20" x14ac:dyDescent="0.3">
      <c r="A105" s="112" t="s">
        <v>250</v>
      </c>
      <c r="B105" s="3">
        <v>1</v>
      </c>
      <c r="C105" s="40" t="s">
        <v>223</v>
      </c>
      <c r="D105" s="79">
        <v>2.37609</v>
      </c>
      <c r="E105" s="40" t="s">
        <v>228</v>
      </c>
      <c r="F105" s="6">
        <f>D105*D106</f>
        <v>4.1366063637000003</v>
      </c>
      <c r="G105" s="4" t="s">
        <v>224</v>
      </c>
      <c r="M105" s="67"/>
      <c r="N105" s="4"/>
      <c r="O105" s="67"/>
      <c r="P105" s="67"/>
      <c r="Q105" s="67"/>
      <c r="R105" s="86"/>
      <c r="S105" s="86"/>
      <c r="T105" s="86"/>
    </row>
    <row r="106" spans="1:20" x14ac:dyDescent="0.3">
      <c r="A106" s="112"/>
      <c r="B106">
        <v>1</v>
      </c>
      <c r="C106" s="40" t="s">
        <v>228</v>
      </c>
      <c r="D106" s="79">
        <v>1.7409300000000001</v>
      </c>
      <c r="E106" s="4" t="s">
        <v>217</v>
      </c>
      <c r="F106" s="6"/>
      <c r="G106" s="4"/>
      <c r="M106" s="67"/>
      <c r="N106" s="4"/>
      <c r="O106" s="67"/>
      <c r="P106" s="67"/>
      <c r="Q106" s="67"/>
      <c r="R106" s="86"/>
      <c r="S106" s="86"/>
      <c r="T106" s="86"/>
    </row>
    <row r="107" spans="1:20" x14ac:dyDescent="0.3">
      <c r="A107" s="3" t="s">
        <v>251</v>
      </c>
      <c r="B107">
        <v>1</v>
      </c>
      <c r="C107" s="40" t="s">
        <v>223</v>
      </c>
      <c r="D107" s="79">
        <v>242</v>
      </c>
      <c r="E107" s="4" t="s">
        <v>29</v>
      </c>
      <c r="F107" s="6">
        <f>D107/D69</f>
        <v>2.1607142857142856</v>
      </c>
      <c r="G107" s="4" t="s">
        <v>224</v>
      </c>
      <c r="M107" s="67"/>
      <c r="N107" s="4"/>
      <c r="O107" s="67"/>
      <c r="P107" s="67"/>
      <c r="Q107" s="67"/>
      <c r="R107" s="86"/>
      <c r="S107" s="86"/>
      <c r="T107" s="86"/>
    </row>
    <row r="108" spans="1:20" x14ac:dyDescent="0.3">
      <c r="A108" s="3" t="s">
        <v>252</v>
      </c>
      <c r="B108">
        <v>1</v>
      </c>
      <c r="C108" s="40" t="s">
        <v>253</v>
      </c>
      <c r="D108" s="79">
        <v>294</v>
      </c>
      <c r="E108" s="4" t="s">
        <v>29</v>
      </c>
      <c r="F108" s="6">
        <f>D108/D69</f>
        <v>2.625</v>
      </c>
      <c r="G108" s="4" t="s">
        <v>224</v>
      </c>
      <c r="M108" s="67"/>
      <c r="N108" s="4"/>
      <c r="O108" s="67"/>
      <c r="P108" s="67"/>
      <c r="Q108" s="67"/>
      <c r="R108" s="86"/>
      <c r="S108" s="86"/>
      <c r="T108" s="86"/>
    </row>
    <row r="109" spans="1:20" x14ac:dyDescent="0.3">
      <c r="A109" s="3" t="s">
        <v>155</v>
      </c>
      <c r="B109">
        <v>1</v>
      </c>
      <c r="C109" s="40" t="s">
        <v>227</v>
      </c>
      <c r="D109" s="6">
        <v>0.88400000000000001</v>
      </c>
      <c r="E109" s="40" t="s">
        <v>224</v>
      </c>
      <c r="G109"/>
      <c r="M109" s="67"/>
      <c r="N109"/>
      <c r="O109" s="67"/>
      <c r="P109" s="67"/>
      <c r="Q109" s="67"/>
      <c r="R109" s="86"/>
      <c r="S109" s="86"/>
      <c r="T109" s="86"/>
    </row>
    <row r="110" spans="1:20" x14ac:dyDescent="0.3">
      <c r="A110" s="3" t="s">
        <v>254</v>
      </c>
      <c r="B110">
        <v>1</v>
      </c>
      <c r="C110" s="40" t="s">
        <v>228</v>
      </c>
      <c r="D110" s="79">
        <v>149</v>
      </c>
      <c r="E110" s="4" t="s">
        <v>29</v>
      </c>
      <c r="F110" s="6">
        <f>D110/D69</f>
        <v>1.3303571428571428</v>
      </c>
      <c r="G110" s="4" t="s">
        <v>224</v>
      </c>
      <c r="M110" s="67"/>
      <c r="N110" s="4"/>
      <c r="O110" s="67"/>
      <c r="P110" s="67"/>
      <c r="Q110" s="67"/>
      <c r="R110" s="86"/>
      <c r="S110" s="86"/>
      <c r="T110" s="86"/>
    </row>
    <row r="111" spans="1:20" x14ac:dyDescent="0.3">
      <c r="A111" s="3" t="s">
        <v>242</v>
      </c>
      <c r="B111">
        <v>1</v>
      </c>
      <c r="C111" s="40" t="s">
        <v>227</v>
      </c>
      <c r="D111" s="79">
        <v>164</v>
      </c>
      <c r="E111" s="4" t="s">
        <v>29</v>
      </c>
      <c r="F111" s="6">
        <f>D111/D69</f>
        <v>1.4642857142857142</v>
      </c>
      <c r="G111" s="4" t="s">
        <v>224</v>
      </c>
      <c r="M111" s="67"/>
      <c r="N111" s="4"/>
      <c r="O111" s="67"/>
      <c r="P111" s="67"/>
      <c r="Q111" s="67"/>
      <c r="R111" s="86"/>
      <c r="S111" s="86"/>
      <c r="T111" s="86"/>
    </row>
    <row r="112" spans="1:20" x14ac:dyDescent="0.3">
      <c r="A112" s="112" t="s">
        <v>125</v>
      </c>
      <c r="B112">
        <v>1</v>
      </c>
      <c r="C112" s="40" t="s">
        <v>253</v>
      </c>
      <c r="D112" s="79">
        <v>2.0271699999999999</v>
      </c>
      <c r="E112" s="4" t="s">
        <v>223</v>
      </c>
      <c r="F112" s="6">
        <f>D113*D112/D69</f>
        <v>6.0815099999999997</v>
      </c>
      <c r="G112" s="40" t="s">
        <v>224</v>
      </c>
      <c r="M112" s="67"/>
      <c r="N112" s="40"/>
      <c r="O112" s="67"/>
      <c r="P112" s="67"/>
      <c r="Q112" s="67"/>
      <c r="R112" s="86"/>
      <c r="S112" s="86"/>
      <c r="T112" s="86"/>
    </row>
    <row r="113" spans="1:20" x14ac:dyDescent="0.3">
      <c r="A113" s="112"/>
      <c r="B113">
        <v>1</v>
      </c>
      <c r="C113" s="40" t="s">
        <v>223</v>
      </c>
      <c r="D113" s="79">
        <v>336</v>
      </c>
      <c r="E113" s="4" t="s">
        <v>29</v>
      </c>
      <c r="F113" s="6">
        <f>D113/D69</f>
        <v>3</v>
      </c>
      <c r="G113" s="40" t="s">
        <v>224</v>
      </c>
      <c r="M113" s="67"/>
      <c r="N113" s="40"/>
      <c r="O113" s="67"/>
      <c r="P113" s="67"/>
      <c r="Q113" s="67"/>
      <c r="R113" s="86"/>
      <c r="S113" s="86"/>
      <c r="T113" s="86"/>
    </row>
    <row r="114" spans="1:20" x14ac:dyDescent="0.3">
      <c r="A114" s="80" t="s">
        <v>255</v>
      </c>
      <c r="B114">
        <v>1</v>
      </c>
      <c r="C114" s="40" t="s">
        <v>223</v>
      </c>
      <c r="D114" s="79">
        <v>336</v>
      </c>
      <c r="E114" s="4" t="s">
        <v>29</v>
      </c>
      <c r="F114" s="6">
        <f>D114/D69</f>
        <v>3</v>
      </c>
      <c r="G114" s="40" t="s">
        <v>224</v>
      </c>
      <c r="M114" s="67"/>
      <c r="N114" s="40"/>
      <c r="O114" s="67"/>
      <c r="P114" s="67"/>
      <c r="Q114" s="67"/>
      <c r="R114" s="86"/>
      <c r="S114" s="86"/>
      <c r="T114" s="86"/>
    </row>
    <row r="115" spans="1:20" x14ac:dyDescent="0.3">
      <c r="A115" s="80" t="s">
        <v>256</v>
      </c>
      <c r="B115">
        <v>1</v>
      </c>
      <c r="C115" s="40" t="s">
        <v>227</v>
      </c>
      <c r="D115" s="79">
        <v>746.66700000000003</v>
      </c>
      <c r="E115" s="4" t="s">
        <v>29</v>
      </c>
      <c r="F115" s="6">
        <f>D115/D69</f>
        <v>6.6666696428571433</v>
      </c>
      <c r="G115" s="40" t="s">
        <v>224</v>
      </c>
      <c r="M115" s="67"/>
      <c r="N115" s="40"/>
      <c r="O115" s="67"/>
      <c r="P115" s="67"/>
      <c r="Q115" s="67"/>
      <c r="R115" s="86"/>
      <c r="S115" s="86"/>
      <c r="T115" s="86"/>
    </row>
    <row r="116" spans="1:20" x14ac:dyDescent="0.3">
      <c r="A116" s="5" t="s">
        <v>156</v>
      </c>
      <c r="B116">
        <v>1</v>
      </c>
      <c r="C116" s="40" t="s">
        <v>249</v>
      </c>
      <c r="D116" s="79">
        <v>260</v>
      </c>
      <c r="E116" s="4" t="s">
        <v>29</v>
      </c>
      <c r="F116" s="6">
        <f>D116/D69</f>
        <v>2.3214285714285716</v>
      </c>
      <c r="G116" s="40" t="s">
        <v>224</v>
      </c>
      <c r="N116" s="40"/>
    </row>
    <row r="117" spans="1:20" x14ac:dyDescent="0.3">
      <c r="B117"/>
      <c r="C117"/>
      <c r="G117"/>
      <c r="N117"/>
    </row>
    <row r="118" spans="1:20" x14ac:dyDescent="0.3">
      <c r="A118" s="16" t="s">
        <v>257</v>
      </c>
      <c r="B118" s="3"/>
      <c r="C118" s="3"/>
      <c r="D118" s="3"/>
      <c r="E118" s="3"/>
      <c r="G118"/>
      <c r="N118"/>
    </row>
    <row r="119" spans="1:20" x14ac:dyDescent="0.3">
      <c r="A119" s="3">
        <v>1887</v>
      </c>
      <c r="B119" s="3">
        <v>1</v>
      </c>
      <c r="C119" s="40" t="s">
        <v>258</v>
      </c>
      <c r="D119" s="81">
        <v>13.661538461538461</v>
      </c>
      <c r="E119" s="40" t="s">
        <v>259</v>
      </c>
      <c r="G119"/>
      <c r="N119"/>
    </row>
    <row r="120" spans="1:20" x14ac:dyDescent="0.3">
      <c r="A120" s="3">
        <v>1888</v>
      </c>
      <c r="B120" s="3">
        <v>1</v>
      </c>
      <c r="C120" s="40" t="s">
        <v>258</v>
      </c>
      <c r="D120" s="81">
        <v>14.239067055393583</v>
      </c>
      <c r="E120" s="40" t="s">
        <v>259</v>
      </c>
      <c r="G120"/>
      <c r="N120"/>
    </row>
    <row r="121" spans="1:20" x14ac:dyDescent="0.3">
      <c r="A121" s="3">
        <v>1889</v>
      </c>
      <c r="B121" s="3">
        <v>1</v>
      </c>
      <c r="C121" s="40" t="s">
        <v>258</v>
      </c>
      <c r="D121" s="81">
        <v>14.301610541727671</v>
      </c>
      <c r="E121" s="40" t="s">
        <v>259</v>
      </c>
      <c r="G121"/>
      <c r="N121"/>
    </row>
    <row r="122" spans="1:20" x14ac:dyDescent="0.3">
      <c r="A122" s="3">
        <v>1890</v>
      </c>
      <c r="B122" s="3">
        <v>1</v>
      </c>
      <c r="C122" s="40" t="s">
        <v>258</v>
      </c>
      <c r="D122" s="81">
        <v>12.785340314136127</v>
      </c>
      <c r="E122" s="40" t="s">
        <v>259</v>
      </c>
      <c r="G122"/>
      <c r="N122"/>
    </row>
    <row r="123" spans="1:20" x14ac:dyDescent="0.3">
      <c r="A123" s="3">
        <v>1891</v>
      </c>
      <c r="B123" s="3">
        <v>1</v>
      </c>
      <c r="C123" s="40" t="s">
        <v>258</v>
      </c>
      <c r="D123" s="81">
        <v>13.547850208044382</v>
      </c>
      <c r="E123" s="40" t="s">
        <v>259</v>
      </c>
      <c r="G123"/>
      <c r="N123"/>
    </row>
    <row r="124" spans="1:20" x14ac:dyDescent="0.3">
      <c r="A124" s="3">
        <v>1892</v>
      </c>
      <c r="B124" s="3">
        <v>1</v>
      </c>
      <c r="C124" s="40" t="s">
        <v>258</v>
      </c>
      <c r="D124" s="81">
        <v>15.358490566037736</v>
      </c>
      <c r="E124" s="40" t="s">
        <v>259</v>
      </c>
      <c r="G124"/>
      <c r="N124"/>
    </row>
    <row r="125" spans="1:20" x14ac:dyDescent="0.3">
      <c r="A125" s="3">
        <v>1893</v>
      </c>
      <c r="B125" s="3">
        <v>1</v>
      </c>
      <c r="C125" s="40" t="s">
        <v>258</v>
      </c>
      <c r="D125" s="81">
        <v>15.974930361794915</v>
      </c>
      <c r="E125" s="40" t="s">
        <v>259</v>
      </c>
      <c r="G125"/>
      <c r="N125"/>
    </row>
    <row r="126" spans="1:20" x14ac:dyDescent="0.3">
      <c r="A126" s="3">
        <v>1894</v>
      </c>
      <c r="B126" s="3">
        <v>1</v>
      </c>
      <c r="C126" s="40" t="s">
        <v>258</v>
      </c>
      <c r="D126" s="81">
        <v>19.978401728261339</v>
      </c>
      <c r="E126" s="40" t="s">
        <v>259</v>
      </c>
      <c r="G126"/>
      <c r="N126"/>
    </row>
    <row r="127" spans="1:20" x14ac:dyDescent="0.3">
      <c r="A127" s="3">
        <v>1895</v>
      </c>
      <c r="B127" s="3">
        <v>1</v>
      </c>
      <c r="C127" s="40" t="s">
        <v>258</v>
      </c>
      <c r="D127" s="81">
        <v>19.857442348047169</v>
      </c>
      <c r="E127" s="40" t="s">
        <v>259</v>
      </c>
      <c r="G127"/>
      <c r="N127"/>
    </row>
    <row r="128" spans="1:20" x14ac:dyDescent="0.3">
      <c r="A128" s="3">
        <v>1896</v>
      </c>
      <c r="B128" s="3">
        <v>1</v>
      </c>
      <c r="C128" s="40" t="s">
        <v>258</v>
      </c>
      <c r="D128" s="81">
        <v>17.411764705919879</v>
      </c>
      <c r="E128" s="40" t="s">
        <v>259</v>
      </c>
      <c r="G128"/>
      <c r="N128"/>
    </row>
    <row r="129" spans="1:14" x14ac:dyDescent="0.3">
      <c r="A129" s="3">
        <v>1897</v>
      </c>
      <c r="B129" s="3">
        <v>1</v>
      </c>
      <c r="C129" s="40" t="s">
        <v>258</v>
      </c>
      <c r="D129" s="81">
        <v>16.276643990510202</v>
      </c>
      <c r="E129" s="40" t="s">
        <v>259</v>
      </c>
      <c r="G129"/>
      <c r="N129"/>
    </row>
    <row r="130" spans="1:14" x14ac:dyDescent="0.3">
      <c r="A130" s="3">
        <v>1898</v>
      </c>
      <c r="B130" s="3">
        <v>1</v>
      </c>
      <c r="C130" s="40" t="s">
        <v>258</v>
      </c>
      <c r="D130" s="81">
        <v>16.482598607888633</v>
      </c>
      <c r="E130" s="40" t="s">
        <v>259</v>
      </c>
      <c r="G130"/>
      <c r="N130"/>
    </row>
    <row r="131" spans="1:14" x14ac:dyDescent="0.3">
      <c r="A131" s="3">
        <v>1899</v>
      </c>
      <c r="B131" s="3">
        <v>1</v>
      </c>
      <c r="C131" s="40" t="s">
        <v>258</v>
      </c>
      <c r="D131" s="81">
        <v>16.097949886062644</v>
      </c>
      <c r="E131" s="40" t="s">
        <v>259</v>
      </c>
      <c r="G131"/>
      <c r="N131"/>
    </row>
    <row r="132" spans="1:14" x14ac:dyDescent="0.3">
      <c r="A132" s="3">
        <v>1900</v>
      </c>
      <c r="B132" s="3">
        <v>1</v>
      </c>
      <c r="C132" s="40" t="s">
        <v>258</v>
      </c>
      <c r="D132" s="81">
        <v>16.335540838443706</v>
      </c>
      <c r="E132" s="40" t="s">
        <v>259</v>
      </c>
      <c r="G132"/>
      <c r="N132"/>
    </row>
    <row r="133" spans="1:14" x14ac:dyDescent="0.3">
      <c r="A133" s="3">
        <v>1901</v>
      </c>
      <c r="B133" s="3">
        <v>1</v>
      </c>
      <c r="C133" s="40" t="s">
        <v>258</v>
      </c>
      <c r="D133" s="81">
        <v>15.650574712647931</v>
      </c>
      <c r="E133" s="40" t="s">
        <v>259</v>
      </c>
      <c r="G133"/>
      <c r="N133"/>
    </row>
    <row r="134" spans="1:14" x14ac:dyDescent="0.3">
      <c r="A134" s="3">
        <v>1902</v>
      </c>
      <c r="B134" s="3">
        <v>1</v>
      </c>
      <c r="C134" s="40" t="s">
        <v>258</v>
      </c>
      <c r="D134" s="81">
        <v>16.145454545454548</v>
      </c>
      <c r="E134" s="40" t="s">
        <v>259</v>
      </c>
      <c r="G134"/>
      <c r="N134"/>
    </row>
    <row r="135" spans="1:14" x14ac:dyDescent="0.3">
      <c r="A135" s="3">
        <v>1903</v>
      </c>
      <c r="B135" s="3">
        <v>1</v>
      </c>
      <c r="C135" s="40" t="s">
        <v>258</v>
      </c>
      <c r="D135" s="81">
        <v>17.191919191923866</v>
      </c>
      <c r="E135" s="40" t="s">
        <v>259</v>
      </c>
      <c r="G135"/>
      <c r="N135"/>
    </row>
    <row r="136" spans="1:14" x14ac:dyDescent="0.3">
      <c r="A136" s="3">
        <v>1904</v>
      </c>
      <c r="B136" s="3">
        <v>1</v>
      </c>
      <c r="C136" s="40" t="s">
        <v>258</v>
      </c>
      <c r="D136" s="81">
        <v>16.463905325399999</v>
      </c>
      <c r="E136" s="40" t="s">
        <v>259</v>
      </c>
      <c r="G136"/>
      <c r="N136"/>
    </row>
    <row r="137" spans="1:14" x14ac:dyDescent="0.3">
      <c r="A137" s="3">
        <v>1905</v>
      </c>
      <c r="B137" s="3">
        <v>1</v>
      </c>
      <c r="C137" s="40" t="s">
        <v>258</v>
      </c>
      <c r="D137" s="81">
        <v>16.610549943841754</v>
      </c>
      <c r="E137" s="40" t="s">
        <v>259</v>
      </c>
      <c r="G137"/>
      <c r="N137"/>
    </row>
    <row r="138" spans="1:14" x14ac:dyDescent="0.3">
      <c r="A138" s="3">
        <v>1906</v>
      </c>
      <c r="B138" s="3">
        <v>1</v>
      </c>
      <c r="C138" s="40" t="s">
        <v>258</v>
      </c>
      <c r="D138" s="81">
        <v>16.477732793559714</v>
      </c>
      <c r="E138" s="40" t="s">
        <v>259</v>
      </c>
      <c r="G138"/>
      <c r="N138"/>
    </row>
    <row r="139" spans="1:14" x14ac:dyDescent="0.3">
      <c r="A139" s="3">
        <v>1907</v>
      </c>
      <c r="B139" s="3">
        <v>1</v>
      </c>
      <c r="C139" s="40" t="s">
        <v>258</v>
      </c>
      <c r="D139" s="81">
        <v>15.320910972701864</v>
      </c>
      <c r="E139" s="40" t="s">
        <v>259</v>
      </c>
      <c r="G139"/>
      <c r="N139"/>
    </row>
    <row r="140" spans="1:14" x14ac:dyDescent="0.3">
      <c r="A140" s="3">
        <v>1908</v>
      </c>
      <c r="B140" s="3">
        <v>1</v>
      </c>
      <c r="C140" s="40" t="s">
        <v>258</v>
      </c>
      <c r="D140" s="81">
        <v>16.297055057665812</v>
      </c>
      <c r="E140" s="40" t="s">
        <v>259</v>
      </c>
      <c r="G140"/>
      <c r="N140"/>
    </row>
    <row r="141" spans="1:14" x14ac:dyDescent="0.3">
      <c r="A141" s="3">
        <v>1909</v>
      </c>
      <c r="B141" s="3">
        <v>1</v>
      </c>
      <c r="C141" s="40" t="s">
        <v>258</v>
      </c>
      <c r="D141" s="81">
        <v>16.379446640316207</v>
      </c>
      <c r="E141" s="40" t="s">
        <v>259</v>
      </c>
      <c r="G141"/>
      <c r="N141"/>
    </row>
    <row r="142" spans="1:14" x14ac:dyDescent="0.3">
      <c r="A142" s="3">
        <v>1910</v>
      </c>
      <c r="B142" s="3">
        <v>1</v>
      </c>
      <c r="C142" s="40" t="s">
        <v>258</v>
      </c>
      <c r="D142" s="81">
        <v>18.382763038022816</v>
      </c>
      <c r="E142" s="40" t="s">
        <v>259</v>
      </c>
      <c r="G142"/>
      <c r="N142"/>
    </row>
    <row r="143" spans="1:14" x14ac:dyDescent="0.3">
      <c r="A143" s="3">
        <v>1911</v>
      </c>
      <c r="B143" s="3">
        <v>1</v>
      </c>
      <c r="C143" s="40" t="s">
        <v>258</v>
      </c>
      <c r="D143" s="81">
        <v>17.677255400207116</v>
      </c>
      <c r="E143" s="40" t="s">
        <v>259</v>
      </c>
      <c r="G143"/>
      <c r="N143"/>
    </row>
    <row r="144" spans="1:14" x14ac:dyDescent="0.3">
      <c r="A144" s="3">
        <v>1912</v>
      </c>
      <c r="B144" s="3">
        <v>1</v>
      </c>
      <c r="C144" s="40" t="s">
        <v>258</v>
      </c>
      <c r="D144" s="81">
        <v>17.881959910954343</v>
      </c>
      <c r="E144" s="40" t="s">
        <v>259</v>
      </c>
      <c r="G144"/>
      <c r="N144"/>
    </row>
    <row r="145" spans="1:14" x14ac:dyDescent="0.3">
      <c r="A145" s="3">
        <v>1913</v>
      </c>
      <c r="B145" s="3">
        <v>1</v>
      </c>
      <c r="C145" s="40" t="s">
        <v>258</v>
      </c>
      <c r="D145" s="81">
        <v>17.451247165537076</v>
      </c>
      <c r="E145" s="40" t="s">
        <v>259</v>
      </c>
      <c r="G145"/>
      <c r="N145"/>
    </row>
  </sheetData>
  <sortState ref="A4:AN53">
    <sortCondition sortBy="cellColor" ref="P4:P53" dxfId="0"/>
  </sortState>
  <mergeCells count="19">
    <mergeCell ref="A112:A113"/>
    <mergeCell ref="A96:A97"/>
    <mergeCell ref="A98:A99"/>
    <mergeCell ref="A100:A102"/>
    <mergeCell ref="A103:A104"/>
    <mergeCell ref="A105:A106"/>
    <mergeCell ref="B70:B71"/>
    <mergeCell ref="C70:C71"/>
    <mergeCell ref="D70:D71"/>
    <mergeCell ref="E70:E71"/>
    <mergeCell ref="AC2:AE2"/>
    <mergeCell ref="AF2:AH2"/>
    <mergeCell ref="D2:F2"/>
    <mergeCell ref="H2:J2"/>
    <mergeCell ref="K2:M2"/>
    <mergeCell ref="O2:Q2"/>
    <mergeCell ref="R2:T2"/>
    <mergeCell ref="V2:X2"/>
    <mergeCell ref="Z2:AB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22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4" sqref="F14"/>
    </sheetView>
  </sheetViews>
  <sheetFormatPr defaultRowHeight="14.4" x14ac:dyDescent="0.3"/>
  <cols>
    <col min="1" max="1" width="42.33203125" style="5" customWidth="1"/>
    <col min="2" max="2" width="9.6640625" style="21" customWidth="1"/>
    <col min="3" max="3" width="10.44140625" style="21" customWidth="1"/>
    <col min="4" max="4" width="14.88671875" style="21" customWidth="1"/>
    <col min="5" max="6" width="15.77734375" style="21" customWidth="1"/>
    <col min="7" max="7" width="14.77734375" customWidth="1"/>
    <col min="8" max="9" width="15.5546875" customWidth="1"/>
    <col min="10" max="10" width="14.77734375" customWidth="1"/>
    <col min="11" max="12" width="18.33203125" customWidth="1"/>
    <col min="13" max="13" width="14.77734375" customWidth="1"/>
    <col min="14" max="15" width="15.5546875" customWidth="1"/>
    <col min="16" max="16" width="14.77734375" customWidth="1"/>
    <col min="17" max="18" width="16.5546875" customWidth="1"/>
    <col min="19" max="19" width="9.5546875" bestFit="1" customWidth="1"/>
    <col min="20" max="20" width="16.5546875" bestFit="1" customWidth="1"/>
    <col min="21" max="21" width="16.5546875" customWidth="1"/>
    <col min="22" max="22" width="9.33203125" bestFit="1" customWidth="1"/>
    <col min="23" max="23" width="16.5546875" bestFit="1" customWidth="1"/>
    <col min="24" max="24" width="16.5546875" customWidth="1"/>
    <col min="25" max="25" width="9.5546875" bestFit="1" customWidth="1"/>
    <col min="26" max="26" width="16.5546875" bestFit="1" customWidth="1"/>
    <col min="27" max="27" width="16.5546875" customWidth="1"/>
    <col min="28" max="28" width="9.33203125" bestFit="1" customWidth="1"/>
    <col min="29" max="29" width="16.5546875" bestFit="1" customWidth="1"/>
    <col min="30" max="30" width="15.33203125" customWidth="1"/>
  </cols>
  <sheetData>
    <row r="2" spans="1:30" s="7" customFormat="1" ht="15.6" customHeight="1" x14ac:dyDescent="0.3">
      <c r="A2" s="18"/>
      <c r="B2" s="115" t="s">
        <v>1</v>
      </c>
      <c r="C2" s="116" t="s">
        <v>165</v>
      </c>
      <c r="D2" s="114" t="s">
        <v>140</v>
      </c>
      <c r="E2" s="114"/>
      <c r="F2" s="114"/>
      <c r="G2" s="114" t="s">
        <v>116</v>
      </c>
      <c r="H2" s="114"/>
      <c r="I2" s="114"/>
      <c r="J2" s="114" t="s">
        <v>117</v>
      </c>
      <c r="K2" s="114"/>
      <c r="L2" s="114"/>
      <c r="M2" s="114" t="s">
        <v>118</v>
      </c>
      <c r="N2" s="114"/>
      <c r="O2" s="114"/>
      <c r="P2" s="114" t="s">
        <v>119</v>
      </c>
      <c r="Q2" s="114"/>
      <c r="R2" s="114"/>
      <c r="S2" s="114" t="s">
        <v>97</v>
      </c>
      <c r="T2" s="114"/>
      <c r="U2" s="114"/>
      <c r="V2" s="114" t="s">
        <v>92</v>
      </c>
      <c r="W2" s="114"/>
      <c r="X2" s="114"/>
      <c r="Y2" s="114" t="s">
        <v>86</v>
      </c>
      <c r="Z2" s="114"/>
      <c r="AA2" s="114"/>
      <c r="AB2" s="114" t="s">
        <v>46</v>
      </c>
      <c r="AC2" s="114"/>
      <c r="AD2" s="114"/>
    </row>
    <row r="3" spans="1:30" s="7" customFormat="1" ht="15.6" x14ac:dyDescent="0.3">
      <c r="A3" s="19" t="s">
        <v>0</v>
      </c>
      <c r="B3" s="115"/>
      <c r="C3" s="116"/>
      <c r="D3" s="8" t="s">
        <v>2</v>
      </c>
      <c r="E3" s="9" t="s">
        <v>12</v>
      </c>
      <c r="F3" s="9" t="s">
        <v>13</v>
      </c>
      <c r="G3" s="8" t="s">
        <v>2</v>
      </c>
      <c r="H3" s="9" t="s">
        <v>12</v>
      </c>
      <c r="I3" s="9" t="s">
        <v>13</v>
      </c>
      <c r="J3" s="8" t="s">
        <v>2</v>
      </c>
      <c r="K3" s="9" t="s">
        <v>12</v>
      </c>
      <c r="L3" s="9" t="s">
        <v>13</v>
      </c>
      <c r="M3" s="8" t="s">
        <v>2</v>
      </c>
      <c r="N3" s="9" t="s">
        <v>12</v>
      </c>
      <c r="O3" s="9" t="s">
        <v>13</v>
      </c>
      <c r="P3" s="8" t="s">
        <v>2</v>
      </c>
      <c r="Q3" s="9" t="s">
        <v>12</v>
      </c>
      <c r="R3" s="9" t="s">
        <v>13</v>
      </c>
      <c r="S3" s="8" t="s">
        <v>2</v>
      </c>
      <c r="T3" s="9" t="s">
        <v>12</v>
      </c>
      <c r="U3" s="9" t="s">
        <v>13</v>
      </c>
      <c r="V3" s="8" t="s">
        <v>2</v>
      </c>
      <c r="W3" s="9" t="s">
        <v>12</v>
      </c>
      <c r="X3" s="9" t="s">
        <v>13</v>
      </c>
      <c r="Y3" s="8" t="s">
        <v>2</v>
      </c>
      <c r="Z3" s="9" t="s">
        <v>12</v>
      </c>
      <c r="AA3" s="9" t="s">
        <v>13</v>
      </c>
      <c r="AB3" s="8" t="s">
        <v>2</v>
      </c>
      <c r="AC3" s="9" t="s">
        <v>12</v>
      </c>
      <c r="AD3" s="9" t="s">
        <v>13</v>
      </c>
    </row>
    <row r="4" spans="1:30" s="3" customFormat="1" x14ac:dyDescent="0.3">
      <c r="A4" s="17" t="s">
        <v>19</v>
      </c>
      <c r="B4" s="22" t="s">
        <v>15</v>
      </c>
      <c r="C4" s="17" t="s">
        <v>21</v>
      </c>
      <c r="D4" s="22">
        <f>$D$25*10000</f>
        <v>65000</v>
      </c>
      <c r="E4" s="22">
        <v>300</v>
      </c>
      <c r="F4" s="65">
        <f>E4/D4</f>
        <v>4.6153846153846158E-3</v>
      </c>
      <c r="G4" s="22">
        <v>7000</v>
      </c>
      <c r="H4" s="22">
        <v>500</v>
      </c>
      <c r="I4" s="65">
        <f>H4/G4</f>
        <v>7.1428571428571425E-2</v>
      </c>
      <c r="J4" s="22">
        <v>9800</v>
      </c>
      <c r="K4" s="39">
        <v>700</v>
      </c>
      <c r="L4" s="65">
        <f>K4/J4</f>
        <v>7.1428571428571425E-2</v>
      </c>
      <c r="M4" s="22">
        <v>10500</v>
      </c>
      <c r="N4" s="39">
        <v>75</v>
      </c>
      <c r="O4" s="65">
        <f>N4/M4</f>
        <v>7.1428571428571426E-3</v>
      </c>
      <c r="P4" s="22">
        <v>14000</v>
      </c>
      <c r="Q4" s="22">
        <v>120</v>
      </c>
      <c r="R4" s="65">
        <f>Q4/P4</f>
        <v>8.5714285714285719E-3</v>
      </c>
      <c r="S4" s="20">
        <v>105000</v>
      </c>
      <c r="T4" s="20">
        <v>437</v>
      </c>
      <c r="U4" s="65">
        <f>T4/S4</f>
        <v>4.1619047619047616E-3</v>
      </c>
      <c r="V4" s="20">
        <v>8500</v>
      </c>
      <c r="W4" s="20">
        <v>35</v>
      </c>
      <c r="X4" s="65">
        <f>W4/V4</f>
        <v>4.1176470588235297E-3</v>
      </c>
      <c r="Y4" s="20">
        <v>150000</v>
      </c>
      <c r="Z4" s="20">
        <v>620</v>
      </c>
      <c r="AA4" s="65">
        <f>Z4/Y4</f>
        <v>4.1333333333333335E-3</v>
      </c>
      <c r="AB4" s="20">
        <v>3500</v>
      </c>
      <c r="AC4" s="20">
        <v>20</v>
      </c>
      <c r="AD4" s="65">
        <f>AC4/AB4</f>
        <v>5.7142857142857143E-3</v>
      </c>
    </row>
    <row r="5" spans="1:30" s="3" customFormat="1" x14ac:dyDescent="0.3">
      <c r="A5" s="17" t="s">
        <v>144</v>
      </c>
      <c r="B5" s="22" t="s">
        <v>15</v>
      </c>
      <c r="C5" s="17" t="s">
        <v>21</v>
      </c>
      <c r="D5" s="22">
        <f>$D$25*4000</f>
        <v>26000</v>
      </c>
      <c r="E5" s="22">
        <v>320</v>
      </c>
      <c r="F5" s="65">
        <f t="shared" ref="F5:F21" si="0">E5/D5</f>
        <v>1.2307692307692308E-2</v>
      </c>
      <c r="G5" s="22"/>
      <c r="H5" s="22"/>
      <c r="I5" s="65"/>
      <c r="J5" s="22"/>
      <c r="K5" s="39"/>
      <c r="L5" s="65"/>
      <c r="M5" s="22"/>
      <c r="N5" s="39"/>
      <c r="O5" s="65"/>
      <c r="P5" s="22"/>
      <c r="Q5" s="22"/>
      <c r="R5" s="65"/>
      <c r="S5" s="20"/>
      <c r="T5" s="20"/>
      <c r="U5" s="65"/>
      <c r="V5" s="20"/>
      <c r="W5" s="20"/>
      <c r="X5" s="65"/>
      <c r="Y5" s="20"/>
      <c r="Z5" s="20"/>
      <c r="AA5" s="65"/>
      <c r="AB5" s="20"/>
      <c r="AC5" s="20"/>
      <c r="AD5" s="65"/>
    </row>
    <row r="6" spans="1:30" s="3" customFormat="1" x14ac:dyDescent="0.3">
      <c r="A6" s="17" t="s">
        <v>141</v>
      </c>
      <c r="B6" s="22" t="s">
        <v>3</v>
      </c>
      <c r="C6" s="17" t="s">
        <v>152</v>
      </c>
      <c r="D6" s="22">
        <v>200</v>
      </c>
      <c r="E6" s="22">
        <v>1200</v>
      </c>
      <c r="F6" s="65">
        <f t="shared" si="0"/>
        <v>6</v>
      </c>
      <c r="G6" s="22"/>
      <c r="H6" s="22"/>
      <c r="I6" s="65"/>
      <c r="J6" s="22"/>
      <c r="K6" s="39"/>
      <c r="L6" s="65"/>
      <c r="M6" s="22"/>
      <c r="N6" s="39"/>
      <c r="O6" s="65"/>
      <c r="P6" s="22"/>
      <c r="Q6" s="22"/>
      <c r="R6" s="65"/>
      <c r="S6" s="20"/>
      <c r="T6" s="20"/>
      <c r="U6" s="65"/>
      <c r="V6" s="20"/>
      <c r="W6" s="20"/>
      <c r="X6" s="65"/>
      <c r="Y6" s="20"/>
      <c r="Z6" s="20"/>
      <c r="AA6" s="65"/>
      <c r="AB6" s="20"/>
      <c r="AC6" s="20"/>
      <c r="AD6" s="65"/>
    </row>
    <row r="7" spans="1:30" s="3" customFormat="1" x14ac:dyDescent="0.3">
      <c r="A7" s="17" t="s">
        <v>120</v>
      </c>
      <c r="B7" s="22" t="s">
        <v>15</v>
      </c>
      <c r="C7" s="17" t="s">
        <v>21</v>
      </c>
      <c r="D7" s="22"/>
      <c r="E7" s="22"/>
      <c r="F7" s="65"/>
      <c r="G7" s="22">
        <v>98000</v>
      </c>
      <c r="H7" s="22">
        <v>333</v>
      </c>
      <c r="I7" s="65">
        <f t="shared" ref="I7:I16" si="1">H7/G7</f>
        <v>3.3979591836734695E-3</v>
      </c>
      <c r="J7" s="22"/>
      <c r="L7" s="65"/>
      <c r="M7" s="22">
        <v>4200</v>
      </c>
      <c r="N7" s="3">
        <v>250</v>
      </c>
      <c r="O7" s="65">
        <f t="shared" ref="O7:O20" si="2">N7/M7</f>
        <v>5.9523809523809521E-2</v>
      </c>
      <c r="P7" s="22">
        <v>31500</v>
      </c>
      <c r="Q7" s="22">
        <v>180</v>
      </c>
      <c r="R7" s="65">
        <f t="shared" ref="R7:R20" si="3">Q7/P7</f>
        <v>5.7142857142857143E-3</v>
      </c>
      <c r="S7" s="20"/>
      <c r="T7" s="20"/>
      <c r="U7" s="65"/>
      <c r="V7" s="20"/>
      <c r="W7" s="20"/>
      <c r="X7" s="65"/>
      <c r="Y7" s="20"/>
      <c r="Z7" s="20"/>
      <c r="AA7" s="65"/>
      <c r="AB7" s="20"/>
      <c r="AC7" s="20"/>
      <c r="AD7" s="65"/>
    </row>
    <row r="8" spans="1:30" s="3" customFormat="1" x14ac:dyDescent="0.3">
      <c r="A8" s="17" t="s">
        <v>121</v>
      </c>
      <c r="B8" s="22" t="s">
        <v>15</v>
      </c>
      <c r="C8" s="17" t="s">
        <v>21</v>
      </c>
      <c r="D8" s="22"/>
      <c r="E8" s="22"/>
      <c r="F8" s="65"/>
      <c r="G8" s="22"/>
      <c r="H8" s="22"/>
      <c r="I8" s="65"/>
      <c r="J8" s="22">
        <v>70000</v>
      </c>
      <c r="K8" s="3">
        <v>116</v>
      </c>
      <c r="L8" s="65">
        <f t="shared" ref="L8:L18" si="4">K8/J8</f>
        <v>1.6571428571428572E-3</v>
      </c>
      <c r="M8" s="22">
        <v>7000</v>
      </c>
      <c r="N8" s="3">
        <v>83</v>
      </c>
      <c r="O8" s="65">
        <f t="shared" si="2"/>
        <v>1.1857142857142858E-2</v>
      </c>
      <c r="P8" s="22">
        <v>10500</v>
      </c>
      <c r="Q8" s="22">
        <v>180</v>
      </c>
      <c r="R8" s="65">
        <f t="shared" si="3"/>
        <v>1.7142857142857144E-2</v>
      </c>
      <c r="S8" s="20"/>
      <c r="T8" s="20"/>
      <c r="U8" s="65"/>
      <c r="V8" s="20"/>
      <c r="W8" s="20"/>
      <c r="X8" s="65"/>
      <c r="Y8" s="20"/>
      <c r="Z8" s="20"/>
      <c r="AA8" s="65"/>
      <c r="AB8" s="20"/>
      <c r="AC8" s="20"/>
      <c r="AD8" s="65"/>
    </row>
    <row r="9" spans="1:30" s="3" customFormat="1" x14ac:dyDescent="0.3">
      <c r="A9" s="17" t="s">
        <v>279</v>
      </c>
      <c r="B9" s="22" t="s">
        <v>15</v>
      </c>
      <c r="C9" s="17" t="s">
        <v>21</v>
      </c>
      <c r="D9" s="22">
        <f>$D$25*200000</f>
        <v>1300000</v>
      </c>
      <c r="E9" s="22">
        <v>12000</v>
      </c>
      <c r="F9" s="65">
        <f t="shared" si="0"/>
        <v>9.2307692307692316E-3</v>
      </c>
      <c r="G9" s="22"/>
      <c r="H9" s="22"/>
      <c r="I9" s="65"/>
      <c r="J9" s="22"/>
      <c r="L9" s="65"/>
      <c r="M9" s="22">
        <v>9800</v>
      </c>
      <c r="N9" s="3">
        <v>140</v>
      </c>
      <c r="O9" s="65">
        <f t="shared" si="2"/>
        <v>1.4285714285714285E-2</v>
      </c>
      <c r="P9" s="22">
        <v>11900</v>
      </c>
      <c r="Q9" s="22">
        <v>170</v>
      </c>
      <c r="R9" s="65">
        <f t="shared" si="3"/>
        <v>1.4285714285714285E-2</v>
      </c>
      <c r="S9" s="20">
        <v>200000</v>
      </c>
      <c r="T9" s="20">
        <v>833</v>
      </c>
      <c r="U9" s="65">
        <f t="shared" ref="U9:U15" si="5">T9/S9</f>
        <v>4.1650000000000003E-3</v>
      </c>
      <c r="V9" s="20">
        <v>140000</v>
      </c>
      <c r="W9" s="20">
        <v>583</v>
      </c>
      <c r="X9" s="65">
        <f t="shared" ref="X9:X21" si="6">W9/V9</f>
        <v>4.1642857142857141E-3</v>
      </c>
      <c r="Y9" s="20"/>
      <c r="Z9" s="20"/>
      <c r="AA9" s="65"/>
      <c r="AB9" s="20"/>
      <c r="AC9" s="20"/>
      <c r="AD9" s="65"/>
    </row>
    <row r="10" spans="1:30" s="3" customFormat="1" x14ac:dyDescent="0.3">
      <c r="A10" s="17" t="s">
        <v>93</v>
      </c>
      <c r="B10" s="22" t="s">
        <v>20</v>
      </c>
      <c r="C10" s="17" t="s">
        <v>43</v>
      </c>
      <c r="D10" s="22">
        <v>3000</v>
      </c>
      <c r="E10" s="22">
        <v>6000</v>
      </c>
      <c r="F10" s="65">
        <f t="shared" si="0"/>
        <v>2</v>
      </c>
      <c r="G10" s="22"/>
      <c r="H10" s="22"/>
      <c r="I10" s="65"/>
      <c r="J10" s="22"/>
      <c r="K10" s="39">
        <v>13000</v>
      </c>
      <c r="L10" s="65"/>
      <c r="M10" s="22"/>
      <c r="N10" s="3">
        <v>53000</v>
      </c>
      <c r="O10" s="65"/>
      <c r="P10" s="22"/>
      <c r="Q10" s="22">
        <v>90000</v>
      </c>
      <c r="R10" s="65"/>
      <c r="S10" s="20"/>
      <c r="T10" s="20">
        <v>240000</v>
      </c>
      <c r="U10" s="65"/>
      <c r="V10" s="20"/>
      <c r="W10" s="20">
        <v>170000</v>
      </c>
      <c r="X10" s="65"/>
      <c r="Y10" s="20"/>
      <c r="Z10" s="20">
        <v>140000</v>
      </c>
      <c r="AA10" s="65"/>
      <c r="AB10" s="20"/>
      <c r="AC10" s="20">
        <v>137000</v>
      </c>
      <c r="AD10" s="65"/>
    </row>
    <row r="11" spans="1:30" s="3" customFormat="1" x14ac:dyDescent="0.3">
      <c r="A11" s="17" t="s">
        <v>145</v>
      </c>
      <c r="B11" s="22" t="s">
        <v>15</v>
      </c>
      <c r="C11" s="17" t="s">
        <v>21</v>
      </c>
      <c r="D11" s="22">
        <f>$D$25*10000</f>
        <v>65000</v>
      </c>
      <c r="E11" s="22">
        <v>300</v>
      </c>
      <c r="F11" s="65">
        <f t="shared" si="0"/>
        <v>4.6153846153846158E-3</v>
      </c>
      <c r="G11" s="22"/>
      <c r="H11" s="22"/>
      <c r="I11" s="65"/>
      <c r="J11" s="22"/>
      <c r="K11" s="39"/>
      <c r="L11" s="65"/>
      <c r="M11" s="22"/>
      <c r="O11" s="65"/>
      <c r="P11" s="22"/>
      <c r="Q11" s="22"/>
      <c r="R11" s="65"/>
      <c r="S11" s="20"/>
      <c r="T11" s="20"/>
      <c r="U11" s="65"/>
      <c r="V11" s="20"/>
      <c r="W11" s="20"/>
      <c r="X11" s="65"/>
      <c r="Y11" s="20"/>
      <c r="Z11" s="20"/>
      <c r="AA11" s="65"/>
      <c r="AB11" s="20"/>
      <c r="AC11" s="20"/>
      <c r="AD11" s="65"/>
    </row>
    <row r="12" spans="1:30" s="3" customFormat="1" x14ac:dyDescent="0.3">
      <c r="A12" s="17" t="s">
        <v>87</v>
      </c>
      <c r="B12" s="22" t="s">
        <v>15</v>
      </c>
      <c r="C12" s="17" t="s">
        <v>21</v>
      </c>
      <c r="D12" s="22">
        <f>$D$25*500</f>
        <v>3250</v>
      </c>
      <c r="E12" s="22">
        <v>28</v>
      </c>
      <c r="F12" s="65">
        <f t="shared" si="0"/>
        <v>8.615384615384615E-3</v>
      </c>
      <c r="G12" s="22">
        <v>35000</v>
      </c>
      <c r="H12" s="22">
        <v>500</v>
      </c>
      <c r="I12" s="65">
        <f t="shared" si="1"/>
        <v>1.4285714285714285E-2</v>
      </c>
      <c r="J12" s="22">
        <v>49000</v>
      </c>
      <c r="K12" s="39">
        <v>700</v>
      </c>
      <c r="L12" s="65">
        <f t="shared" si="4"/>
        <v>1.4285714285714285E-2</v>
      </c>
      <c r="M12" s="22">
        <v>1400</v>
      </c>
      <c r="N12" s="39">
        <v>333</v>
      </c>
      <c r="O12" s="65">
        <f t="shared" si="2"/>
        <v>0.23785714285714285</v>
      </c>
      <c r="P12" s="22">
        <v>42000</v>
      </c>
      <c r="Q12" s="22">
        <v>600</v>
      </c>
      <c r="R12" s="65">
        <f t="shared" si="3"/>
        <v>1.4285714285714285E-2</v>
      </c>
      <c r="S12" s="20">
        <v>35000</v>
      </c>
      <c r="T12" s="20">
        <v>291</v>
      </c>
      <c r="U12" s="65">
        <f t="shared" si="5"/>
        <v>8.314285714285715E-3</v>
      </c>
      <c r="V12" s="20">
        <v>4000</v>
      </c>
      <c r="W12" s="20">
        <v>17</v>
      </c>
      <c r="X12" s="65">
        <f t="shared" si="6"/>
        <v>4.2500000000000003E-3</v>
      </c>
      <c r="Y12" s="20">
        <v>500000</v>
      </c>
      <c r="Z12" s="20">
        <v>5000</v>
      </c>
      <c r="AA12" s="65">
        <f t="shared" ref="AA12:AA21" si="7">Z12/Y12</f>
        <v>0.01</v>
      </c>
      <c r="AB12" s="20">
        <v>24500</v>
      </c>
      <c r="AC12" s="20">
        <v>510</v>
      </c>
      <c r="AD12" s="65">
        <f t="shared" ref="AD12:AD15" si="8">AC12/AB12</f>
        <v>2.0816326530612245E-2</v>
      </c>
    </row>
    <row r="13" spans="1:30" s="3" customFormat="1" x14ac:dyDescent="0.3">
      <c r="A13" s="17" t="s">
        <v>122</v>
      </c>
      <c r="B13" s="22" t="s">
        <v>15</v>
      </c>
      <c r="C13" s="17" t="s">
        <v>21</v>
      </c>
      <c r="D13" s="22"/>
      <c r="E13" s="22"/>
      <c r="F13" s="65"/>
      <c r="G13" s="22">
        <v>7000</v>
      </c>
      <c r="H13" s="22">
        <v>333</v>
      </c>
      <c r="I13" s="65">
        <f t="shared" si="1"/>
        <v>4.757142857142857E-2</v>
      </c>
      <c r="J13" s="22">
        <v>9800</v>
      </c>
      <c r="K13" s="39">
        <v>466</v>
      </c>
      <c r="L13" s="65">
        <f t="shared" si="4"/>
        <v>4.7551020408163266E-2</v>
      </c>
      <c r="M13" s="22">
        <v>14000</v>
      </c>
      <c r="N13" s="39">
        <v>110</v>
      </c>
      <c r="O13" s="65">
        <f t="shared" si="2"/>
        <v>7.8571428571428577E-3</v>
      </c>
      <c r="P13" s="22">
        <v>21280</v>
      </c>
      <c r="Q13" s="22">
        <v>182</v>
      </c>
      <c r="R13" s="65">
        <f t="shared" si="3"/>
        <v>8.552631578947369E-3</v>
      </c>
      <c r="S13" s="20"/>
      <c r="T13" s="20"/>
      <c r="U13" s="65"/>
      <c r="V13" s="20"/>
      <c r="W13" s="20"/>
      <c r="X13" s="65"/>
      <c r="Y13" s="20"/>
      <c r="Z13" s="20"/>
      <c r="AA13" s="65"/>
      <c r="AB13" s="20"/>
      <c r="AC13" s="20"/>
      <c r="AD13" s="65"/>
    </row>
    <row r="14" spans="1:30" s="3" customFormat="1" x14ac:dyDescent="0.3">
      <c r="A14" s="17" t="s">
        <v>9</v>
      </c>
      <c r="B14" s="22" t="s">
        <v>15</v>
      </c>
      <c r="C14" s="17" t="s">
        <v>21</v>
      </c>
      <c r="D14" s="22">
        <f>$D$25*500</f>
        <v>3250</v>
      </c>
      <c r="E14" s="22">
        <v>900</v>
      </c>
      <c r="F14" s="65">
        <f t="shared" si="0"/>
        <v>0.27692307692307694</v>
      </c>
      <c r="G14" s="22">
        <v>700</v>
      </c>
      <c r="H14" s="22">
        <v>333</v>
      </c>
      <c r="I14" s="65">
        <f t="shared" si="1"/>
        <v>0.4757142857142857</v>
      </c>
      <c r="J14" s="22">
        <v>1050</v>
      </c>
      <c r="K14" s="39">
        <v>416</v>
      </c>
      <c r="L14" s="65">
        <f t="shared" si="4"/>
        <v>0.3961904761904762</v>
      </c>
      <c r="M14" s="22">
        <v>350</v>
      </c>
      <c r="N14" s="39">
        <v>216</v>
      </c>
      <c r="O14" s="65">
        <f t="shared" si="2"/>
        <v>0.6171428571428571</v>
      </c>
      <c r="P14" s="22">
        <v>490</v>
      </c>
      <c r="Q14" s="22">
        <v>336</v>
      </c>
      <c r="R14" s="65">
        <f t="shared" si="3"/>
        <v>0.68571428571428572</v>
      </c>
      <c r="S14" s="20"/>
      <c r="T14" s="20"/>
      <c r="U14" s="65"/>
      <c r="V14" s="20"/>
      <c r="W14" s="20"/>
      <c r="X14" s="65"/>
      <c r="Y14" s="20"/>
      <c r="Z14" s="20"/>
      <c r="AA14" s="65"/>
      <c r="AB14" s="20"/>
      <c r="AC14" s="20"/>
      <c r="AD14" s="65"/>
    </row>
    <row r="15" spans="1:30" s="3" customFormat="1" x14ac:dyDescent="0.3">
      <c r="A15" s="17" t="s">
        <v>35</v>
      </c>
      <c r="B15" s="22" t="s">
        <v>15</v>
      </c>
      <c r="C15" s="17" t="s">
        <v>21</v>
      </c>
      <c r="D15" s="22">
        <f>$D$25*25000</f>
        <v>162500</v>
      </c>
      <c r="E15" s="22">
        <v>1000</v>
      </c>
      <c r="F15" s="65">
        <f t="shared" si="0"/>
        <v>6.1538461538461538E-3</v>
      </c>
      <c r="G15" s="22">
        <v>7000</v>
      </c>
      <c r="H15" s="22">
        <v>683</v>
      </c>
      <c r="I15" s="65">
        <f t="shared" si="1"/>
        <v>9.7571428571428573E-2</v>
      </c>
      <c r="J15" s="22">
        <v>8400</v>
      </c>
      <c r="K15" s="39">
        <v>820</v>
      </c>
      <c r="L15" s="65">
        <f t="shared" si="4"/>
        <v>9.7619047619047619E-2</v>
      </c>
      <c r="M15" s="22">
        <v>14000</v>
      </c>
      <c r="N15" s="39">
        <v>183</v>
      </c>
      <c r="O15" s="65">
        <f t="shared" si="2"/>
        <v>1.3071428571428571E-2</v>
      </c>
      <c r="P15" s="22">
        <v>31640</v>
      </c>
      <c r="Q15" s="22">
        <v>632</v>
      </c>
      <c r="R15" s="65">
        <f t="shared" si="3"/>
        <v>1.9974715549936788E-2</v>
      </c>
      <c r="S15" s="20">
        <v>140000</v>
      </c>
      <c r="T15" s="20">
        <v>11666</v>
      </c>
      <c r="U15" s="65">
        <f t="shared" si="5"/>
        <v>8.3328571428571432E-2</v>
      </c>
      <c r="V15" s="20">
        <v>10000</v>
      </c>
      <c r="W15" s="20">
        <v>83</v>
      </c>
      <c r="X15" s="65">
        <f t="shared" si="6"/>
        <v>8.3000000000000001E-3</v>
      </c>
      <c r="Y15" s="20">
        <v>200000</v>
      </c>
      <c r="Z15" s="20">
        <v>1670</v>
      </c>
      <c r="AA15" s="65">
        <f t="shared" si="7"/>
        <v>8.3499999999999998E-3</v>
      </c>
      <c r="AB15" s="20">
        <v>182000</v>
      </c>
      <c r="AC15" s="20">
        <v>2270</v>
      </c>
      <c r="AD15" s="65">
        <f t="shared" si="8"/>
        <v>1.2472527472527473E-2</v>
      </c>
    </row>
    <row r="16" spans="1:30" s="3" customFormat="1" x14ac:dyDescent="0.3">
      <c r="A16" s="17" t="s">
        <v>123</v>
      </c>
      <c r="B16" s="22" t="s">
        <v>15</v>
      </c>
      <c r="C16" s="17" t="s">
        <v>21</v>
      </c>
      <c r="D16" s="22"/>
      <c r="E16" s="22"/>
      <c r="F16" s="65"/>
      <c r="G16" s="22">
        <v>100</v>
      </c>
      <c r="H16" s="22">
        <v>666</v>
      </c>
      <c r="I16" s="65">
        <f t="shared" si="1"/>
        <v>6.66</v>
      </c>
      <c r="J16" s="22">
        <v>125</v>
      </c>
      <c r="K16" s="39">
        <v>166</v>
      </c>
      <c r="L16" s="65">
        <f t="shared" si="4"/>
        <v>1.3280000000000001</v>
      </c>
      <c r="M16" s="22">
        <v>200</v>
      </c>
      <c r="N16" s="39">
        <v>333</v>
      </c>
      <c r="O16" s="65">
        <f t="shared" si="2"/>
        <v>1.665</v>
      </c>
      <c r="P16" s="22">
        <v>220</v>
      </c>
      <c r="Q16" s="22">
        <v>352</v>
      </c>
      <c r="R16" s="65">
        <f t="shared" si="3"/>
        <v>1.6</v>
      </c>
      <c r="S16" s="20"/>
      <c r="T16" s="20"/>
      <c r="U16" s="65"/>
      <c r="V16" s="20"/>
      <c r="W16" s="20"/>
      <c r="X16" s="65"/>
      <c r="Y16" s="20"/>
      <c r="Z16" s="20"/>
      <c r="AA16" s="65"/>
      <c r="AB16" s="20"/>
      <c r="AC16" s="20"/>
      <c r="AD16" s="65"/>
    </row>
    <row r="17" spans="1:30" s="3" customFormat="1" x14ac:dyDescent="0.3">
      <c r="A17" s="17" t="s">
        <v>142</v>
      </c>
      <c r="B17" s="22" t="s">
        <v>15</v>
      </c>
      <c r="C17" s="17" t="s">
        <v>21</v>
      </c>
      <c r="D17" s="22">
        <f>$D$25*3000</f>
        <v>19500</v>
      </c>
      <c r="E17" s="22">
        <v>240</v>
      </c>
      <c r="F17" s="65">
        <f t="shared" si="0"/>
        <v>1.2307692307692308E-2</v>
      </c>
      <c r="G17" s="22"/>
      <c r="H17" s="22"/>
      <c r="I17" s="65"/>
      <c r="J17" s="22"/>
      <c r="K17" s="39"/>
      <c r="L17" s="65"/>
      <c r="M17" s="22"/>
      <c r="N17" s="39"/>
      <c r="O17" s="65"/>
      <c r="P17" s="22"/>
      <c r="Q17" s="22"/>
      <c r="R17" s="65"/>
      <c r="S17" s="20"/>
      <c r="T17" s="20"/>
      <c r="U17" s="65"/>
      <c r="V17" s="20"/>
      <c r="W17" s="20"/>
      <c r="X17" s="65"/>
      <c r="Y17" s="20"/>
      <c r="Z17" s="20"/>
      <c r="AA17" s="65"/>
      <c r="AB17" s="20"/>
      <c r="AC17" s="20"/>
      <c r="AD17" s="65"/>
    </row>
    <row r="18" spans="1:30" s="3" customFormat="1" x14ac:dyDescent="0.3">
      <c r="A18" s="17" t="s">
        <v>124</v>
      </c>
      <c r="B18" s="22" t="s">
        <v>15</v>
      </c>
      <c r="C18" s="17" t="s">
        <v>21</v>
      </c>
      <c r="D18" s="22"/>
      <c r="E18" s="22"/>
      <c r="F18" s="65"/>
      <c r="G18" s="22"/>
      <c r="H18" s="22"/>
      <c r="I18" s="65"/>
      <c r="J18" s="22">
        <v>5000</v>
      </c>
      <c r="K18" s="39">
        <v>8333</v>
      </c>
      <c r="L18" s="65">
        <f t="shared" si="4"/>
        <v>1.6666000000000001</v>
      </c>
      <c r="M18" s="22">
        <v>700</v>
      </c>
      <c r="N18" s="39">
        <v>466</v>
      </c>
      <c r="O18" s="65">
        <f t="shared" si="2"/>
        <v>0.6657142857142857</v>
      </c>
      <c r="P18" s="22"/>
      <c r="Q18" s="22"/>
      <c r="R18" s="65"/>
      <c r="S18" s="20"/>
      <c r="T18" s="20"/>
      <c r="U18" s="65"/>
      <c r="V18" s="20"/>
      <c r="W18" s="20"/>
      <c r="X18" s="65"/>
      <c r="Y18" s="20"/>
      <c r="Z18" s="20"/>
      <c r="AA18" s="65"/>
      <c r="AB18" s="20"/>
      <c r="AC18" s="20"/>
      <c r="AD18" s="65"/>
    </row>
    <row r="19" spans="1:30" s="3" customFormat="1" x14ac:dyDescent="0.3">
      <c r="A19" s="17" t="s">
        <v>143</v>
      </c>
      <c r="B19" s="22" t="s">
        <v>15</v>
      </c>
      <c r="C19" s="17" t="s">
        <v>21</v>
      </c>
      <c r="D19" s="22">
        <f>$D$25*12000</f>
        <v>78000</v>
      </c>
      <c r="E19" s="22">
        <v>480</v>
      </c>
      <c r="F19" s="65">
        <f t="shared" si="0"/>
        <v>6.1538461538461538E-3</v>
      </c>
      <c r="G19" s="22"/>
      <c r="H19" s="22"/>
      <c r="I19" s="65"/>
      <c r="J19" s="22"/>
      <c r="K19" s="39"/>
      <c r="L19" s="65"/>
      <c r="M19" s="22"/>
      <c r="N19" s="39"/>
      <c r="O19" s="65"/>
      <c r="P19" s="22"/>
      <c r="Q19" s="22"/>
      <c r="R19" s="65"/>
      <c r="S19" s="20"/>
      <c r="T19" s="20"/>
      <c r="U19" s="65"/>
      <c r="V19" s="20"/>
      <c r="W19" s="20"/>
      <c r="X19" s="65"/>
      <c r="Y19" s="20"/>
      <c r="Z19" s="20"/>
      <c r="AA19" s="65"/>
      <c r="AB19" s="20"/>
      <c r="AC19" s="20"/>
      <c r="AD19" s="65"/>
    </row>
    <row r="20" spans="1:30" s="3" customFormat="1" x14ac:dyDescent="0.3">
      <c r="A20" s="17" t="s">
        <v>283</v>
      </c>
      <c r="B20" s="22" t="s">
        <v>15</v>
      </c>
      <c r="C20" s="17" t="s">
        <v>21</v>
      </c>
      <c r="D20" s="22">
        <f>$D$25*(3000+4000)</f>
        <v>45500</v>
      </c>
      <c r="E20" s="22">
        <f>420+720</f>
        <v>1140</v>
      </c>
      <c r="F20" s="65">
        <f t="shared" si="0"/>
        <v>2.5054945054945054E-2</v>
      </c>
      <c r="G20" s="22">
        <v>20000</v>
      </c>
      <c r="H20" s="22"/>
      <c r="I20" s="65"/>
      <c r="J20" s="22"/>
      <c r="L20" s="65"/>
      <c r="M20" s="22">
        <v>8400</v>
      </c>
      <c r="N20" s="39">
        <v>160</v>
      </c>
      <c r="O20" s="65">
        <f t="shared" si="2"/>
        <v>1.9047619047619049E-2</v>
      </c>
      <c r="P20" s="22">
        <v>4200</v>
      </c>
      <c r="Q20" s="22">
        <v>60</v>
      </c>
      <c r="R20" s="65">
        <f t="shared" si="3"/>
        <v>1.4285714285714285E-2</v>
      </c>
      <c r="S20" s="20"/>
      <c r="T20" s="20"/>
      <c r="U20" s="65"/>
      <c r="V20" s="20"/>
      <c r="W20" s="20"/>
      <c r="X20" s="65"/>
      <c r="Y20" s="20"/>
      <c r="Z20" s="20"/>
      <c r="AA20" s="65"/>
      <c r="AB20" s="20"/>
      <c r="AC20" s="20"/>
      <c r="AD20" s="65"/>
    </row>
    <row r="21" spans="1:30" s="3" customFormat="1" x14ac:dyDescent="0.3">
      <c r="A21" s="17" t="s">
        <v>282</v>
      </c>
      <c r="B21" s="22" t="s">
        <v>273</v>
      </c>
      <c r="C21" s="17" t="s">
        <v>43</v>
      </c>
      <c r="D21" s="22">
        <v>35000</v>
      </c>
      <c r="E21" s="22">
        <v>100</v>
      </c>
      <c r="F21" s="65">
        <f t="shared" si="0"/>
        <v>2.8571428571428571E-3</v>
      </c>
      <c r="G21" s="22"/>
      <c r="H21" s="22"/>
      <c r="I21" s="65"/>
      <c r="J21" s="22"/>
      <c r="L21" s="65"/>
      <c r="M21" s="22"/>
      <c r="N21" s="22"/>
      <c r="O21" s="65"/>
      <c r="P21" s="22"/>
      <c r="Q21" s="22"/>
      <c r="R21" s="65"/>
      <c r="S21" s="20"/>
      <c r="T21" s="20"/>
      <c r="U21" s="65"/>
      <c r="V21" s="20">
        <v>3000</v>
      </c>
      <c r="W21" s="20">
        <v>187</v>
      </c>
      <c r="X21" s="65">
        <f t="shared" si="6"/>
        <v>6.2333333333333331E-2</v>
      </c>
      <c r="Y21" s="20">
        <v>850</v>
      </c>
      <c r="Z21" s="20">
        <v>90</v>
      </c>
      <c r="AA21" s="65">
        <f t="shared" si="7"/>
        <v>0.10588235294117647</v>
      </c>
      <c r="AB21" s="20"/>
      <c r="AC21" s="20"/>
      <c r="AD21" s="65"/>
    </row>
    <row r="22" spans="1:30" s="3" customFormat="1" x14ac:dyDescent="0.3">
      <c r="A22" s="16" t="s">
        <v>5</v>
      </c>
      <c r="B22" s="22"/>
      <c r="C22" s="22"/>
      <c r="D22" s="22"/>
      <c r="E22" s="22">
        <v>25858</v>
      </c>
      <c r="F22" s="22"/>
      <c r="G22" s="22"/>
      <c r="H22" s="22">
        <f>SUM(H4:H21)</f>
        <v>3348</v>
      </c>
      <c r="I22" s="22"/>
      <c r="K22" s="22">
        <f>SUM(K4:K21)</f>
        <v>24717</v>
      </c>
      <c r="L22" s="22"/>
      <c r="N22" s="22">
        <f>SUM(N4:N21)</f>
        <v>55349</v>
      </c>
      <c r="O22" s="22"/>
      <c r="Q22" s="22">
        <f>SUM(Q4:Q21)</f>
        <v>92812</v>
      </c>
      <c r="R22" s="22"/>
      <c r="T22" s="20">
        <v>253227</v>
      </c>
      <c r="U22" s="20"/>
      <c r="W22" s="20">
        <v>170905</v>
      </c>
      <c r="X22" s="20"/>
      <c r="Z22" s="20">
        <v>148730</v>
      </c>
      <c r="AA22" s="20"/>
      <c r="AB22" s="20"/>
      <c r="AC22" s="20">
        <v>166900</v>
      </c>
    </row>
    <row r="23" spans="1:30" s="3" customFormat="1" x14ac:dyDescent="0.3">
      <c r="A23" s="17"/>
      <c r="B23" s="22"/>
      <c r="C23" s="22"/>
      <c r="D23" s="22"/>
      <c r="E23" s="22"/>
      <c r="F23" s="22"/>
    </row>
    <row r="24" spans="1:30" s="3" customFormat="1" x14ac:dyDescent="0.3">
      <c r="A24" s="29" t="s">
        <v>22</v>
      </c>
      <c r="B24" s="22"/>
      <c r="C24" s="22"/>
      <c r="D24" s="22"/>
      <c r="E24" s="22"/>
      <c r="F24" s="22"/>
    </row>
    <row r="25" spans="1:30" x14ac:dyDescent="0.3">
      <c r="B25" s="3">
        <v>1</v>
      </c>
      <c r="C25" s="4" t="s">
        <v>28</v>
      </c>
      <c r="D25" s="6">
        <v>6.5</v>
      </c>
      <c r="E25" s="40" t="s">
        <v>29</v>
      </c>
      <c r="F25" s="4"/>
      <c r="G25" s="4"/>
      <c r="H25" s="6"/>
      <c r="I25" s="4"/>
      <c r="J25" s="4"/>
      <c r="R25" s="21"/>
      <c r="S25" s="21"/>
    </row>
    <row r="26" spans="1:30" s="3" customFormat="1" x14ac:dyDescent="0.3">
      <c r="A26" s="17"/>
      <c r="B26" s="22"/>
      <c r="C26" s="22"/>
      <c r="D26" s="22"/>
      <c r="E26" s="22"/>
      <c r="F26" s="22"/>
    </row>
    <row r="27" spans="1:30" s="3" customFormat="1" ht="15" customHeight="1" x14ac:dyDescent="0.3">
      <c r="A27" s="17"/>
      <c r="B27" s="22"/>
      <c r="C27" s="22"/>
      <c r="D27" s="22"/>
      <c r="E27" s="22"/>
      <c r="F27" s="22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30" s="3" customFormat="1" x14ac:dyDescent="0.3">
      <c r="A28" s="17"/>
      <c r="B28" s="21"/>
      <c r="C28" s="21"/>
      <c r="D28" s="21"/>
      <c r="E28" s="21"/>
      <c r="F28" s="21"/>
    </row>
    <row r="29" spans="1:30" s="3" customFormat="1" x14ac:dyDescent="0.3">
      <c r="A29" s="17"/>
      <c r="B29" s="21"/>
      <c r="C29" s="21"/>
      <c r="D29" s="21"/>
      <c r="E29" s="21"/>
      <c r="F29" s="21"/>
    </row>
    <row r="30" spans="1:30" s="3" customFormat="1" x14ac:dyDescent="0.3">
      <c r="A30" s="17"/>
      <c r="B30" s="21"/>
      <c r="C30" s="21"/>
      <c r="D30" s="21"/>
      <c r="E30" s="21"/>
      <c r="F30" s="21"/>
    </row>
    <row r="31" spans="1:30" s="3" customFormat="1" x14ac:dyDescent="0.3">
      <c r="A31" s="17"/>
      <c r="B31" s="21"/>
      <c r="C31" s="21"/>
      <c r="D31" s="21"/>
      <c r="E31" s="21"/>
      <c r="F31" s="21"/>
    </row>
    <row r="32" spans="1:30" s="3" customFormat="1" x14ac:dyDescent="0.3">
      <c r="A32" s="17"/>
      <c r="B32" s="21"/>
      <c r="C32" s="21"/>
      <c r="D32" s="21"/>
      <c r="E32" s="21"/>
      <c r="F32" s="2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3" customFormat="1" x14ac:dyDescent="0.3">
      <c r="A33" s="17"/>
      <c r="B33" s="21"/>
      <c r="C33" s="21"/>
      <c r="D33" s="21"/>
      <c r="E33" s="21"/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s="3" customFormat="1" x14ac:dyDescent="0.3">
      <c r="A34" s="17"/>
      <c r="B34" s="21"/>
      <c r="C34" s="21"/>
      <c r="D34" s="21"/>
      <c r="E34" s="21"/>
      <c r="F34" s="2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s="3" customFormat="1" x14ac:dyDescent="0.3">
      <c r="A35" s="17"/>
      <c r="B35" s="21"/>
      <c r="C35" s="21"/>
      <c r="D35" s="21"/>
      <c r="E35" s="21"/>
      <c r="F35" s="2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s="3" customFormat="1" x14ac:dyDescent="0.3">
      <c r="A36" s="17"/>
      <c r="B36" s="21"/>
      <c r="C36" s="21"/>
      <c r="D36" s="21"/>
      <c r="E36" s="21"/>
      <c r="F36" s="2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s="3" customFormat="1" x14ac:dyDescent="0.3">
      <c r="A37" s="17"/>
      <c r="B37" s="21"/>
      <c r="C37" s="21"/>
      <c r="D37" s="21"/>
      <c r="E37" s="21"/>
      <c r="F37" s="2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s="3" customFormat="1" x14ac:dyDescent="0.3">
      <c r="A38" s="17"/>
      <c r="B38" s="21"/>
      <c r="C38" s="21"/>
      <c r="D38" s="21"/>
      <c r="E38" s="21"/>
      <c r="F38" s="2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s="3" customFormat="1" x14ac:dyDescent="0.3">
      <c r="A39" s="17"/>
      <c r="B39" s="21"/>
      <c r="C39" s="21"/>
      <c r="D39" s="21"/>
      <c r="E39" s="21"/>
      <c r="F39" s="2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s="3" customFormat="1" x14ac:dyDescent="0.3">
      <c r="A40" s="17"/>
      <c r="B40" s="21"/>
      <c r="C40" s="21"/>
      <c r="D40" s="21"/>
      <c r="E40" s="21"/>
      <c r="F40" s="2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s="3" customFormat="1" x14ac:dyDescent="0.3">
      <c r="A41" s="17"/>
      <c r="B41" s="21"/>
      <c r="C41" s="21"/>
      <c r="D41" s="21"/>
      <c r="E41" s="21"/>
      <c r="F41" s="2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s="3" customFormat="1" x14ac:dyDescent="0.3">
      <c r="A42" s="17"/>
      <c r="B42" s="21"/>
      <c r="C42" s="21"/>
      <c r="D42" s="21"/>
      <c r="E42" s="21"/>
      <c r="F42" s="2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s="3" customFormat="1" x14ac:dyDescent="0.3">
      <c r="A43" s="17"/>
      <c r="B43" s="21"/>
      <c r="C43" s="21"/>
      <c r="D43" s="21"/>
      <c r="E43" s="21"/>
      <c r="F43" s="2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s="3" customFormat="1" x14ac:dyDescent="0.3">
      <c r="A44" s="17"/>
      <c r="B44" s="21"/>
      <c r="C44" s="21"/>
      <c r="D44" s="21"/>
      <c r="E44" s="21"/>
      <c r="F44" s="2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s="3" customFormat="1" x14ac:dyDescent="0.3">
      <c r="A45" s="17"/>
      <c r="B45" s="21"/>
      <c r="C45" s="21"/>
      <c r="D45" s="21"/>
      <c r="E45" s="21"/>
      <c r="F45" s="2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s="3" customFormat="1" x14ac:dyDescent="0.3">
      <c r="A46" s="17"/>
      <c r="B46" s="21"/>
      <c r="C46" s="21"/>
      <c r="D46" s="21"/>
      <c r="E46" s="21"/>
      <c r="F46" s="2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s="3" customFormat="1" x14ac:dyDescent="0.3">
      <c r="A47" s="17"/>
      <c r="B47" s="21"/>
      <c r="C47" s="21"/>
      <c r="D47" s="21"/>
      <c r="E47" s="21"/>
      <c r="F47" s="2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s="3" customFormat="1" x14ac:dyDescent="0.3">
      <c r="A48" s="17"/>
      <c r="B48" s="21"/>
      <c r="C48" s="21"/>
      <c r="D48" s="21"/>
      <c r="E48" s="21"/>
      <c r="F48" s="2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s="3" customFormat="1" x14ac:dyDescent="0.3">
      <c r="A49" s="17"/>
      <c r="B49" s="21"/>
      <c r="C49" s="21"/>
      <c r="D49" s="21"/>
      <c r="E49" s="21"/>
      <c r="F49" s="2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s="3" customFormat="1" x14ac:dyDescent="0.3">
      <c r="A50" s="17"/>
      <c r="B50" s="21"/>
      <c r="C50" s="21"/>
      <c r="D50" s="21"/>
      <c r="E50" s="21"/>
      <c r="F50" s="2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s="3" customFormat="1" x14ac:dyDescent="0.3">
      <c r="A51" s="17"/>
      <c r="B51" s="21"/>
      <c r="C51" s="21"/>
      <c r="D51" s="21"/>
      <c r="E51" s="21"/>
      <c r="F51" s="2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s="3" customFormat="1" x14ac:dyDescent="0.3">
      <c r="A52" s="17"/>
      <c r="B52" s="21"/>
      <c r="C52" s="21"/>
      <c r="D52" s="21"/>
      <c r="E52" s="21"/>
      <c r="F52" s="2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s="3" customFormat="1" x14ac:dyDescent="0.3">
      <c r="A53" s="17"/>
      <c r="B53" s="21"/>
      <c r="C53" s="21"/>
      <c r="D53" s="21"/>
      <c r="E53" s="21"/>
      <c r="F53" s="2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s="3" customFormat="1" x14ac:dyDescent="0.3">
      <c r="A54" s="17"/>
      <c r="B54" s="21"/>
      <c r="C54" s="21"/>
      <c r="D54" s="21"/>
      <c r="E54" s="21"/>
      <c r="F54" s="2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s="3" customFormat="1" x14ac:dyDescent="0.3">
      <c r="A55" s="17"/>
      <c r="B55" s="21"/>
      <c r="C55" s="21"/>
      <c r="D55" s="21"/>
      <c r="E55" s="21"/>
      <c r="F55" s="2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s="3" customFormat="1" x14ac:dyDescent="0.3">
      <c r="A56" s="17"/>
      <c r="B56" s="21"/>
      <c r="C56" s="21"/>
      <c r="D56" s="21"/>
      <c r="E56" s="21"/>
      <c r="F56" s="2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s="3" customFormat="1" x14ac:dyDescent="0.3">
      <c r="A57" s="17"/>
      <c r="B57" s="21"/>
      <c r="C57" s="21"/>
      <c r="D57" s="21"/>
      <c r="E57" s="21"/>
      <c r="F57" s="2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s="3" customFormat="1" x14ac:dyDescent="0.3">
      <c r="A58" s="17"/>
      <c r="B58" s="21"/>
      <c r="C58" s="21"/>
      <c r="D58" s="21"/>
      <c r="E58" s="21"/>
      <c r="F58" s="2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s="3" customFormat="1" x14ac:dyDescent="0.3">
      <c r="A59" s="17"/>
      <c r="B59" s="21"/>
      <c r="C59" s="21"/>
      <c r="D59" s="21"/>
      <c r="E59" s="21"/>
      <c r="F59" s="2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s="3" customFormat="1" x14ac:dyDescent="0.3">
      <c r="A60" s="17"/>
      <c r="B60" s="21"/>
      <c r="C60" s="21"/>
      <c r="D60" s="21"/>
      <c r="E60" s="21"/>
      <c r="F60" s="2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s="3" customFormat="1" x14ac:dyDescent="0.3">
      <c r="A61" s="17"/>
      <c r="B61" s="21"/>
      <c r="C61" s="21"/>
      <c r="D61" s="21"/>
      <c r="E61" s="21"/>
      <c r="F61" s="2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s="3" customFormat="1" x14ac:dyDescent="0.3">
      <c r="A62" s="17"/>
      <c r="B62" s="21"/>
      <c r="C62" s="21"/>
      <c r="D62" s="21"/>
      <c r="E62" s="21"/>
      <c r="F62" s="2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s="3" customFormat="1" x14ac:dyDescent="0.3">
      <c r="A63" s="17"/>
      <c r="B63" s="21"/>
      <c r="C63" s="21"/>
      <c r="D63" s="21"/>
      <c r="E63" s="21"/>
      <c r="F63" s="2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s="3" customFormat="1" x14ac:dyDescent="0.3">
      <c r="A64" s="17"/>
      <c r="B64" s="21"/>
      <c r="C64" s="21"/>
      <c r="D64" s="21"/>
      <c r="E64" s="21"/>
      <c r="F64" s="2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s="3" customFormat="1" x14ac:dyDescent="0.3">
      <c r="A65" s="17"/>
      <c r="B65" s="21"/>
      <c r="C65" s="21"/>
      <c r="D65" s="21"/>
      <c r="E65" s="21"/>
      <c r="F65" s="2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s="3" customFormat="1" x14ac:dyDescent="0.3">
      <c r="A66" s="17"/>
      <c r="B66" s="21"/>
      <c r="C66" s="21"/>
      <c r="D66" s="21"/>
      <c r="E66" s="21"/>
      <c r="F66" s="2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s="3" customFormat="1" x14ac:dyDescent="0.3">
      <c r="A67" s="17"/>
      <c r="B67" s="21"/>
      <c r="C67" s="21"/>
      <c r="D67" s="21"/>
      <c r="E67" s="21"/>
      <c r="F67" s="2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s="3" customFormat="1" x14ac:dyDescent="0.3">
      <c r="A68" s="17"/>
      <c r="B68" s="21"/>
      <c r="C68" s="21"/>
      <c r="D68" s="21"/>
      <c r="E68" s="21"/>
      <c r="F68" s="2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s="3" customFormat="1" x14ac:dyDescent="0.3">
      <c r="A69" s="17"/>
      <c r="B69" s="21"/>
      <c r="C69" s="21"/>
      <c r="D69" s="21"/>
      <c r="E69" s="21"/>
      <c r="F69" s="2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s="3" customFormat="1" x14ac:dyDescent="0.3">
      <c r="A70" s="17"/>
      <c r="B70" s="21"/>
      <c r="C70" s="21"/>
      <c r="D70" s="21"/>
      <c r="E70" s="21"/>
      <c r="F70" s="2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s="3" customFormat="1" x14ac:dyDescent="0.3">
      <c r="A71" s="17"/>
      <c r="B71" s="21"/>
      <c r="C71" s="21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s="3" customFormat="1" x14ac:dyDescent="0.3">
      <c r="A72" s="17"/>
      <c r="B72" s="21"/>
      <c r="C72" s="21"/>
      <c r="D72" s="21"/>
      <c r="E72" s="21"/>
      <c r="F72" s="21"/>
    </row>
    <row r="73" spans="1:18" s="3" customFormat="1" x14ac:dyDescent="0.3">
      <c r="A73" s="17"/>
      <c r="B73" s="21"/>
      <c r="C73" s="21"/>
      <c r="D73" s="21"/>
      <c r="E73" s="21"/>
      <c r="F73" s="21"/>
    </row>
    <row r="74" spans="1:18" s="3" customFormat="1" x14ac:dyDescent="0.3">
      <c r="A74" s="17"/>
      <c r="B74" s="21"/>
      <c r="C74" s="21"/>
      <c r="D74" s="21"/>
      <c r="E74" s="21"/>
      <c r="F74" s="21"/>
    </row>
    <row r="75" spans="1:18" s="3" customFormat="1" x14ac:dyDescent="0.3">
      <c r="A75" s="17"/>
      <c r="B75" s="21"/>
      <c r="C75" s="21"/>
      <c r="D75" s="21"/>
      <c r="E75" s="21"/>
      <c r="F75" s="21"/>
    </row>
    <row r="76" spans="1:18" s="3" customFormat="1" x14ac:dyDescent="0.3">
      <c r="A76" s="17"/>
      <c r="B76" s="21"/>
      <c r="C76" s="21"/>
      <c r="D76" s="21"/>
      <c r="E76" s="21"/>
      <c r="F76" s="21"/>
    </row>
    <row r="77" spans="1:18" s="3" customFormat="1" x14ac:dyDescent="0.3">
      <c r="A77" s="17"/>
      <c r="B77" s="21"/>
      <c r="C77" s="21"/>
      <c r="D77" s="21"/>
      <c r="E77" s="21"/>
      <c r="F77" s="21"/>
    </row>
    <row r="78" spans="1:18" s="3" customFormat="1" x14ac:dyDescent="0.3">
      <c r="A78" s="17"/>
      <c r="B78" s="21"/>
      <c r="C78" s="21"/>
      <c r="D78" s="21"/>
      <c r="E78" s="21"/>
      <c r="F78" s="21"/>
    </row>
    <row r="79" spans="1:18" s="3" customFormat="1" x14ac:dyDescent="0.3">
      <c r="A79" s="17"/>
      <c r="B79" s="21"/>
      <c r="C79" s="21"/>
      <c r="D79" s="21"/>
      <c r="E79" s="21"/>
      <c r="F79" s="21"/>
    </row>
    <row r="80" spans="1:18" s="3" customFormat="1" x14ac:dyDescent="0.3">
      <c r="A80" s="17"/>
      <c r="B80" s="21"/>
      <c r="C80" s="21"/>
      <c r="D80" s="21"/>
      <c r="E80" s="21"/>
      <c r="F80" s="21"/>
    </row>
    <row r="81" spans="1:18" s="3" customFormat="1" x14ac:dyDescent="0.3">
      <c r="A81" s="17"/>
      <c r="B81" s="21"/>
      <c r="C81" s="21"/>
      <c r="D81" s="21"/>
      <c r="E81" s="21"/>
      <c r="F81" s="21"/>
    </row>
    <row r="82" spans="1:18" s="3" customFormat="1" x14ac:dyDescent="0.3">
      <c r="A82" s="17"/>
      <c r="B82" s="21"/>
      <c r="C82" s="21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s="3" customFormat="1" x14ac:dyDescent="0.3">
      <c r="A83" s="17"/>
      <c r="B83" s="21"/>
      <c r="C83" s="21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s="3" customFormat="1" x14ac:dyDescent="0.3">
      <c r="A84" s="17"/>
      <c r="B84" s="21"/>
      <c r="C84" s="21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s="3" customFormat="1" x14ac:dyDescent="0.3">
      <c r="A85" s="17"/>
      <c r="B85" s="21"/>
      <c r="C85" s="21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s="3" customFormat="1" x14ac:dyDescent="0.3">
      <c r="A86" s="17"/>
      <c r="B86" s="21"/>
      <c r="C86" s="21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s="3" customFormat="1" x14ac:dyDescent="0.3">
      <c r="A87" s="17"/>
      <c r="B87" s="21"/>
      <c r="C87" s="21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s="3" customFormat="1" x14ac:dyDescent="0.3">
      <c r="A88" s="17"/>
      <c r="B88" s="21"/>
      <c r="C88" s="21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s="3" customFormat="1" x14ac:dyDescent="0.3">
      <c r="A89" s="17"/>
      <c r="B89" s="21"/>
      <c r="C89" s="21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s="3" customFormat="1" x14ac:dyDescent="0.3">
      <c r="A90" s="17"/>
      <c r="B90" s="21"/>
      <c r="C90" s="21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s="3" customFormat="1" x14ac:dyDescent="0.3">
      <c r="A91" s="17"/>
      <c r="B91" s="21"/>
      <c r="C91" s="21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s="3" customFormat="1" x14ac:dyDescent="0.3">
      <c r="A92" s="17"/>
      <c r="B92" s="21"/>
      <c r="C92" s="21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s="3" customFormat="1" x14ac:dyDescent="0.3">
      <c r="A93" s="17"/>
      <c r="B93" s="21"/>
      <c r="C93" s="21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s="3" customFormat="1" x14ac:dyDescent="0.3">
      <c r="A94" s="17"/>
      <c r="B94" s="21"/>
      <c r="C94" s="21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" customFormat="1" x14ac:dyDescent="0.3">
      <c r="A95" s="17"/>
      <c r="B95" s="21"/>
      <c r="C95" s="21"/>
      <c r="D95" s="21"/>
      <c r="E95" s="21"/>
      <c r="F95" s="21"/>
    </row>
    <row r="96" spans="1:18" s="3" customFormat="1" x14ac:dyDescent="0.3">
      <c r="A96" s="17"/>
      <c r="B96" s="21"/>
      <c r="C96" s="21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s="3" customFormat="1" x14ac:dyDescent="0.3">
      <c r="A97" s="17"/>
      <c r="B97" s="21"/>
      <c r="C97" s="21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s="3" customFormat="1" x14ac:dyDescent="0.3">
      <c r="A98" s="17"/>
      <c r="B98" s="21"/>
      <c r="C98" s="21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s="3" customFormat="1" x14ac:dyDescent="0.3">
      <c r="A99" s="17"/>
      <c r="B99" s="21"/>
      <c r="C99" s="21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s="3" customFormat="1" x14ac:dyDescent="0.3">
      <c r="A100" s="17"/>
      <c r="B100" s="21"/>
      <c r="C100" s="21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s="3" customFormat="1" x14ac:dyDescent="0.3">
      <c r="A101" s="17"/>
      <c r="B101" s="21"/>
      <c r="C101" s="21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s="3" customFormat="1" x14ac:dyDescent="0.3">
      <c r="A102" s="17"/>
      <c r="B102" s="21"/>
      <c r="C102" s="21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s="3" customFormat="1" x14ac:dyDescent="0.3">
      <c r="A103" s="17"/>
      <c r="B103" s="21"/>
      <c r="C103" s="21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s="3" customFormat="1" x14ac:dyDescent="0.3">
      <c r="A104" s="17"/>
      <c r="B104" s="21"/>
      <c r="C104" s="21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s="3" customFormat="1" x14ac:dyDescent="0.3">
      <c r="A105" s="17"/>
      <c r="B105" s="21"/>
      <c r="C105" s="21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s="3" customFormat="1" x14ac:dyDescent="0.3">
      <c r="A106" s="17"/>
      <c r="B106" s="21"/>
      <c r="C106" s="21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s="3" customFormat="1" x14ac:dyDescent="0.3">
      <c r="A107" s="17"/>
      <c r="B107" s="21"/>
      <c r="C107" s="21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s="3" customFormat="1" x14ac:dyDescent="0.3">
      <c r="A108" s="17"/>
      <c r="B108" s="21"/>
      <c r="C108" s="21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s="3" customFormat="1" x14ac:dyDescent="0.3">
      <c r="A109" s="17"/>
      <c r="B109" s="21"/>
      <c r="C109" s="21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s="3" customFormat="1" x14ac:dyDescent="0.3">
      <c r="A110" s="17"/>
      <c r="B110" s="21"/>
      <c r="C110" s="21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s="3" customFormat="1" x14ac:dyDescent="0.3">
      <c r="A111" s="17"/>
      <c r="B111" s="21"/>
      <c r="C111" s="21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s="3" customFormat="1" x14ac:dyDescent="0.3">
      <c r="A112" s="17"/>
      <c r="B112" s="21"/>
      <c r="C112" s="21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s="3" customFormat="1" x14ac:dyDescent="0.3">
      <c r="A113" s="17"/>
      <c r="B113" s="21"/>
      <c r="C113" s="21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s="3" customFormat="1" x14ac:dyDescent="0.3">
      <c r="A114" s="17"/>
      <c r="B114" s="21"/>
      <c r="C114" s="21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s="3" customFormat="1" x14ac:dyDescent="0.3">
      <c r="A115" s="17"/>
      <c r="B115" s="21"/>
      <c r="C115" s="21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s="3" customFormat="1" x14ac:dyDescent="0.3">
      <c r="A116" s="17"/>
      <c r="B116" s="21"/>
      <c r="C116" s="21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s="3" customFormat="1" x14ac:dyDescent="0.3">
      <c r="A117" s="17"/>
      <c r="B117" s="21"/>
      <c r="C117" s="21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s="3" customFormat="1" x14ac:dyDescent="0.3">
      <c r="A118" s="17"/>
      <c r="B118" s="21"/>
      <c r="C118" s="21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s="3" customFormat="1" x14ac:dyDescent="0.3">
      <c r="A119" s="17"/>
      <c r="B119" s="21"/>
      <c r="C119" s="21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s="3" customFormat="1" x14ac:dyDescent="0.3">
      <c r="A120" s="17"/>
      <c r="B120" s="21"/>
      <c r="C120" s="21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s="3" customFormat="1" x14ac:dyDescent="0.3">
      <c r="A121" s="17"/>
      <c r="B121" s="21"/>
      <c r="C121" s="21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s="3" customFormat="1" x14ac:dyDescent="0.3">
      <c r="A122" s="17"/>
      <c r="B122" s="21"/>
      <c r="C122" s="21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s="3" customFormat="1" x14ac:dyDescent="0.3">
      <c r="A123" s="17"/>
      <c r="B123" s="21"/>
      <c r="C123" s="21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s="3" customFormat="1" x14ac:dyDescent="0.3">
      <c r="A124" s="17"/>
      <c r="B124" s="21"/>
      <c r="C124" s="21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s="3" customFormat="1" x14ac:dyDescent="0.3">
      <c r="A125" s="17"/>
      <c r="B125" s="21"/>
      <c r="C125" s="21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s="3" customFormat="1" x14ac:dyDescent="0.3">
      <c r="A126" s="17"/>
      <c r="B126" s="21"/>
      <c r="C126" s="21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s="3" customFormat="1" x14ac:dyDescent="0.3">
      <c r="A127" s="17"/>
      <c r="B127" s="21"/>
      <c r="C127" s="21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s="3" customFormat="1" x14ac:dyDescent="0.3">
      <c r="A128" s="17"/>
      <c r="B128" s="21"/>
      <c r="C128" s="21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s="3" customFormat="1" x14ac:dyDescent="0.3">
      <c r="A129" s="17"/>
      <c r="B129" s="21"/>
      <c r="C129" s="21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s="3" customFormat="1" x14ac:dyDescent="0.3">
      <c r="A130" s="17"/>
      <c r="B130" s="21"/>
      <c r="C130" s="21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s="3" customFormat="1" x14ac:dyDescent="0.3">
      <c r="A131" s="17"/>
      <c r="B131" s="21"/>
      <c r="C131" s="21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s="3" customFormat="1" x14ac:dyDescent="0.3">
      <c r="A132" s="17"/>
      <c r="B132" s="21"/>
      <c r="C132" s="21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s="3" customFormat="1" x14ac:dyDescent="0.3">
      <c r="A133" s="17"/>
      <c r="B133" s="21"/>
      <c r="C133" s="21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s="3" customFormat="1" x14ac:dyDescent="0.3">
      <c r="A134" s="17"/>
      <c r="B134" s="21"/>
      <c r="C134" s="21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s="3" customFormat="1" x14ac:dyDescent="0.3">
      <c r="A135" s="17"/>
      <c r="B135" s="21"/>
      <c r="C135" s="21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s="3" customFormat="1" x14ac:dyDescent="0.3">
      <c r="A136" s="17"/>
      <c r="B136" s="21"/>
      <c r="C136" s="21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s="3" customFormat="1" x14ac:dyDescent="0.3">
      <c r="A137" s="17"/>
      <c r="B137" s="21"/>
      <c r="C137" s="21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s="3" customFormat="1" x14ac:dyDescent="0.3">
      <c r="A138" s="17"/>
      <c r="B138" s="21"/>
      <c r="C138" s="21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s="3" customFormat="1" x14ac:dyDescent="0.3">
      <c r="A139" s="17"/>
      <c r="B139" s="21"/>
      <c r="C139" s="21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s="3" customFormat="1" x14ac:dyDescent="0.3">
      <c r="A140" s="17"/>
      <c r="B140" s="21"/>
      <c r="C140" s="21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s="3" customFormat="1" x14ac:dyDescent="0.3">
      <c r="A141" s="17"/>
      <c r="B141" s="21"/>
      <c r="C141" s="21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s="3" customFormat="1" x14ac:dyDescent="0.3">
      <c r="A142" s="17"/>
      <c r="B142" s="21"/>
      <c r="C142" s="21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s="3" customFormat="1" x14ac:dyDescent="0.3">
      <c r="A143" s="17"/>
      <c r="B143" s="21"/>
      <c r="C143" s="21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s="3" customFormat="1" x14ac:dyDescent="0.3">
      <c r="A144" s="17"/>
      <c r="B144" s="21"/>
      <c r="C144" s="21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s="3" customFormat="1" x14ac:dyDescent="0.3">
      <c r="A145" s="17"/>
      <c r="B145" s="21"/>
      <c r="C145" s="21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s="3" customFormat="1" x14ac:dyDescent="0.3">
      <c r="A146" s="17"/>
      <c r="B146" s="21"/>
      <c r="C146" s="21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s="3" customFormat="1" x14ac:dyDescent="0.3">
      <c r="A147" s="17"/>
      <c r="B147" s="21"/>
      <c r="C147" s="21"/>
      <c r="D147" s="21"/>
      <c r="E147" s="21"/>
      <c r="F147" s="2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3" customFormat="1" x14ac:dyDescent="0.3">
      <c r="A148" s="17"/>
      <c r="B148" s="21"/>
      <c r="C148" s="21"/>
      <c r="D148" s="21"/>
      <c r="E148" s="21"/>
      <c r="F148" s="2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3" customFormat="1" x14ac:dyDescent="0.3">
      <c r="A149" s="17"/>
      <c r="B149" s="21"/>
      <c r="C149" s="21"/>
      <c r="D149" s="21"/>
      <c r="E149" s="21"/>
      <c r="F149" s="2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3" customFormat="1" x14ac:dyDescent="0.3">
      <c r="A150" s="17"/>
      <c r="B150" s="21"/>
      <c r="C150" s="21"/>
      <c r="D150" s="21"/>
      <c r="E150" s="21"/>
      <c r="F150" s="2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3" customFormat="1" x14ac:dyDescent="0.3">
      <c r="A151" s="17"/>
      <c r="B151" s="21"/>
      <c r="C151" s="21"/>
      <c r="D151" s="21"/>
      <c r="E151" s="21"/>
      <c r="F151" s="2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3" customFormat="1" x14ac:dyDescent="0.3">
      <c r="A152" s="17"/>
      <c r="B152" s="21"/>
      <c r="C152" s="21"/>
      <c r="D152" s="21"/>
      <c r="E152" s="21"/>
      <c r="F152" s="2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3" customFormat="1" x14ac:dyDescent="0.3">
      <c r="A153" s="17"/>
      <c r="B153" s="21"/>
      <c r="C153" s="21"/>
      <c r="D153" s="21"/>
      <c r="E153" s="21"/>
      <c r="F153" s="2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3" customFormat="1" x14ac:dyDescent="0.3">
      <c r="A154" s="17"/>
      <c r="B154" s="21"/>
      <c r="C154" s="21"/>
      <c r="D154" s="21"/>
      <c r="E154" s="21"/>
      <c r="F154" s="2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3" customFormat="1" x14ac:dyDescent="0.3">
      <c r="A155" s="17"/>
      <c r="B155" s="21"/>
      <c r="C155" s="21"/>
      <c r="D155" s="21"/>
      <c r="E155" s="21"/>
      <c r="F155" s="2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3" customFormat="1" x14ac:dyDescent="0.3">
      <c r="A156" s="17"/>
      <c r="B156" s="21"/>
      <c r="C156" s="21"/>
      <c r="D156" s="21"/>
      <c r="E156" s="21"/>
      <c r="F156" s="2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3" customFormat="1" x14ac:dyDescent="0.3">
      <c r="A157" s="17"/>
      <c r="B157" s="21"/>
      <c r="C157" s="21"/>
      <c r="D157" s="21"/>
      <c r="E157" s="21"/>
      <c r="F157" s="2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3" customFormat="1" x14ac:dyDescent="0.3">
      <c r="A158" s="17"/>
      <c r="B158" s="21"/>
      <c r="C158" s="21"/>
      <c r="D158" s="21"/>
      <c r="E158" s="21"/>
      <c r="F158" s="2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3" customFormat="1" x14ac:dyDescent="0.3">
      <c r="A159" s="17"/>
      <c r="B159" s="21"/>
      <c r="C159" s="21"/>
      <c r="D159" s="21"/>
      <c r="E159" s="21"/>
      <c r="F159" s="2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3" customFormat="1" x14ac:dyDescent="0.3">
      <c r="A160" s="17"/>
      <c r="B160" s="21"/>
      <c r="C160" s="21"/>
      <c r="D160" s="21"/>
      <c r="E160" s="21"/>
      <c r="F160" s="2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3" customFormat="1" x14ac:dyDescent="0.3">
      <c r="A161" s="17"/>
      <c r="B161" s="21"/>
      <c r="C161" s="21"/>
      <c r="D161" s="21"/>
      <c r="E161" s="21"/>
      <c r="F161" s="2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3" customFormat="1" x14ac:dyDescent="0.3">
      <c r="A162" s="17"/>
      <c r="B162" s="21"/>
      <c r="C162" s="21"/>
      <c r="D162" s="21"/>
      <c r="E162" s="21"/>
      <c r="F162" s="2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3" customFormat="1" x14ac:dyDescent="0.3">
      <c r="A163" s="17"/>
      <c r="B163" s="21"/>
      <c r="C163" s="21"/>
      <c r="D163" s="21"/>
      <c r="E163" s="21"/>
      <c r="F163" s="2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3" customFormat="1" x14ac:dyDescent="0.3">
      <c r="A164" s="17"/>
      <c r="B164" s="21"/>
      <c r="C164" s="21"/>
      <c r="D164" s="21"/>
      <c r="E164" s="21"/>
      <c r="F164" s="2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3" customFormat="1" x14ac:dyDescent="0.3">
      <c r="A165" s="17"/>
      <c r="B165" s="21"/>
      <c r="C165" s="21"/>
      <c r="D165" s="21"/>
      <c r="E165" s="21"/>
      <c r="F165" s="2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3" customFormat="1" x14ac:dyDescent="0.3">
      <c r="A166" s="17"/>
      <c r="B166" s="21"/>
      <c r="C166" s="21"/>
      <c r="D166" s="21"/>
      <c r="E166" s="21"/>
      <c r="F166" s="2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3" customFormat="1" x14ac:dyDescent="0.3">
      <c r="A167" s="17"/>
      <c r="B167" s="21"/>
      <c r="C167" s="21"/>
      <c r="D167" s="21"/>
      <c r="E167" s="21"/>
      <c r="F167" s="2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3" customFormat="1" x14ac:dyDescent="0.3">
      <c r="A168" s="17"/>
      <c r="B168" s="21"/>
      <c r="C168" s="21"/>
      <c r="D168" s="21"/>
      <c r="E168" s="21"/>
      <c r="F168" s="2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3" customFormat="1" x14ac:dyDescent="0.3">
      <c r="A169" s="17"/>
      <c r="B169" s="21"/>
      <c r="C169" s="21"/>
      <c r="D169" s="21"/>
      <c r="E169" s="21"/>
      <c r="F169" s="2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3" customFormat="1" x14ac:dyDescent="0.3">
      <c r="A170" s="17"/>
      <c r="B170" s="21"/>
      <c r="C170" s="21"/>
      <c r="D170" s="21"/>
      <c r="E170" s="21"/>
      <c r="F170" s="2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3" customFormat="1" x14ac:dyDescent="0.3">
      <c r="A171" s="17"/>
      <c r="B171" s="21"/>
      <c r="C171" s="21"/>
      <c r="D171" s="21"/>
      <c r="E171" s="21"/>
      <c r="F171" s="2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3" customFormat="1" x14ac:dyDescent="0.3">
      <c r="A172" s="17"/>
      <c r="B172" s="21"/>
      <c r="C172" s="21"/>
      <c r="D172" s="21"/>
      <c r="E172" s="21"/>
      <c r="F172" s="2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3" customFormat="1" x14ac:dyDescent="0.3">
      <c r="A173" s="17"/>
      <c r="B173" s="21"/>
      <c r="C173" s="21"/>
      <c r="D173" s="21"/>
      <c r="E173" s="21"/>
      <c r="F173" s="2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3" customFormat="1" x14ac:dyDescent="0.3">
      <c r="A174" s="17"/>
      <c r="B174" s="21"/>
      <c r="C174" s="21"/>
      <c r="D174" s="21"/>
      <c r="E174" s="21"/>
      <c r="F174" s="2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3" customFormat="1" x14ac:dyDescent="0.3">
      <c r="A175" s="17"/>
      <c r="B175" s="21"/>
      <c r="C175" s="21"/>
      <c r="D175" s="21"/>
      <c r="E175" s="21"/>
      <c r="F175" s="2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3" customFormat="1" x14ac:dyDescent="0.3">
      <c r="A176" s="17"/>
      <c r="B176" s="21"/>
      <c r="C176" s="21"/>
      <c r="D176" s="21"/>
      <c r="E176" s="21"/>
      <c r="F176" s="2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3" customFormat="1" x14ac:dyDescent="0.3">
      <c r="A177" s="17"/>
      <c r="B177" s="21"/>
      <c r="C177" s="21"/>
      <c r="D177" s="21"/>
      <c r="E177" s="21"/>
      <c r="F177" s="2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3" customFormat="1" x14ac:dyDescent="0.3">
      <c r="A178" s="17"/>
      <c r="B178" s="21"/>
      <c r="C178" s="21"/>
      <c r="D178" s="21"/>
      <c r="E178" s="21"/>
      <c r="F178" s="2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3" customFormat="1" x14ac:dyDescent="0.3">
      <c r="A179" s="17"/>
      <c r="B179" s="21"/>
      <c r="C179" s="21"/>
      <c r="D179" s="21"/>
      <c r="E179" s="21"/>
      <c r="F179" s="2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3" customFormat="1" x14ac:dyDescent="0.3">
      <c r="A180" s="17"/>
      <c r="B180" s="21"/>
      <c r="C180" s="21"/>
      <c r="D180" s="21"/>
      <c r="E180" s="21"/>
      <c r="F180" s="2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3" customFormat="1" x14ac:dyDescent="0.3">
      <c r="A181" s="17"/>
      <c r="B181" s="21"/>
      <c r="C181" s="21"/>
      <c r="D181" s="21"/>
      <c r="E181" s="21"/>
      <c r="F181" s="2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3" customFormat="1" x14ac:dyDescent="0.3">
      <c r="A182" s="17"/>
      <c r="B182" s="21"/>
      <c r="C182" s="21"/>
      <c r="D182" s="21"/>
      <c r="E182" s="21"/>
      <c r="F182" s="2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3" customFormat="1" x14ac:dyDescent="0.3">
      <c r="A183" s="17"/>
      <c r="B183" s="21"/>
      <c r="C183" s="21"/>
      <c r="D183" s="21"/>
      <c r="E183" s="21"/>
      <c r="F183" s="2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3" customFormat="1" x14ac:dyDescent="0.3">
      <c r="A184" s="17"/>
      <c r="B184" s="21"/>
      <c r="C184" s="21"/>
      <c r="D184" s="21"/>
      <c r="E184" s="21"/>
      <c r="F184" s="2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3"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3"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3"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3"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3"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3"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3"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3"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7:18" x14ac:dyDescent="0.3"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7:18" x14ac:dyDescent="0.3"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7:18" x14ac:dyDescent="0.3"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7:18" x14ac:dyDescent="0.3"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7:18" x14ac:dyDescent="0.3"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7:18" x14ac:dyDescent="0.3"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7:18" x14ac:dyDescent="0.3"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7:18" x14ac:dyDescent="0.3"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7:18" x14ac:dyDescent="0.3"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7:18" x14ac:dyDescent="0.3"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7:18" x14ac:dyDescent="0.3"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7:18" x14ac:dyDescent="0.3"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7:18" x14ac:dyDescent="0.3"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7:18" x14ac:dyDescent="0.3"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7:18" x14ac:dyDescent="0.3"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7:18" x14ac:dyDescent="0.3"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7:18" x14ac:dyDescent="0.3"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7:18" x14ac:dyDescent="0.3"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7:18" x14ac:dyDescent="0.3"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7:18" x14ac:dyDescent="0.3"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7:18" x14ac:dyDescent="0.3"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7:18" x14ac:dyDescent="0.3"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7:18" x14ac:dyDescent="0.3"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7:18" x14ac:dyDescent="0.3"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7:18" x14ac:dyDescent="0.3"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7:18" x14ac:dyDescent="0.3"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7:18" x14ac:dyDescent="0.3"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7:18" x14ac:dyDescent="0.3"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7:18" x14ac:dyDescent="0.3"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7:18" x14ac:dyDescent="0.3"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</sheetData>
  <mergeCells count="11">
    <mergeCell ref="S2:U2"/>
    <mergeCell ref="V2:X2"/>
    <mergeCell ref="Y2:AA2"/>
    <mergeCell ref="AB2:AD2"/>
    <mergeCell ref="B2:B3"/>
    <mergeCell ref="C2:C3"/>
    <mergeCell ref="D2:F2"/>
    <mergeCell ref="G2:I2"/>
    <mergeCell ref="J2:L2"/>
    <mergeCell ref="M2:O2"/>
    <mergeCell ref="P2:R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4"/>
  <sheetViews>
    <sheetView zoomScale="80" zoomScaleNormal="80" workbookViewId="0">
      <selection activeCell="A31" sqref="A31:XFD31"/>
    </sheetView>
  </sheetViews>
  <sheetFormatPr defaultRowHeight="14.4" x14ac:dyDescent="0.3"/>
  <cols>
    <col min="1" max="1" width="34.33203125" style="3" bestFit="1" customWidth="1"/>
    <col min="2" max="2" width="13.5546875" customWidth="1"/>
    <col min="3" max="7" width="18.33203125" bestFit="1" customWidth="1"/>
    <col min="8" max="8" width="16.21875" customWidth="1"/>
    <col min="9" max="9" width="14.109375" customWidth="1"/>
    <col min="10" max="11" width="16.5546875" customWidth="1"/>
  </cols>
  <sheetData>
    <row r="1" spans="1:7" ht="15.6" customHeight="1" x14ac:dyDescent="0.3">
      <c r="A1" s="12"/>
      <c r="C1" s="25" t="s">
        <v>92</v>
      </c>
      <c r="D1" s="25" t="s">
        <v>86</v>
      </c>
      <c r="E1" s="25" t="s">
        <v>46</v>
      </c>
      <c r="F1" s="25"/>
      <c r="G1" s="25"/>
    </row>
    <row r="2" spans="1:7" ht="15.6" x14ac:dyDescent="0.3">
      <c r="A2" s="27" t="s">
        <v>0</v>
      </c>
      <c r="B2" s="27" t="s">
        <v>14</v>
      </c>
      <c r="C2" s="10" t="s">
        <v>13</v>
      </c>
      <c r="D2" s="10" t="s">
        <v>13</v>
      </c>
      <c r="E2" s="10" t="s">
        <v>13</v>
      </c>
    </row>
    <row r="3" spans="1:7" x14ac:dyDescent="0.3">
      <c r="A3" s="31" t="s">
        <v>7</v>
      </c>
      <c r="B3" s="14" t="s">
        <v>21</v>
      </c>
      <c r="C3" s="33">
        <f>(3+4/20)/$D$34/$D$33</f>
        <v>4.685212298682284E-3</v>
      </c>
      <c r="D3" s="33">
        <f>(3+2/20)/$D$34/$D$33</f>
        <v>4.5387994143484623E-3</v>
      </c>
      <c r="E3" s="33">
        <f>160/$D$17/100/$D$33</f>
        <v>4.3787030828806393E-3</v>
      </c>
    </row>
    <row r="4" spans="1:7" x14ac:dyDescent="0.3">
      <c r="A4" s="31" t="s">
        <v>8</v>
      </c>
      <c r="B4" s="14" t="s">
        <v>21</v>
      </c>
      <c r="C4" s="33">
        <f>(2+0/20)/$D$34/$D$33</f>
        <v>2.9282576866764276E-3</v>
      </c>
      <c r="D4" s="33">
        <f>(1+15/20)/$D$34/$D$33</f>
        <v>2.5622254758418742E-3</v>
      </c>
      <c r="E4" s="33">
        <f>91/$D$17/100/$D$33</f>
        <v>2.4903873783883633E-3</v>
      </c>
    </row>
    <row r="5" spans="1:7" x14ac:dyDescent="0.3">
      <c r="A5" s="31" t="s">
        <v>47</v>
      </c>
      <c r="B5" s="14" t="s">
        <v>21</v>
      </c>
      <c r="C5" s="33">
        <f>(0+10/20+6/240)/$D$34/$D$33</f>
        <v>7.6866764275256223E-4</v>
      </c>
      <c r="D5" s="33">
        <f>(0+9/20+6/240)/$D$34/$D$33</f>
        <v>6.9546120058565169E-4</v>
      </c>
      <c r="E5" s="33">
        <f>27/$D$17/100/$D$33</f>
        <v>7.3890614523610787E-4</v>
      </c>
    </row>
    <row r="6" spans="1:7" x14ac:dyDescent="0.3">
      <c r="A6" s="32" t="s">
        <v>48</v>
      </c>
      <c r="B6" s="14" t="s">
        <v>21</v>
      </c>
      <c r="C6" s="33">
        <f>(1+4/20)/$D$34/$D$33</f>
        <v>1.7569546120058566E-3</v>
      </c>
      <c r="D6" s="33">
        <f>(1+4/20)/$D$34/$D$33</f>
        <v>1.7569546120058566E-3</v>
      </c>
      <c r="E6" s="33">
        <f>60/$D$17/100/$D$33</f>
        <v>1.6420136560802395E-3</v>
      </c>
    </row>
    <row r="7" spans="1:7" x14ac:dyDescent="0.3">
      <c r="A7" s="32" t="s">
        <v>49</v>
      </c>
      <c r="B7" s="14" t="s">
        <v>21</v>
      </c>
      <c r="C7" s="33"/>
      <c r="D7" s="33"/>
      <c r="E7" s="33">
        <f>4.5/$D$17/$D$33</f>
        <v>1.2315102420601798E-2</v>
      </c>
    </row>
    <row r="8" spans="1:7" x14ac:dyDescent="0.3">
      <c r="A8" s="32" t="s">
        <v>50</v>
      </c>
      <c r="B8" s="14" t="s">
        <v>43</v>
      </c>
      <c r="C8" s="33"/>
      <c r="D8" s="33"/>
      <c r="E8" s="33">
        <f>2/$D$17</f>
        <v>3.7383177570093455E-2</v>
      </c>
    </row>
    <row r="9" spans="1:7" x14ac:dyDescent="0.3">
      <c r="A9" s="32" t="s">
        <v>51</v>
      </c>
      <c r="B9" s="14" t="s">
        <v>21</v>
      </c>
      <c r="C9" s="33"/>
      <c r="D9" s="33"/>
      <c r="E9" s="33">
        <f>1.1/$D$17/$D$33</f>
        <v>3.0103583694804396E-3</v>
      </c>
    </row>
    <row r="10" spans="1:7" x14ac:dyDescent="0.3">
      <c r="A10" s="32" t="s">
        <v>11</v>
      </c>
      <c r="B10" s="14" t="s">
        <v>21</v>
      </c>
      <c r="C10" s="33"/>
      <c r="D10" s="33"/>
      <c r="E10" s="33">
        <f>17/$D$17/$D$33</f>
        <v>4.652372025560679E-2</v>
      </c>
    </row>
    <row r="11" spans="1:7" x14ac:dyDescent="0.3">
      <c r="A11" s="32" t="s">
        <v>52</v>
      </c>
      <c r="B11" s="14" t="s">
        <v>21</v>
      </c>
      <c r="C11" s="33"/>
      <c r="D11" s="33"/>
      <c r="E11" s="33">
        <f>2/$D$17/$D$33</f>
        <v>5.4733788536007986E-3</v>
      </c>
    </row>
    <row r="12" spans="1:7" x14ac:dyDescent="0.3">
      <c r="A12" s="32" t="s">
        <v>38</v>
      </c>
      <c r="B12" s="14" t="s">
        <v>21</v>
      </c>
      <c r="C12" s="33"/>
      <c r="D12" s="33"/>
      <c r="E12" s="33">
        <f>1/$D$17/17</f>
        <v>1.0995052226498074E-3</v>
      </c>
    </row>
    <row r="13" spans="1:7" x14ac:dyDescent="0.3">
      <c r="A13" s="32" t="s">
        <v>53</v>
      </c>
      <c r="B13" s="14" t="s">
        <v>21</v>
      </c>
      <c r="C13" s="33"/>
      <c r="D13" s="33"/>
      <c r="E13" s="33">
        <f>22/$D$17/100/$D$33</f>
        <v>6.0207167389608783E-4</v>
      </c>
    </row>
    <row r="14" spans="1:7" x14ac:dyDescent="0.3">
      <c r="A14" s="32" t="s">
        <v>37</v>
      </c>
      <c r="B14" s="14" t="s">
        <v>21</v>
      </c>
      <c r="C14" s="33"/>
      <c r="D14" s="33"/>
      <c r="E14" s="33">
        <f>52.5/$D$17/100/$D$33</f>
        <v>1.4367619490702097E-3</v>
      </c>
    </row>
    <row r="15" spans="1:7" x14ac:dyDescent="0.3">
      <c r="A15" s="32"/>
    </row>
    <row r="16" spans="1:7" x14ac:dyDescent="0.3">
      <c r="A16" s="29" t="s">
        <v>22</v>
      </c>
    </row>
    <row r="17" spans="1:5" x14ac:dyDescent="0.3">
      <c r="A17" s="3" t="s">
        <v>23</v>
      </c>
      <c r="B17" s="3">
        <v>1</v>
      </c>
      <c r="C17" s="4" t="s">
        <v>24</v>
      </c>
      <c r="D17" s="6">
        <v>53.5</v>
      </c>
      <c r="E17" s="4" t="s">
        <v>25</v>
      </c>
    </row>
    <row r="18" spans="1:5" x14ac:dyDescent="0.3">
      <c r="A18" s="3" t="s">
        <v>88</v>
      </c>
      <c r="B18" s="3">
        <v>1</v>
      </c>
      <c r="C18" s="4" t="s">
        <v>24</v>
      </c>
      <c r="D18" s="6">
        <v>50</v>
      </c>
      <c r="E18" s="4" t="s">
        <v>25</v>
      </c>
    </row>
    <row r="19" spans="1:5" x14ac:dyDescent="0.3">
      <c r="A19" s="3" t="s">
        <v>26</v>
      </c>
      <c r="B19" s="3">
        <v>1</v>
      </c>
      <c r="C19" s="4" t="s">
        <v>24</v>
      </c>
      <c r="D19" s="6">
        <v>55.52</v>
      </c>
      <c r="E19" s="4" t="s">
        <v>25</v>
      </c>
    </row>
    <row r="20" spans="1:5" x14ac:dyDescent="0.3">
      <c r="A20" s="3" t="s">
        <v>27</v>
      </c>
      <c r="B20" s="3">
        <v>1</v>
      </c>
      <c r="C20" s="4" t="s">
        <v>24</v>
      </c>
      <c r="D20" s="6">
        <v>61.082999999999998</v>
      </c>
      <c r="E20" s="4" t="s">
        <v>25</v>
      </c>
    </row>
    <row r="21" spans="1:5" x14ac:dyDescent="0.3">
      <c r="A21" s="3" t="s">
        <v>31</v>
      </c>
      <c r="B21" s="3">
        <v>1</v>
      </c>
      <c r="C21" s="4" t="s">
        <v>24</v>
      </c>
      <c r="D21" s="6">
        <v>58.503</v>
      </c>
      <c r="E21" s="4" t="s">
        <v>25</v>
      </c>
    </row>
    <row r="22" spans="1:5" x14ac:dyDescent="0.3">
      <c r="A22" s="3" t="s">
        <v>30</v>
      </c>
      <c r="B22" s="3">
        <v>1</v>
      </c>
      <c r="C22" s="4" t="s">
        <v>24</v>
      </c>
      <c r="D22" s="6">
        <v>58.503</v>
      </c>
      <c r="E22" s="4" t="s">
        <v>25</v>
      </c>
    </row>
    <row r="23" spans="1:5" x14ac:dyDescent="0.3">
      <c r="A23" s="3" t="s">
        <v>32</v>
      </c>
      <c r="B23" s="3">
        <v>1</v>
      </c>
      <c r="C23" s="4" t="s">
        <v>24</v>
      </c>
      <c r="D23" s="6">
        <v>52.5</v>
      </c>
      <c r="E23" s="4" t="s">
        <v>25</v>
      </c>
    </row>
    <row r="24" spans="1:5" x14ac:dyDescent="0.3">
      <c r="A24" s="3" t="s">
        <v>42</v>
      </c>
      <c r="B24" s="3">
        <v>1</v>
      </c>
      <c r="C24" s="4" t="s">
        <v>24</v>
      </c>
      <c r="D24" s="6">
        <v>50.5</v>
      </c>
      <c r="E24" s="4" t="s">
        <v>25</v>
      </c>
    </row>
    <row r="25" spans="1:5" x14ac:dyDescent="0.3">
      <c r="A25" s="3" t="s">
        <v>39</v>
      </c>
      <c r="B25" s="3">
        <v>1</v>
      </c>
      <c r="C25" s="4" t="s">
        <v>24</v>
      </c>
      <c r="D25" s="6">
        <v>50</v>
      </c>
      <c r="E25" s="4" t="s">
        <v>25</v>
      </c>
    </row>
    <row r="26" spans="1:5" x14ac:dyDescent="0.3">
      <c r="A26" s="3" t="s">
        <v>44</v>
      </c>
      <c r="B26" s="3">
        <v>1</v>
      </c>
      <c r="C26" s="4" t="s">
        <v>24</v>
      </c>
      <c r="D26" s="6">
        <f>(43+46+52)/3</f>
        <v>47</v>
      </c>
      <c r="E26" s="4" t="s">
        <v>25</v>
      </c>
    </row>
    <row r="27" spans="1:5" x14ac:dyDescent="0.3">
      <c r="A27" s="3" t="s">
        <v>45</v>
      </c>
      <c r="B27" s="3">
        <v>1</v>
      </c>
      <c r="C27" s="4" t="s">
        <v>24</v>
      </c>
      <c r="D27" s="6">
        <f>(38.5+43)/2</f>
        <v>40.75</v>
      </c>
      <c r="E27" s="4" t="s">
        <v>25</v>
      </c>
    </row>
    <row r="28" spans="1:5" x14ac:dyDescent="0.3">
      <c r="B28">
        <v>1</v>
      </c>
      <c r="C28" s="4" t="s">
        <v>40</v>
      </c>
      <c r="D28">
        <v>13</v>
      </c>
      <c r="E28" s="4" t="s">
        <v>29</v>
      </c>
    </row>
    <row r="29" spans="1:5" x14ac:dyDescent="0.3">
      <c r="B29">
        <v>1</v>
      </c>
      <c r="C29" s="4" t="s">
        <v>41</v>
      </c>
      <c r="D29" s="6">
        <v>7.5</v>
      </c>
      <c r="E29" s="4" t="s">
        <v>29</v>
      </c>
    </row>
    <row r="30" spans="1:5" x14ac:dyDescent="0.3">
      <c r="B30">
        <v>1</v>
      </c>
      <c r="C30" t="s">
        <v>286</v>
      </c>
      <c r="D30">
        <v>2204.6</v>
      </c>
      <c r="E30" s="4" t="s">
        <v>29</v>
      </c>
    </row>
    <row r="31" spans="1:5" x14ac:dyDescent="0.3">
      <c r="B31">
        <v>1</v>
      </c>
      <c r="C31" t="s">
        <v>285</v>
      </c>
      <c r="D31">
        <v>2240</v>
      </c>
      <c r="E31" s="4" t="s">
        <v>29</v>
      </c>
    </row>
    <row r="32" spans="1:5" x14ac:dyDescent="0.3">
      <c r="B32">
        <v>1</v>
      </c>
      <c r="C32" s="4" t="s">
        <v>33</v>
      </c>
      <c r="D32" s="30">
        <v>20</v>
      </c>
      <c r="E32" s="4" t="s">
        <v>34</v>
      </c>
    </row>
    <row r="33" spans="2:5" x14ac:dyDescent="0.3">
      <c r="B33">
        <v>1</v>
      </c>
      <c r="C33" s="4" t="s">
        <v>28</v>
      </c>
      <c r="D33">
        <v>6.83</v>
      </c>
      <c r="E33" s="4" t="s">
        <v>29</v>
      </c>
    </row>
    <row r="34" spans="2:5" x14ac:dyDescent="0.3">
      <c r="B34">
        <v>1</v>
      </c>
      <c r="C34" s="4" t="s">
        <v>89</v>
      </c>
      <c r="D34">
        <v>100</v>
      </c>
      <c r="E34" s="4" t="s">
        <v>28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80" zoomScaleNormal="80" workbookViewId="0">
      <selection activeCell="C4" sqref="C4"/>
    </sheetView>
  </sheetViews>
  <sheetFormatPr defaultRowHeight="14.4" x14ac:dyDescent="0.3"/>
  <cols>
    <col min="1" max="1" width="34.33203125" style="3" bestFit="1" customWidth="1"/>
    <col min="2" max="2" width="13.5546875" customWidth="1"/>
    <col min="3" max="5" width="18.33203125" bestFit="1" customWidth="1"/>
    <col min="6" max="6" width="16.21875" customWidth="1"/>
    <col min="7" max="7" width="14.109375" customWidth="1"/>
    <col min="8" max="9" width="16.5546875" customWidth="1"/>
  </cols>
  <sheetData>
    <row r="1" spans="1:7" ht="15.6" customHeight="1" x14ac:dyDescent="0.3">
      <c r="A1" s="12"/>
      <c r="C1" s="25" t="s">
        <v>170</v>
      </c>
      <c r="D1" s="25" t="s">
        <v>130</v>
      </c>
      <c r="E1" s="25" t="s">
        <v>126</v>
      </c>
      <c r="F1" s="25"/>
      <c r="G1" s="25"/>
    </row>
    <row r="2" spans="1:7" ht="15.6" x14ac:dyDescent="0.3">
      <c r="A2" s="26" t="s">
        <v>0</v>
      </c>
      <c r="B2" s="27" t="s">
        <v>14</v>
      </c>
      <c r="C2" s="10" t="s">
        <v>13</v>
      </c>
      <c r="D2" s="10" t="s">
        <v>13</v>
      </c>
      <c r="E2" s="10" t="s">
        <v>13</v>
      </c>
    </row>
    <row r="3" spans="1:7" x14ac:dyDescent="0.3">
      <c r="A3" s="28" t="s">
        <v>17</v>
      </c>
      <c r="B3" s="14" t="s">
        <v>21</v>
      </c>
      <c r="C3" s="14"/>
      <c r="D3" s="14"/>
      <c r="E3" s="15">
        <f>(4.75+6.25)/2/$D$22/$D$29</f>
        <v>1.4235028955342991E-2</v>
      </c>
    </row>
    <row r="4" spans="1:7" x14ac:dyDescent="0.3">
      <c r="A4" s="28" t="s">
        <v>93</v>
      </c>
      <c r="B4" s="14" t="s">
        <v>129</v>
      </c>
      <c r="C4" s="15">
        <f>(1+5/20)*$D$32</f>
        <v>1.519559500328731</v>
      </c>
      <c r="D4" s="15">
        <f>90/$D$23</f>
        <v>1.6981132075471699</v>
      </c>
      <c r="E4" s="15">
        <f>43.75/$D$22</f>
        <v>0.73601570166830232</v>
      </c>
    </row>
    <row r="5" spans="1:7" x14ac:dyDescent="0.3">
      <c r="A5" s="28"/>
      <c r="B5" s="14"/>
      <c r="C5" s="15"/>
    </row>
    <row r="6" spans="1:7" x14ac:dyDescent="0.3">
      <c r="A6" s="28"/>
      <c r="B6" s="14"/>
      <c r="C6" s="15"/>
    </row>
    <row r="7" spans="1:7" x14ac:dyDescent="0.3">
      <c r="A7" s="28"/>
      <c r="B7" s="14"/>
      <c r="C7" s="15"/>
    </row>
    <row r="8" spans="1:7" x14ac:dyDescent="0.3">
      <c r="A8" s="28"/>
      <c r="B8" s="14"/>
      <c r="C8" s="15"/>
    </row>
    <row r="9" spans="1:7" x14ac:dyDescent="0.3">
      <c r="A9" s="28"/>
      <c r="B9" s="14"/>
      <c r="C9" s="15"/>
      <c r="D9" s="15"/>
      <c r="E9" s="15"/>
    </row>
    <row r="10" spans="1:7" x14ac:dyDescent="0.3">
      <c r="A10" s="28"/>
      <c r="B10" s="14"/>
      <c r="C10" s="15"/>
      <c r="D10" s="15"/>
      <c r="E10" s="15"/>
    </row>
    <row r="11" spans="1:7" x14ac:dyDescent="0.3">
      <c r="A11" s="28"/>
      <c r="B11" s="14"/>
      <c r="C11" s="15"/>
      <c r="D11" s="15"/>
      <c r="E11" s="15"/>
    </row>
    <row r="12" spans="1:7" x14ac:dyDescent="0.3">
      <c r="A12" s="28"/>
      <c r="B12" s="14"/>
      <c r="C12" s="15"/>
      <c r="D12" s="15"/>
      <c r="E12" s="15"/>
    </row>
    <row r="13" spans="1:7" x14ac:dyDescent="0.3">
      <c r="A13" s="28"/>
      <c r="B13" s="14"/>
      <c r="C13" s="15"/>
      <c r="D13" s="15"/>
      <c r="E13" s="15"/>
    </row>
    <row r="14" spans="1:7" x14ac:dyDescent="0.3">
      <c r="A14" s="28"/>
      <c r="B14" s="14"/>
      <c r="C14" s="15"/>
      <c r="D14" s="15"/>
      <c r="E14" s="15"/>
    </row>
    <row r="15" spans="1:7" x14ac:dyDescent="0.3">
      <c r="A15" s="28"/>
      <c r="B15" s="14"/>
      <c r="C15" s="15"/>
      <c r="D15" s="15"/>
      <c r="E15" s="15"/>
    </row>
    <row r="16" spans="1:7" x14ac:dyDescent="0.3">
      <c r="A16" s="28"/>
      <c r="B16" s="14"/>
      <c r="C16" s="14"/>
      <c r="D16" s="14"/>
      <c r="E16" s="14"/>
      <c r="F16" s="15"/>
    </row>
    <row r="17" spans="1:7" x14ac:dyDescent="0.3">
      <c r="A17" s="28"/>
      <c r="B17" s="14"/>
      <c r="C17" s="14"/>
      <c r="D17" s="14"/>
      <c r="E17" s="14"/>
      <c r="F17" s="28"/>
      <c r="G17" s="15"/>
    </row>
    <row r="18" spans="1:7" ht="15" x14ac:dyDescent="0.3">
      <c r="A18" s="23"/>
      <c r="B18" s="14"/>
      <c r="C18" s="14"/>
      <c r="D18" s="14"/>
      <c r="E18" s="14"/>
      <c r="F18" s="13"/>
      <c r="G18" s="15"/>
    </row>
    <row r="19" spans="1:7" x14ac:dyDescent="0.3">
      <c r="A19" s="29" t="s">
        <v>22</v>
      </c>
    </row>
    <row r="20" spans="1:7" x14ac:dyDescent="0.3">
      <c r="A20" s="3" t="s">
        <v>23</v>
      </c>
      <c r="B20" s="3">
        <v>1</v>
      </c>
      <c r="C20" s="4" t="s">
        <v>24</v>
      </c>
      <c r="D20" s="6">
        <v>53.5</v>
      </c>
      <c r="E20" s="4" t="s">
        <v>25</v>
      </c>
    </row>
    <row r="21" spans="1:7" x14ac:dyDescent="0.3">
      <c r="A21" s="3" t="s">
        <v>88</v>
      </c>
      <c r="B21" s="3">
        <v>1</v>
      </c>
      <c r="C21" s="4" t="s">
        <v>24</v>
      </c>
      <c r="D21" s="6">
        <v>50</v>
      </c>
      <c r="E21" s="4" t="s">
        <v>25</v>
      </c>
    </row>
    <row r="22" spans="1:7" x14ac:dyDescent="0.3">
      <c r="A22" s="3" t="s">
        <v>128</v>
      </c>
      <c r="B22" s="3">
        <v>1</v>
      </c>
      <c r="C22" s="4" t="s">
        <v>24</v>
      </c>
      <c r="D22" s="6">
        <f>(56.25+57.15+57.4+58.55+59*4+59.8+61.25+62.65+64.25)/12</f>
        <v>59.441666666666663</v>
      </c>
      <c r="E22" s="4" t="s">
        <v>25</v>
      </c>
    </row>
    <row r="23" spans="1:7" x14ac:dyDescent="0.3">
      <c r="A23" s="3" t="s">
        <v>134</v>
      </c>
      <c r="B23" s="3">
        <v>1</v>
      </c>
      <c r="C23" s="4" t="s">
        <v>24</v>
      </c>
      <c r="D23" s="6">
        <f>53</f>
        <v>53</v>
      </c>
      <c r="E23" s="4" t="s">
        <v>25</v>
      </c>
    </row>
    <row r="24" spans="1:7" x14ac:dyDescent="0.3">
      <c r="A24" s="3" t="s">
        <v>31</v>
      </c>
      <c r="B24" s="3">
        <v>1</v>
      </c>
      <c r="C24" s="4" t="s">
        <v>24</v>
      </c>
      <c r="D24" s="6">
        <f>55</f>
        <v>55</v>
      </c>
      <c r="E24" s="4" t="s">
        <v>25</v>
      </c>
    </row>
    <row r="25" spans="1:7" x14ac:dyDescent="0.3">
      <c r="A25" s="3" t="s">
        <v>138</v>
      </c>
      <c r="B25" s="3">
        <v>1</v>
      </c>
      <c r="C25" s="4" t="s">
        <v>24</v>
      </c>
      <c r="D25" s="6">
        <v>50</v>
      </c>
      <c r="E25" s="4" t="s">
        <v>25</v>
      </c>
    </row>
    <row r="26" spans="1:7" x14ac:dyDescent="0.3">
      <c r="B26">
        <v>1</v>
      </c>
      <c r="C26" s="4" t="s">
        <v>28</v>
      </c>
      <c r="D26">
        <v>13</v>
      </c>
      <c r="E26" s="4" t="s">
        <v>29</v>
      </c>
    </row>
    <row r="27" spans="1:7" x14ac:dyDescent="0.3">
      <c r="B27">
        <v>1</v>
      </c>
      <c r="C27" t="s">
        <v>285</v>
      </c>
      <c r="D27">
        <v>2240</v>
      </c>
      <c r="E27" s="4" t="s">
        <v>29</v>
      </c>
    </row>
    <row r="28" spans="1:7" x14ac:dyDescent="0.3">
      <c r="B28">
        <v>1</v>
      </c>
      <c r="C28" t="s">
        <v>286</v>
      </c>
      <c r="D28">
        <v>2204.6</v>
      </c>
      <c r="E28" s="4" t="s">
        <v>29</v>
      </c>
    </row>
    <row r="29" spans="1:7" x14ac:dyDescent="0.3">
      <c r="B29">
        <v>1</v>
      </c>
      <c r="C29" s="4" t="s">
        <v>127</v>
      </c>
      <c r="D29" s="6">
        <v>6.5</v>
      </c>
      <c r="E29" s="4" t="s">
        <v>29</v>
      </c>
    </row>
    <row r="30" spans="1:7" x14ac:dyDescent="0.3">
      <c r="B30">
        <v>1</v>
      </c>
      <c r="C30" s="4" t="s">
        <v>135</v>
      </c>
      <c r="D30">
        <f>43*21.5</f>
        <v>924.5</v>
      </c>
      <c r="E30" s="4" t="s">
        <v>136</v>
      </c>
    </row>
    <row r="31" spans="1:7" x14ac:dyDescent="0.3">
      <c r="B31">
        <v>1</v>
      </c>
      <c r="C31" s="4" t="s">
        <v>137</v>
      </c>
      <c r="D31">
        <f>39*19.5</f>
        <v>760.5</v>
      </c>
      <c r="E31" s="4" t="s">
        <v>136</v>
      </c>
    </row>
    <row r="32" spans="1:7" x14ac:dyDescent="0.3">
      <c r="B32">
        <v>1</v>
      </c>
      <c r="C32" s="4" t="s">
        <v>135</v>
      </c>
      <c r="D32" s="6">
        <f>D30/D31</f>
        <v>1.2156476002629848</v>
      </c>
      <c r="E32" s="4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C11" sqref="C11"/>
    </sheetView>
  </sheetViews>
  <sheetFormatPr defaultRowHeight="14.4" x14ac:dyDescent="0.3"/>
  <sheetData>
    <row r="3" spans="1:2" x14ac:dyDescent="0.3">
      <c r="A3" s="78"/>
      <c r="B3" s="4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</vt:lpstr>
      <vt:lpstr>Kerman - Prices (Imports)</vt:lpstr>
      <vt:lpstr>Kerman - Prices (Exports)</vt:lpstr>
      <vt:lpstr>Kerman - Bazaar (Local) Prices</vt:lpstr>
      <vt:lpstr>Imports - Data (Raw&amp;Adjusted)</vt:lpstr>
      <vt:lpstr>Exports - Data (Raw&amp;Adjusted)</vt:lpstr>
      <vt:lpstr>Bazaar(Local)- Prices (Raw&amp;Adj)</vt:lpstr>
      <vt:lpstr>Exports - Prices (Raw&amp;Adjusted)</vt:lpstr>
      <vt:lpstr>Color Legend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2018-11-13T19:28:18Z</dcterms:modified>
</cp:coreProperties>
</file>