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gm12\Dropbox\REFdata\20180215 Files added by Mustafa\Price Calculations + Raw Data\Price Calculations + Raw Data with Standardized Product Names\Updated\"/>
    </mc:Choice>
  </mc:AlternateContent>
  <bookViews>
    <workbookView xWindow="0" yWindow="0" windowWidth="11532" windowHeight="9060" tabRatio="1000"/>
  </bookViews>
  <sheets>
    <sheet name="Intro" sheetId="17" r:id="rId1"/>
    <sheet name="Constinople - Prices (Imports)" sheetId="18" r:id="rId2"/>
    <sheet name="Constinople - Prices (Exports)" sheetId="19" r:id="rId3"/>
    <sheet name="Constinople - InTextPrices (Im)" sheetId="21" r:id="rId4"/>
    <sheet name="Constinople - InTextPrices (Ex)" sheetId="22" r:id="rId5"/>
    <sheet name="Constinopl-Prices(Bazaar-Local)" sheetId="27" r:id="rId6"/>
    <sheet name="Imports - Data (Raw&amp;Adj)" sheetId="1" r:id="rId7"/>
    <sheet name="Exports - Data (Raw&amp;Adj)" sheetId="23" r:id="rId8"/>
    <sheet name="Imports - Prices (Raw&amp;Adj)" sheetId="24" r:id="rId9"/>
    <sheet name="Exports - Prices (Raw&amp;Adj)" sheetId="25" r:id="rId10"/>
    <sheet name="Bazaar(Local)- Prices (Raw&amp;Adj)" sheetId="26" r:id="rId11"/>
    <sheet name="Colour Legend" sheetId="30" r:id="rId12"/>
  </sheets>
  <definedNames>
    <definedName name="ExcelName13" localSheetId="10">#REF!</definedName>
    <definedName name="ExcelName13" localSheetId="5">#REF!</definedName>
    <definedName name="ExcelName13" localSheetId="9">#REF!</definedName>
    <definedName name="ExcelName13" localSheetId="8">#REF!</definedName>
    <definedName name="ExcelName13">#REF!</definedName>
  </definedNames>
  <calcPr calcId="152511"/>
</workbook>
</file>

<file path=xl/calcChain.xml><?xml version="1.0" encoding="utf-8"?>
<calcChain xmlns="http://schemas.openxmlformats.org/spreadsheetml/2006/main">
  <c r="X66" i="1" l="1"/>
  <c r="E39" i="25" l="1"/>
  <c r="E37" i="25"/>
  <c r="I4" i="26"/>
  <c r="Y24" i="24" l="1"/>
  <c r="Y23" i="24"/>
  <c r="Y22" i="24"/>
  <c r="Y21" i="24"/>
  <c r="Y20" i="24"/>
  <c r="Y19" i="24"/>
  <c r="U66" i="23"/>
  <c r="Y66" i="23"/>
  <c r="AC65" i="23"/>
  <c r="BH12" i="18" l="1"/>
  <c r="BG12" i="18"/>
  <c r="Q60" i="1"/>
  <c r="Q59" i="1"/>
  <c r="O60" i="1"/>
  <c r="O59" i="1"/>
  <c r="D123" i="26" l="1"/>
  <c r="F98" i="26"/>
  <c r="F101" i="26"/>
  <c r="H84" i="26"/>
  <c r="F131" i="25"/>
  <c r="F128" i="25"/>
  <c r="H114" i="25"/>
  <c r="D73" i="25"/>
  <c r="D59" i="25"/>
  <c r="AG12" i="24" l="1"/>
  <c r="G5" i="26" l="1"/>
  <c r="G6" i="26"/>
  <c r="G7" i="26"/>
  <c r="G8" i="26"/>
  <c r="G9" i="26"/>
  <c r="G10" i="26"/>
  <c r="G11" i="26"/>
  <c r="G12" i="26"/>
  <c r="G13" i="26"/>
  <c r="G14" i="26"/>
  <c r="G15" i="26"/>
  <c r="G16" i="26"/>
  <c r="G17" i="26"/>
  <c r="G18" i="26"/>
  <c r="G4" i="26"/>
  <c r="AK86" i="23" l="1"/>
  <c r="AK85" i="23"/>
  <c r="AK84" i="23"/>
  <c r="AK83" i="23"/>
  <c r="AK82" i="23"/>
  <c r="AK81" i="23"/>
  <c r="AK80" i="23"/>
  <c r="AK79" i="23"/>
  <c r="AK78" i="23"/>
  <c r="AK77" i="23"/>
  <c r="AK76" i="23"/>
  <c r="AK75" i="23"/>
  <c r="AK74" i="23"/>
  <c r="AK73" i="23"/>
  <c r="AK72" i="23"/>
  <c r="AK71" i="23"/>
  <c r="AK70" i="23"/>
  <c r="AK69" i="23"/>
  <c r="AK68" i="23"/>
  <c r="AK67" i="23"/>
  <c r="AK66" i="23"/>
  <c r="AK65" i="23"/>
  <c r="AK64" i="23"/>
  <c r="AK63" i="23"/>
  <c r="AK62" i="23"/>
  <c r="AK61" i="23"/>
  <c r="AK60" i="23"/>
  <c r="AK59" i="23"/>
  <c r="AK58" i="23"/>
  <c r="AK57" i="23"/>
  <c r="AK56" i="23"/>
  <c r="AK55" i="23"/>
  <c r="AK54" i="23"/>
  <c r="AK53" i="23"/>
  <c r="AK52" i="23"/>
  <c r="AK51" i="23"/>
  <c r="AK50" i="23"/>
  <c r="AK49" i="23"/>
  <c r="AK48" i="23"/>
  <c r="AK47" i="23"/>
  <c r="AK46" i="23"/>
  <c r="AK45" i="23"/>
  <c r="AK44" i="23"/>
  <c r="AK43" i="23"/>
  <c r="AK42" i="23"/>
  <c r="AK41" i="23"/>
  <c r="AK40" i="23"/>
  <c r="AK39" i="23"/>
  <c r="AK38" i="23"/>
  <c r="AK37" i="23"/>
  <c r="AK36" i="23"/>
  <c r="AK35" i="23"/>
  <c r="AK34" i="23"/>
  <c r="AK33" i="23"/>
  <c r="AK32" i="23"/>
  <c r="AK31" i="23"/>
  <c r="AK30" i="23"/>
  <c r="AK29" i="23"/>
  <c r="AK28" i="23"/>
  <c r="AK27" i="23"/>
  <c r="AK26" i="23"/>
  <c r="AK25" i="23"/>
  <c r="AK24" i="23"/>
  <c r="AK23" i="23"/>
  <c r="AK22" i="23"/>
  <c r="AK21" i="23"/>
  <c r="AK20" i="23"/>
  <c r="AK19" i="23"/>
  <c r="AK18" i="23"/>
  <c r="AK17" i="23"/>
  <c r="AK16" i="23"/>
  <c r="AK15" i="23"/>
  <c r="AK14" i="23"/>
  <c r="AK13" i="23"/>
  <c r="AK12" i="23"/>
  <c r="AK11" i="23"/>
  <c r="AK10" i="23"/>
  <c r="AK9" i="23"/>
  <c r="AK8" i="23"/>
  <c r="AK7" i="23"/>
  <c r="AK6" i="23"/>
  <c r="AK5" i="23"/>
  <c r="AK4" i="23"/>
  <c r="AH86" i="23"/>
  <c r="AH85" i="23"/>
  <c r="AH84" i="23"/>
  <c r="AH83" i="23"/>
  <c r="AH82" i="23"/>
  <c r="AH81" i="23"/>
  <c r="AH80" i="23"/>
  <c r="AH79" i="23"/>
  <c r="AH78" i="23"/>
  <c r="AH77" i="23"/>
  <c r="AH76" i="23"/>
  <c r="AH75" i="23"/>
  <c r="AH74" i="23"/>
  <c r="AH73" i="23"/>
  <c r="AH72" i="23"/>
  <c r="AH71" i="23"/>
  <c r="AH70" i="23"/>
  <c r="AH69" i="23"/>
  <c r="AH68" i="23"/>
  <c r="AH67" i="23"/>
  <c r="AH66" i="23"/>
  <c r="AH65" i="23"/>
  <c r="AH64" i="23"/>
  <c r="AH63" i="23"/>
  <c r="AH62" i="23"/>
  <c r="AH61" i="23"/>
  <c r="AH60" i="23"/>
  <c r="AH59" i="23"/>
  <c r="AH58" i="23"/>
  <c r="AH57" i="23"/>
  <c r="AH56" i="23"/>
  <c r="AH55" i="23"/>
  <c r="AH54" i="23"/>
  <c r="AH53" i="23"/>
  <c r="AH52" i="23"/>
  <c r="AH51" i="23"/>
  <c r="AH50" i="23"/>
  <c r="AH49" i="23"/>
  <c r="AH48" i="23"/>
  <c r="AH47" i="23"/>
  <c r="AH46" i="23"/>
  <c r="AH45" i="23"/>
  <c r="AH44" i="23"/>
  <c r="AH43" i="23"/>
  <c r="AH42" i="23"/>
  <c r="AH41" i="23"/>
  <c r="AH40" i="23"/>
  <c r="AH39" i="23"/>
  <c r="AH38" i="23"/>
  <c r="AH37" i="23"/>
  <c r="AH36" i="23"/>
  <c r="AH35" i="23"/>
  <c r="AH34" i="23"/>
  <c r="AH33" i="23"/>
  <c r="AH32" i="23"/>
  <c r="AH31" i="23"/>
  <c r="AH30" i="23"/>
  <c r="AH29" i="23"/>
  <c r="AH28" i="23"/>
  <c r="AH27" i="23"/>
  <c r="AH26" i="23"/>
  <c r="AH25" i="23"/>
  <c r="AH24" i="23"/>
  <c r="AH23" i="23"/>
  <c r="AH22" i="23"/>
  <c r="AH21" i="23"/>
  <c r="AH20" i="23"/>
  <c r="AH19" i="23"/>
  <c r="AH18" i="23"/>
  <c r="AH17" i="23"/>
  <c r="AH14" i="23"/>
  <c r="AH13" i="23"/>
  <c r="AH12" i="23"/>
  <c r="AH11" i="23"/>
  <c r="AH10" i="23"/>
  <c r="AH9" i="23"/>
  <c r="AH8" i="23"/>
  <c r="AH7" i="23"/>
  <c r="AH6" i="23"/>
  <c r="AH5" i="23"/>
  <c r="AH4" i="23"/>
  <c r="AE86" i="23"/>
  <c r="AE85" i="23"/>
  <c r="AE84" i="23"/>
  <c r="AE83" i="23"/>
  <c r="AE82" i="23"/>
  <c r="AE81" i="23"/>
  <c r="AE80" i="23"/>
  <c r="AE79" i="23"/>
  <c r="AE78" i="23"/>
  <c r="AE77" i="23"/>
  <c r="AE76" i="23"/>
  <c r="AE75" i="23"/>
  <c r="AE74" i="23"/>
  <c r="AE73" i="23"/>
  <c r="AE72" i="23"/>
  <c r="AE71" i="23"/>
  <c r="AE70" i="23"/>
  <c r="AE69" i="23"/>
  <c r="AE68" i="23"/>
  <c r="AE67" i="23"/>
  <c r="AE66" i="23"/>
  <c r="AE64" i="23"/>
  <c r="AE63" i="23"/>
  <c r="AE62" i="23"/>
  <c r="AE61" i="23"/>
  <c r="AE60" i="23"/>
  <c r="AE59" i="23"/>
  <c r="AE58" i="23"/>
  <c r="AE57" i="23"/>
  <c r="AE56" i="23"/>
  <c r="AE55" i="23"/>
  <c r="AE54" i="23"/>
  <c r="AE53" i="23"/>
  <c r="AE52" i="23"/>
  <c r="AE51" i="23"/>
  <c r="AE50" i="23"/>
  <c r="AE49" i="23"/>
  <c r="AE48" i="23"/>
  <c r="AE47" i="23"/>
  <c r="AE46" i="23"/>
  <c r="AE45" i="23"/>
  <c r="AE44" i="23"/>
  <c r="AE43" i="23"/>
  <c r="AE42" i="23"/>
  <c r="AE41" i="23"/>
  <c r="AE40" i="23"/>
  <c r="AE39" i="23"/>
  <c r="AE38" i="23"/>
  <c r="AE37" i="23"/>
  <c r="AE36" i="23"/>
  <c r="AE35" i="23"/>
  <c r="AE34" i="23"/>
  <c r="AE33" i="23"/>
  <c r="AE32" i="23"/>
  <c r="AE31" i="23"/>
  <c r="AE30" i="23"/>
  <c r="AE29" i="23"/>
  <c r="AE28" i="23"/>
  <c r="AE27" i="23"/>
  <c r="AE26" i="23"/>
  <c r="AE25" i="23"/>
  <c r="AE24" i="23"/>
  <c r="AE23" i="23"/>
  <c r="AE22" i="23"/>
  <c r="AE21" i="23"/>
  <c r="AE20" i="23"/>
  <c r="AE19" i="23"/>
  <c r="AE18" i="23"/>
  <c r="AE17" i="23"/>
  <c r="AE14" i="23"/>
  <c r="AE13" i="23"/>
  <c r="AE12" i="23"/>
  <c r="AE11" i="23"/>
  <c r="AE10" i="23"/>
  <c r="AE9" i="23"/>
  <c r="AE8" i="23"/>
  <c r="AE7" i="23"/>
  <c r="AE6" i="23"/>
  <c r="AE5" i="23"/>
  <c r="AE4" i="23"/>
  <c r="AA86" i="23"/>
  <c r="AA85" i="23"/>
  <c r="AA84" i="23"/>
  <c r="AA83" i="23"/>
  <c r="AA82" i="23"/>
  <c r="AA81" i="23"/>
  <c r="AA80" i="23"/>
  <c r="AA79" i="23"/>
  <c r="AA78" i="23"/>
  <c r="AA77" i="23"/>
  <c r="AA76" i="23"/>
  <c r="AA75" i="23"/>
  <c r="AA74" i="23"/>
  <c r="AA73" i="23"/>
  <c r="AA72" i="23"/>
  <c r="AA71" i="23"/>
  <c r="AA70" i="23"/>
  <c r="AA69" i="23"/>
  <c r="AA68" i="23"/>
  <c r="AA67" i="23"/>
  <c r="AA65" i="23"/>
  <c r="AA64" i="23"/>
  <c r="AA63" i="23"/>
  <c r="AA62" i="23"/>
  <c r="AA61" i="23"/>
  <c r="AA60" i="23"/>
  <c r="AA59" i="23"/>
  <c r="AA58" i="23"/>
  <c r="AA57" i="23"/>
  <c r="AA56" i="23"/>
  <c r="AA55" i="23"/>
  <c r="AA54" i="23"/>
  <c r="AA53" i="23"/>
  <c r="AA52" i="23"/>
  <c r="AA51" i="23"/>
  <c r="AA50" i="23"/>
  <c r="AA49" i="23"/>
  <c r="AA48" i="23"/>
  <c r="AA47" i="23"/>
  <c r="AA46" i="23"/>
  <c r="AA45" i="23"/>
  <c r="AA44" i="23"/>
  <c r="AA43" i="23"/>
  <c r="AA42" i="23"/>
  <c r="AA41" i="23"/>
  <c r="AA40" i="23"/>
  <c r="AA39" i="23"/>
  <c r="AA38" i="23"/>
  <c r="AA37" i="23"/>
  <c r="AA36" i="23"/>
  <c r="AA35" i="23"/>
  <c r="AA34" i="23"/>
  <c r="AA33" i="23"/>
  <c r="AA32" i="23"/>
  <c r="AA31" i="23"/>
  <c r="AA30" i="23"/>
  <c r="AA29" i="23"/>
  <c r="AA28" i="23"/>
  <c r="AA27" i="23"/>
  <c r="AA26" i="23"/>
  <c r="AA25" i="23"/>
  <c r="AA24" i="23"/>
  <c r="AA23" i="23"/>
  <c r="AA22" i="23"/>
  <c r="AA21" i="23"/>
  <c r="AA20" i="23"/>
  <c r="AA19" i="23"/>
  <c r="AA18" i="23"/>
  <c r="AA17" i="23"/>
  <c r="AA16" i="23"/>
  <c r="AA15" i="23"/>
  <c r="AA14" i="23"/>
  <c r="AA13" i="23"/>
  <c r="AA12" i="23"/>
  <c r="AA11" i="23"/>
  <c r="AA10" i="23"/>
  <c r="AA9" i="23"/>
  <c r="AA8" i="23"/>
  <c r="AA7" i="23"/>
  <c r="AA6" i="23"/>
  <c r="AA5" i="23"/>
  <c r="AA4" i="23"/>
  <c r="W86" i="23"/>
  <c r="W85" i="23"/>
  <c r="W84" i="23"/>
  <c r="W83" i="23"/>
  <c r="W82" i="23"/>
  <c r="W81" i="23"/>
  <c r="W80" i="23"/>
  <c r="W79" i="23"/>
  <c r="W78" i="23"/>
  <c r="W77" i="23"/>
  <c r="W76" i="23"/>
  <c r="W75" i="23"/>
  <c r="W74" i="23"/>
  <c r="W73" i="23"/>
  <c r="W72" i="23"/>
  <c r="W71" i="23"/>
  <c r="W70" i="23"/>
  <c r="W69" i="23"/>
  <c r="W68" i="23"/>
  <c r="W67" i="23"/>
  <c r="W65" i="23"/>
  <c r="W64" i="23"/>
  <c r="W63" i="23"/>
  <c r="W62" i="23"/>
  <c r="W61" i="23"/>
  <c r="W60" i="23"/>
  <c r="W59" i="23"/>
  <c r="W58" i="23"/>
  <c r="W57" i="23"/>
  <c r="W56" i="23"/>
  <c r="W55" i="23"/>
  <c r="W54" i="23"/>
  <c r="W53" i="23"/>
  <c r="W52" i="23"/>
  <c r="W51" i="23"/>
  <c r="W50" i="23"/>
  <c r="W49" i="23"/>
  <c r="W48" i="23"/>
  <c r="W47" i="23"/>
  <c r="W46" i="23"/>
  <c r="W45" i="23"/>
  <c r="W44" i="23"/>
  <c r="W43" i="23"/>
  <c r="W42" i="23"/>
  <c r="W41" i="23"/>
  <c r="W40" i="23"/>
  <c r="W39" i="23"/>
  <c r="W38" i="23"/>
  <c r="W37" i="23"/>
  <c r="W36" i="23"/>
  <c r="W35" i="23"/>
  <c r="W34" i="23"/>
  <c r="W33" i="23"/>
  <c r="W32" i="23"/>
  <c r="W31" i="23"/>
  <c r="W30" i="23"/>
  <c r="W29" i="23"/>
  <c r="W28" i="23"/>
  <c r="W27" i="23"/>
  <c r="W26" i="23"/>
  <c r="W25" i="23"/>
  <c r="W24" i="23"/>
  <c r="W23" i="23"/>
  <c r="W22" i="23"/>
  <c r="W21" i="23"/>
  <c r="W20" i="23"/>
  <c r="W19" i="23"/>
  <c r="W18" i="23"/>
  <c r="W17" i="23"/>
  <c r="W16" i="23"/>
  <c r="W15" i="23"/>
  <c r="W14" i="23"/>
  <c r="W13" i="23"/>
  <c r="W12" i="23"/>
  <c r="W11" i="23"/>
  <c r="W10" i="23"/>
  <c r="W9" i="23"/>
  <c r="W8" i="23"/>
  <c r="W7" i="23"/>
  <c r="W6" i="23"/>
  <c r="W5" i="23"/>
  <c r="W4" i="23"/>
  <c r="S86" i="23"/>
  <c r="S85" i="23"/>
  <c r="S84" i="23"/>
  <c r="S83" i="23"/>
  <c r="S82" i="23"/>
  <c r="S81" i="23"/>
  <c r="S80" i="23"/>
  <c r="S79" i="23"/>
  <c r="S78" i="23"/>
  <c r="S77" i="23"/>
  <c r="S76" i="23"/>
  <c r="S75" i="23"/>
  <c r="S74" i="23"/>
  <c r="S73" i="23"/>
  <c r="S72" i="23"/>
  <c r="S71" i="23"/>
  <c r="S70" i="23"/>
  <c r="S69" i="23"/>
  <c r="S68" i="23"/>
  <c r="S67" i="23"/>
  <c r="S66" i="23"/>
  <c r="S65" i="23"/>
  <c r="S64" i="23"/>
  <c r="S63" i="23"/>
  <c r="S62" i="23"/>
  <c r="S61" i="23"/>
  <c r="S60" i="23"/>
  <c r="S59" i="23"/>
  <c r="S58" i="23"/>
  <c r="S57" i="23"/>
  <c r="S56" i="23"/>
  <c r="S55" i="23"/>
  <c r="S54" i="23"/>
  <c r="S53" i="23"/>
  <c r="S52" i="23"/>
  <c r="S51" i="23"/>
  <c r="S50" i="23"/>
  <c r="S49" i="23"/>
  <c r="S48" i="23"/>
  <c r="S47" i="23"/>
  <c r="S46" i="23"/>
  <c r="S45" i="23"/>
  <c r="S44" i="23"/>
  <c r="S43" i="23"/>
  <c r="S42" i="23"/>
  <c r="S41" i="23"/>
  <c r="S40" i="23"/>
  <c r="S39" i="23"/>
  <c r="S38" i="23"/>
  <c r="S37" i="23"/>
  <c r="S36" i="23"/>
  <c r="S35" i="23"/>
  <c r="S34" i="23"/>
  <c r="S33" i="23"/>
  <c r="S32" i="23"/>
  <c r="S31" i="23"/>
  <c r="S30" i="23"/>
  <c r="S29" i="23"/>
  <c r="S28" i="23"/>
  <c r="S27" i="23"/>
  <c r="S26" i="23"/>
  <c r="S25" i="23"/>
  <c r="S24" i="23"/>
  <c r="S23" i="23"/>
  <c r="S22" i="23"/>
  <c r="S14" i="23"/>
  <c r="S13" i="23"/>
  <c r="S12" i="23"/>
  <c r="S11" i="23"/>
  <c r="S10" i="23"/>
  <c r="S9" i="23"/>
  <c r="S8" i="23"/>
  <c r="S7" i="23"/>
  <c r="S6" i="23"/>
  <c r="S5" i="23"/>
  <c r="S4" i="23"/>
  <c r="O5" i="23"/>
  <c r="O6" i="23"/>
  <c r="O7" i="23"/>
  <c r="O8" i="23"/>
  <c r="O9" i="23"/>
  <c r="O10" i="23"/>
  <c r="O11" i="23"/>
  <c r="O12" i="23"/>
  <c r="O13" i="23"/>
  <c r="O14" i="23"/>
  <c r="O22" i="23"/>
  <c r="O23" i="23"/>
  <c r="O24" i="23"/>
  <c r="O25" i="23"/>
  <c r="O26" i="23"/>
  <c r="O27" i="23"/>
  <c r="O28" i="23"/>
  <c r="O29" i="23"/>
  <c r="O30" i="23"/>
  <c r="O31" i="23"/>
  <c r="O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O45" i="23"/>
  <c r="O46" i="23"/>
  <c r="O47" i="23"/>
  <c r="O48" i="23"/>
  <c r="O49" i="23"/>
  <c r="O50" i="23"/>
  <c r="O51" i="23"/>
  <c r="O52" i="23"/>
  <c r="O53" i="23"/>
  <c r="O54" i="23"/>
  <c r="O55" i="23"/>
  <c r="O56" i="23"/>
  <c r="O57" i="23"/>
  <c r="O58" i="23"/>
  <c r="O59" i="23"/>
  <c r="O60" i="23"/>
  <c r="O61" i="23"/>
  <c r="O62" i="23"/>
  <c r="O63" i="23"/>
  <c r="O64" i="23"/>
  <c r="O65" i="23"/>
  <c r="O66" i="23"/>
  <c r="O67" i="23"/>
  <c r="O68" i="23"/>
  <c r="O69" i="23"/>
  <c r="O70" i="23"/>
  <c r="O71" i="23"/>
  <c r="O72" i="23"/>
  <c r="O73" i="23"/>
  <c r="O74" i="23"/>
  <c r="O75" i="23"/>
  <c r="O76" i="23"/>
  <c r="O77" i="23"/>
  <c r="O78" i="23"/>
  <c r="O79" i="23"/>
  <c r="O80" i="23"/>
  <c r="O81" i="23"/>
  <c r="O82" i="23"/>
  <c r="O83" i="23"/>
  <c r="O84" i="23"/>
  <c r="O85" i="23"/>
  <c r="O86" i="23"/>
  <c r="O4" i="23"/>
  <c r="G5" i="23"/>
  <c r="G6" i="23"/>
  <c r="G7" i="23"/>
  <c r="G8" i="23"/>
  <c r="G9" i="23"/>
  <c r="G10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69" i="23"/>
  <c r="G70" i="23"/>
  <c r="G71" i="23"/>
  <c r="G72" i="23"/>
  <c r="G73" i="23"/>
  <c r="G74" i="23"/>
  <c r="G75" i="23"/>
  <c r="G76" i="23"/>
  <c r="G77" i="23"/>
  <c r="G78" i="23"/>
  <c r="G79" i="23"/>
  <c r="G80" i="23"/>
  <c r="G81" i="23"/>
  <c r="G82" i="23"/>
  <c r="G83" i="23"/>
  <c r="G84" i="23"/>
  <c r="G85" i="23"/>
  <c r="G86" i="23"/>
  <c r="G4" i="23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4" i="1"/>
  <c r="AG3" i="1"/>
  <c r="AD4" i="1"/>
  <c r="AD5" i="1"/>
  <c r="AD6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9" i="1"/>
  <c r="AD70" i="1"/>
  <c r="AD71" i="1"/>
  <c r="AD72" i="1"/>
  <c r="AD73" i="1"/>
  <c r="AD74" i="1"/>
  <c r="AD75" i="1"/>
  <c r="AD77" i="1"/>
  <c r="AD78" i="1"/>
  <c r="AD79" i="1"/>
  <c r="AD80" i="1"/>
  <c r="AD82" i="1"/>
  <c r="AD83" i="1"/>
  <c r="AD84" i="1"/>
  <c r="AD85" i="1"/>
  <c r="AD86" i="1"/>
  <c r="AD87" i="1"/>
  <c r="AD88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7" i="1"/>
  <c r="AD108" i="1"/>
  <c r="AD111" i="1"/>
  <c r="AD112" i="1"/>
  <c r="AD113" i="1"/>
  <c r="AD114" i="1"/>
  <c r="AD115" i="1"/>
  <c r="AD116" i="1"/>
  <c r="AD117" i="1"/>
  <c r="AD119" i="1"/>
  <c r="AD120" i="1"/>
  <c r="AD121" i="1"/>
  <c r="AD122" i="1"/>
  <c r="AD123" i="1"/>
  <c r="AD124" i="1"/>
  <c r="AD125" i="1"/>
  <c r="AD126" i="1"/>
  <c r="AD127" i="1"/>
  <c r="AD128" i="1"/>
  <c r="AD129" i="1"/>
  <c r="AD131" i="1"/>
  <c r="AD132" i="1"/>
  <c r="AD133" i="1"/>
  <c r="AD134" i="1"/>
  <c r="AD135" i="1"/>
  <c r="AD136" i="1"/>
  <c r="AD137" i="1"/>
  <c r="AD138" i="1"/>
  <c r="AD139" i="1"/>
  <c r="AD140" i="1"/>
  <c r="AD141" i="1"/>
  <c r="AD144" i="1"/>
  <c r="AD147" i="1"/>
  <c r="AD148" i="1"/>
  <c r="AD149" i="1"/>
  <c r="AD150" i="1"/>
  <c r="AD151" i="1"/>
  <c r="AD152" i="1"/>
  <c r="AD153" i="1"/>
  <c r="AD156" i="1"/>
  <c r="AD160" i="1"/>
  <c r="AD161" i="1"/>
  <c r="AD162" i="1"/>
  <c r="AD163" i="1"/>
  <c r="AD164" i="1"/>
  <c r="AD165" i="1"/>
  <c r="AD166" i="1"/>
  <c r="AD168" i="1"/>
  <c r="AD169" i="1"/>
  <c r="AD171" i="1"/>
  <c r="AD173" i="1"/>
  <c r="AD174" i="1"/>
  <c r="AD175" i="1"/>
  <c r="AD176" i="1"/>
  <c r="AD177" i="1"/>
  <c r="AD178" i="1"/>
  <c r="AD179" i="1"/>
  <c r="AD180" i="1"/>
  <c r="AD182" i="1"/>
  <c r="AD183" i="1"/>
  <c r="AD184" i="1"/>
  <c r="AD185" i="1"/>
  <c r="AD186" i="1"/>
  <c r="AD187" i="1"/>
  <c r="AD188" i="1"/>
  <c r="AD189" i="1"/>
  <c r="AD190" i="1"/>
  <c r="AD192" i="1"/>
  <c r="AD193" i="1"/>
  <c r="AD194" i="1"/>
  <c r="AD195" i="1"/>
  <c r="AD196" i="1"/>
  <c r="AD197" i="1"/>
  <c r="AD198" i="1"/>
  <c r="AD199" i="1"/>
  <c r="AD201" i="1"/>
  <c r="AD202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3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3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8" i="1"/>
  <c r="J17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G4" i="1"/>
  <c r="G5" i="1"/>
  <c r="G6" i="1"/>
  <c r="G7" i="1"/>
  <c r="G8" i="1"/>
  <c r="G9" i="1"/>
  <c r="G10" i="1"/>
  <c r="G11" i="1"/>
  <c r="G12" i="1"/>
  <c r="G13" i="1"/>
  <c r="G15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3" i="1"/>
  <c r="E10" i="25"/>
  <c r="E26" i="25"/>
  <c r="K26" i="25"/>
  <c r="D157" i="25"/>
  <c r="E16" i="25" s="1"/>
  <c r="E7" i="25"/>
  <c r="I7" i="25"/>
  <c r="K7" i="25"/>
  <c r="K12" i="23"/>
  <c r="E35" i="24"/>
  <c r="Q7" i="25"/>
  <c r="E5" i="24"/>
  <c r="G5" i="24"/>
  <c r="W7" i="25"/>
  <c r="M5" i="24"/>
  <c r="M6" i="25"/>
  <c r="O6" i="25"/>
  <c r="S6" i="25"/>
  <c r="K6" i="25"/>
  <c r="M7" i="25"/>
  <c r="O7" i="25"/>
  <c r="S7" i="25"/>
  <c r="U7" i="25"/>
  <c r="U6" i="25"/>
  <c r="I5" i="24"/>
  <c r="K5" i="24"/>
  <c r="Y7" i="25"/>
  <c r="O5" i="24"/>
  <c r="Q5" i="24"/>
  <c r="D156" i="25"/>
  <c r="AC48" i="25" s="1"/>
  <c r="AC18" i="25"/>
  <c r="AC4" i="25"/>
  <c r="AC29" i="25"/>
  <c r="AC6" i="25"/>
  <c r="AA6" i="25"/>
  <c r="W50" i="24"/>
  <c r="W34" i="24"/>
  <c r="W33" i="24"/>
  <c r="W32" i="24"/>
  <c r="W31" i="24"/>
  <c r="W30" i="24"/>
  <c r="W29" i="24"/>
  <c r="Q42" i="24"/>
  <c r="Q41" i="24"/>
  <c r="Q61" i="24"/>
  <c r="Q60" i="24"/>
  <c r="Q59" i="24"/>
  <c r="Q58" i="24"/>
  <c r="Q65" i="24"/>
  <c r="Q64" i="24"/>
  <c r="Q68" i="24"/>
  <c r="Q66" i="24"/>
  <c r="Q56" i="24"/>
  <c r="Q57" i="24"/>
  <c r="Q54" i="24"/>
  <c r="Q53" i="24"/>
  <c r="Q52" i="24"/>
  <c r="Q51" i="24"/>
  <c r="Q45" i="24"/>
  <c r="Q40" i="24"/>
  <c r="Q39" i="24"/>
  <c r="Q38" i="24"/>
  <c r="Q37" i="24"/>
  <c r="Q36" i="24"/>
  <c r="S28" i="24"/>
  <c r="S27" i="24"/>
  <c r="S26" i="24"/>
  <c r="S25" i="24"/>
  <c r="Q28" i="24"/>
  <c r="Q27" i="24"/>
  <c r="Q26" i="24"/>
  <c r="Q25" i="24"/>
  <c r="AE47" i="25"/>
  <c r="AG48" i="25"/>
  <c r="AG47" i="25"/>
  <c r="AI47" i="25"/>
  <c r="AI48" i="25"/>
  <c r="AE21" i="25"/>
  <c r="AE20" i="25"/>
  <c r="AG19" i="25"/>
  <c r="AE34" i="25"/>
  <c r="AI11" i="25"/>
  <c r="AE11" i="25"/>
  <c r="AE6" i="25"/>
  <c r="AE4" i="25"/>
  <c r="AF5" i="25"/>
  <c r="F116" i="24"/>
  <c r="Q62" i="24" s="1"/>
  <c r="S64" i="24"/>
  <c r="S68" i="24"/>
  <c r="S67" i="24"/>
  <c r="S66" i="24"/>
  <c r="S65" i="24"/>
  <c r="S57" i="24"/>
  <c r="S56" i="24"/>
  <c r="S53" i="24"/>
  <c r="S59" i="24"/>
  <c r="S58" i="24"/>
  <c r="S55" i="24"/>
  <c r="S54" i="24"/>
  <c r="S52" i="24"/>
  <c r="S51" i="24"/>
  <c r="S49" i="24"/>
  <c r="S48" i="24"/>
  <c r="S47" i="24"/>
  <c r="S46" i="24"/>
  <c r="S44" i="24"/>
  <c r="S43" i="24"/>
  <c r="S41" i="24"/>
  <c r="S40" i="24"/>
  <c r="S39" i="24"/>
  <c r="S38" i="24"/>
  <c r="S37" i="24"/>
  <c r="S36" i="24"/>
  <c r="AI44" i="25"/>
  <c r="AG18" i="25"/>
  <c r="AG4" i="25"/>
  <c r="AI4" i="25"/>
  <c r="AI6" i="25"/>
  <c r="AU41" i="25"/>
  <c r="AU42" i="25"/>
  <c r="AU43" i="25"/>
  <c r="AU44" i="25"/>
  <c r="AU45" i="25"/>
  <c r="AU46" i="25"/>
  <c r="AM4" i="25"/>
  <c r="AO4" i="25"/>
  <c r="AK4" i="25"/>
  <c r="AM6" i="25"/>
  <c r="U5" i="24"/>
  <c r="AD65" i="23"/>
  <c r="BA4" i="25"/>
  <c r="AQ36" i="25"/>
  <c r="AQ19" i="25"/>
  <c r="AO19" i="25"/>
  <c r="AQ18" i="25"/>
  <c r="AO18" i="25"/>
  <c r="AQ6" i="25"/>
  <c r="AQ15" i="25"/>
  <c r="AQ14" i="25"/>
  <c r="AQ13" i="25"/>
  <c r="AQ12" i="25"/>
  <c r="AO6" i="25"/>
  <c r="AQ4" i="25"/>
  <c r="AS9" i="25"/>
  <c r="O165" i="1"/>
  <c r="Q165" i="1" s="1"/>
  <c r="E24" i="25" l="1"/>
  <c r="E17" i="25"/>
  <c r="AC47" i="25"/>
  <c r="Q63" i="24"/>
  <c r="S62" i="24"/>
  <c r="AB66" i="1" l="1"/>
  <c r="AD66" i="1" s="1"/>
  <c r="Z66" i="1"/>
  <c r="U66" i="1"/>
  <c r="W66" i="1" s="1"/>
  <c r="T66" i="1"/>
  <c r="O19" i="1"/>
  <c r="Q19" i="1" s="1"/>
  <c r="D225" i="1"/>
  <c r="D229" i="1"/>
  <c r="D230" i="1"/>
  <c r="D233" i="1"/>
  <c r="D235" i="1" s="1"/>
  <c r="D243" i="1"/>
  <c r="D244" i="1"/>
  <c r="D253" i="1"/>
  <c r="D275" i="1"/>
  <c r="D297" i="1"/>
  <c r="F297" i="1" s="1"/>
  <c r="D298" i="1"/>
  <c r="D299" i="1"/>
  <c r="D300" i="1"/>
  <c r="F300" i="1" s="1"/>
  <c r="D303" i="1"/>
  <c r="D304" i="1"/>
  <c r="AA12" i="24"/>
  <c r="AY40" i="25"/>
  <c r="AW9" i="25" l="1"/>
  <c r="AC15" i="24"/>
  <c r="D83" i="24" s="1"/>
  <c r="AC18" i="24" s="1"/>
  <c r="AE12" i="24"/>
  <c r="AG14" i="24"/>
  <c r="AG13" i="24"/>
  <c r="AI11" i="24"/>
  <c r="AI10" i="24"/>
  <c r="AI9" i="24"/>
  <c r="AI8" i="24"/>
  <c r="AI7" i="24"/>
  <c r="AI6" i="24"/>
  <c r="AI4" i="24"/>
  <c r="AC200" i="1"/>
  <c r="AB200" i="1"/>
  <c r="AC203" i="1"/>
  <c r="AB203" i="1"/>
  <c r="AC170" i="1"/>
  <c r="AB170" i="1"/>
  <c r="AC191" i="1"/>
  <c r="AB191" i="1"/>
  <c r="AC181" i="1"/>
  <c r="AB181" i="1"/>
  <c r="AB159" i="1"/>
  <c r="AD159" i="1" s="1"/>
  <c r="AC172" i="1"/>
  <c r="AB172" i="1"/>
  <c r="AB167" i="1"/>
  <c r="AD167" i="1" s="1"/>
  <c r="AC158" i="1"/>
  <c r="AB158" i="1"/>
  <c r="AB157" i="1"/>
  <c r="AD157" i="1" s="1"/>
  <c r="AB155" i="1"/>
  <c r="AD155" i="1" s="1"/>
  <c r="AC154" i="1"/>
  <c r="AB154" i="1"/>
  <c r="AC146" i="1"/>
  <c r="AB146" i="1"/>
  <c r="AB145" i="1"/>
  <c r="AD145" i="1" s="1"/>
  <c r="AC142" i="1"/>
  <c r="AB142" i="1"/>
  <c r="AC143" i="1"/>
  <c r="AB143" i="1"/>
  <c r="AC130" i="1"/>
  <c r="AB130" i="1"/>
  <c r="AB118" i="1"/>
  <c r="AD118" i="1" s="1"/>
  <c r="AC110" i="1"/>
  <c r="AB110" i="1"/>
  <c r="AC106" i="1"/>
  <c r="AB106" i="1"/>
  <c r="AC109" i="1"/>
  <c r="AB109" i="1"/>
  <c r="AC91" i="1"/>
  <c r="AB91" i="1"/>
  <c r="AB90" i="1"/>
  <c r="AD90" i="1" s="1"/>
  <c r="AC89" i="1"/>
  <c r="AB89" i="1"/>
  <c r="AC68" i="1"/>
  <c r="AB68" i="1"/>
  <c r="AB76" i="1"/>
  <c r="AD76" i="1" s="1"/>
  <c r="AC67" i="1"/>
  <c r="AB67" i="1"/>
  <c r="AC81" i="1"/>
  <c r="AB81" i="1"/>
  <c r="AC23" i="1"/>
  <c r="AB23" i="1"/>
  <c r="AC45" i="1"/>
  <c r="AB45" i="1"/>
  <c r="AB7" i="1"/>
  <c r="AD7" i="1" s="1"/>
  <c r="AD45" i="1" l="1"/>
  <c r="AD81" i="1"/>
  <c r="AD109" i="1"/>
  <c r="AD110" i="1"/>
  <c r="AD154" i="1"/>
  <c r="AD158" i="1"/>
  <c r="AD191" i="1"/>
  <c r="AD203" i="1"/>
  <c r="AD68" i="1"/>
  <c r="AD143" i="1"/>
  <c r="AD23" i="1"/>
  <c r="AD67" i="1"/>
  <c r="AD91" i="1"/>
  <c r="AD106" i="1"/>
  <c r="AD146" i="1"/>
  <c r="AD181" i="1"/>
  <c r="AD170" i="1"/>
  <c r="AD200" i="1"/>
  <c r="AD89" i="1"/>
  <c r="AD130" i="1"/>
  <c r="AD142" i="1"/>
  <c r="AD172" i="1"/>
  <c r="AC16" i="24"/>
  <c r="AC17" i="24"/>
  <c r="BI5" i="25"/>
  <c r="BG5" i="25"/>
  <c r="BC5" i="25"/>
  <c r="BC25" i="25"/>
  <c r="BC38" i="25"/>
  <c r="BG38" i="25"/>
  <c r="BC22" i="25"/>
  <c r="BG37" i="25"/>
  <c r="BC37" i="25"/>
  <c r="BC36" i="25"/>
  <c r="BG7" i="25"/>
  <c r="BC7" i="25"/>
  <c r="BC6" i="25"/>
  <c r="F231" i="1"/>
  <c r="F232" i="1"/>
  <c r="F246" i="1"/>
  <c r="F248" i="1"/>
  <c r="Q18" i="1" s="1"/>
  <c r="F255" i="1"/>
  <c r="F256" i="1"/>
  <c r="H256" i="1" s="1"/>
  <c r="F258" i="1"/>
  <c r="F261" i="1"/>
  <c r="F262" i="1"/>
  <c r="F269" i="1"/>
  <c r="F271" i="1"/>
  <c r="F272" i="1"/>
  <c r="F275" i="1"/>
  <c r="F274" i="1" s="1"/>
  <c r="F276" i="1"/>
  <c r="F277" i="1" s="1"/>
  <c r="F278" i="1"/>
  <c r="F280" i="1"/>
  <c r="F283" i="1"/>
  <c r="H283" i="1" s="1"/>
  <c r="F285" i="1"/>
  <c r="F286" i="1"/>
  <c r="F287" i="1"/>
  <c r="F288" i="1"/>
  <c r="H288" i="1" s="1"/>
  <c r="F289" i="1"/>
  <c r="H289" i="1" s="1"/>
  <c r="F290" i="1"/>
  <c r="F291" i="1"/>
  <c r="F292" i="1"/>
  <c r="F293" i="1"/>
  <c r="F295" i="1"/>
  <c r="F301" i="1"/>
  <c r="F303" i="1"/>
  <c r="F302" i="1" s="1"/>
  <c r="F304" i="1"/>
  <c r="F305" i="1"/>
  <c r="F306" i="1"/>
  <c r="F307" i="1"/>
  <c r="F308" i="1"/>
  <c r="F309" i="1"/>
  <c r="F311" i="1"/>
  <c r="F312" i="1"/>
  <c r="F313" i="1"/>
  <c r="F314" i="1"/>
  <c r="F316" i="1" s="1"/>
  <c r="F315" i="1"/>
  <c r="BG39" i="25"/>
  <c r="BG23" i="25"/>
  <c r="BG25" i="25"/>
  <c r="BG22" i="25"/>
  <c r="BG11" i="25"/>
  <c r="BG6" i="25"/>
  <c r="D122" i="26"/>
  <c r="F116" i="26"/>
  <c r="F115" i="26"/>
  <c r="F117" i="26" s="1"/>
  <c r="F114" i="26"/>
  <c r="F113" i="26"/>
  <c r="F112" i="26"/>
  <c r="F110" i="26"/>
  <c r="F109" i="26"/>
  <c r="F108" i="26"/>
  <c r="F107" i="26"/>
  <c r="F106" i="26"/>
  <c r="D105" i="26"/>
  <c r="F105" i="26" s="1"/>
  <c r="D104" i="26"/>
  <c r="F104" i="26" s="1"/>
  <c r="F103" i="26" s="1"/>
  <c r="F102" i="26"/>
  <c r="D101" i="26"/>
  <c r="D100" i="26"/>
  <c r="D99" i="26"/>
  <c r="D98" i="26"/>
  <c r="F96" i="26"/>
  <c r="F94" i="26"/>
  <c r="F93" i="26"/>
  <c r="F92" i="26"/>
  <c r="F91" i="26"/>
  <c r="F90" i="26"/>
  <c r="H90" i="26" s="1"/>
  <c r="F89" i="26"/>
  <c r="H89" i="26" s="1"/>
  <c r="F88" i="26"/>
  <c r="F87" i="26"/>
  <c r="F86" i="26"/>
  <c r="F84" i="26"/>
  <c r="D82" i="26" s="1"/>
  <c r="F82" i="26" s="1"/>
  <c r="F81" i="26"/>
  <c r="F79" i="26"/>
  <c r="F77" i="26"/>
  <c r="F78" i="26" s="1"/>
  <c r="D76" i="26"/>
  <c r="F76" i="26" s="1"/>
  <c r="F75" i="26" s="1"/>
  <c r="F73" i="26"/>
  <c r="F72" i="26"/>
  <c r="F70" i="26"/>
  <c r="F63" i="26"/>
  <c r="F62" i="26"/>
  <c r="F59" i="26"/>
  <c r="F57" i="26"/>
  <c r="H57" i="26" s="1"/>
  <c r="F56" i="26"/>
  <c r="D54" i="26"/>
  <c r="F49" i="26"/>
  <c r="F47" i="26"/>
  <c r="D44" i="26"/>
  <c r="D43" i="26"/>
  <c r="D33" i="26"/>
  <c r="F33" i="26" s="1"/>
  <c r="F34" i="26" s="1"/>
  <c r="H34" i="26" s="1"/>
  <c r="F32" i="26"/>
  <c r="F31" i="26"/>
  <c r="J31" i="26" s="1"/>
  <c r="D30" i="26"/>
  <c r="D29" i="26"/>
  <c r="D25" i="26"/>
  <c r="F21" i="26"/>
  <c r="BG35" i="25"/>
  <c r="D152" i="25"/>
  <c r="BI31" i="25" s="1"/>
  <c r="BI4" i="25"/>
  <c r="BI27" i="25"/>
  <c r="BI26" i="25"/>
  <c r="BI25" i="25"/>
  <c r="BI23" i="25"/>
  <c r="BI22" i="25"/>
  <c r="BK4" i="25"/>
  <c r="BK5" i="25"/>
  <c r="BI11" i="25"/>
  <c r="BI6" i="25"/>
  <c r="BI7" i="25"/>
  <c r="J231" i="1" l="1"/>
  <c r="E16" i="1"/>
  <c r="G16" i="1" s="1"/>
  <c r="H19" i="1"/>
  <c r="J19" i="1" s="1"/>
  <c r="E19" i="1"/>
  <c r="G19" i="1" s="1"/>
  <c r="H16" i="1"/>
  <c r="J16" i="1" s="1"/>
  <c r="D281" i="1"/>
  <c r="F281" i="1" s="1"/>
  <c r="F233" i="1"/>
  <c r="F234" i="1" s="1"/>
  <c r="H234" i="1" s="1"/>
  <c r="H231" i="1"/>
  <c r="F221" i="1"/>
  <c r="D35" i="26"/>
  <c r="H31" i="26"/>
  <c r="BI33" i="25"/>
  <c r="BI30" i="25"/>
  <c r="BI34" i="25"/>
  <c r="BI32" i="25"/>
  <c r="BI29" i="25"/>
  <c r="BG9" i="25" l="1"/>
  <c r="BG8" i="25"/>
  <c r="BI9" i="25"/>
  <c r="BK9" i="25"/>
  <c r="BI8" i="25"/>
  <c r="BK8" i="25"/>
  <c r="BK7" i="25"/>
  <c r="BK6" i="25"/>
  <c r="F146" i="25"/>
  <c r="F145" i="25"/>
  <c r="F147" i="25" s="1"/>
  <c r="F144" i="25"/>
  <c r="F143" i="25"/>
  <c r="F142" i="25"/>
  <c r="F140" i="25"/>
  <c r="F139" i="25"/>
  <c r="F138" i="25"/>
  <c r="F137" i="25"/>
  <c r="F136" i="25"/>
  <c r="D135" i="25"/>
  <c r="F135" i="25" s="1"/>
  <c r="D134" i="25"/>
  <c r="F134" i="25" s="1"/>
  <c r="F133" i="25" s="1"/>
  <c r="F132" i="25"/>
  <c r="D131" i="25"/>
  <c r="D130" i="25"/>
  <c r="D129" i="25"/>
  <c r="D128" i="25"/>
  <c r="F126" i="25"/>
  <c r="F124" i="25"/>
  <c r="F123" i="25"/>
  <c r="F122" i="25"/>
  <c r="F121" i="25"/>
  <c r="F120" i="25"/>
  <c r="H120" i="25" s="1"/>
  <c r="F119" i="25"/>
  <c r="H119" i="25" s="1"/>
  <c r="F118" i="25"/>
  <c r="F117" i="25"/>
  <c r="F116" i="25"/>
  <c r="F114" i="25"/>
  <c r="F111" i="25"/>
  <c r="F109" i="25"/>
  <c r="F107" i="25"/>
  <c r="F108" i="25" s="1"/>
  <c r="D106" i="25"/>
  <c r="F106" i="25" s="1"/>
  <c r="F105" i="25" s="1"/>
  <c r="F103" i="25"/>
  <c r="F102" i="25"/>
  <c r="F100" i="25"/>
  <c r="F93" i="25"/>
  <c r="F92" i="25"/>
  <c r="F89" i="25"/>
  <c r="F87" i="25"/>
  <c r="H87" i="25" s="1"/>
  <c r="F86" i="25"/>
  <c r="D84" i="25"/>
  <c r="F79" i="25"/>
  <c r="F77" i="25"/>
  <c r="D74" i="25"/>
  <c r="D63" i="25"/>
  <c r="D65" i="25" s="1"/>
  <c r="F62" i="25"/>
  <c r="F61" i="25"/>
  <c r="D60" i="25"/>
  <c r="D55" i="25"/>
  <c r="F51" i="25"/>
  <c r="F183" i="24"/>
  <c r="F182" i="24"/>
  <c r="F184" i="24" s="1"/>
  <c r="F181" i="24"/>
  <c r="F180" i="24"/>
  <c r="F179" i="24"/>
  <c r="F177" i="24"/>
  <c r="F176" i="24"/>
  <c r="F175" i="24"/>
  <c r="F174" i="24"/>
  <c r="F173" i="24"/>
  <c r="D172" i="24"/>
  <c r="F172" i="24" s="1"/>
  <c r="D171" i="24"/>
  <c r="F171" i="24" s="1"/>
  <c r="F170" i="24" s="1"/>
  <c r="F169" i="24"/>
  <c r="D168" i="24"/>
  <c r="F168" i="24" s="1"/>
  <c r="D167" i="24"/>
  <c r="D166" i="24"/>
  <c r="D165" i="24"/>
  <c r="F165" i="24" s="1"/>
  <c r="F163" i="24"/>
  <c r="F161" i="24"/>
  <c r="F160" i="24"/>
  <c r="F159" i="24"/>
  <c r="F158" i="24"/>
  <c r="F157" i="24"/>
  <c r="H157" i="24" s="1"/>
  <c r="F156" i="24"/>
  <c r="H156" i="24" s="1"/>
  <c r="F155" i="24"/>
  <c r="F154" i="24"/>
  <c r="F153" i="24"/>
  <c r="F151" i="24"/>
  <c r="F148" i="24"/>
  <c r="F146" i="24"/>
  <c r="F144" i="24"/>
  <c r="F145" i="24" s="1"/>
  <c r="D143" i="24"/>
  <c r="F143" i="24" s="1"/>
  <c r="F142" i="24" s="1"/>
  <c r="F140" i="24"/>
  <c r="F139" i="24"/>
  <c r="F137" i="24"/>
  <c r="F130" i="24"/>
  <c r="F129" i="24"/>
  <c r="F126" i="24"/>
  <c r="F124" i="24"/>
  <c r="H124" i="24" s="1"/>
  <c r="F123" i="24"/>
  <c r="D121" i="24"/>
  <c r="F114" i="24"/>
  <c r="D112" i="24"/>
  <c r="D111" i="24"/>
  <c r="D101" i="24"/>
  <c r="F101" i="24" s="1"/>
  <c r="F102" i="24" s="1"/>
  <c r="H102" i="24" s="1"/>
  <c r="F100" i="24"/>
  <c r="F99" i="24"/>
  <c r="J99" i="24" s="1"/>
  <c r="D98" i="24"/>
  <c r="D97" i="24"/>
  <c r="D93" i="24"/>
  <c r="F89" i="24"/>
  <c r="D149" i="24" l="1"/>
  <c r="F149" i="24" s="1"/>
  <c r="H151" i="24"/>
  <c r="J61" i="25"/>
  <c r="F66" i="25"/>
  <c r="H61" i="25"/>
  <c r="F63" i="25"/>
  <c r="F64" i="25" s="1"/>
  <c r="H64" i="25" s="1"/>
  <c r="D112" i="25"/>
  <c r="F112" i="25" s="1"/>
  <c r="D103" i="24"/>
  <c r="H99" i="24"/>
  <c r="F187" i="23"/>
  <c r="F186" i="23"/>
  <c r="F188" i="23" s="1"/>
  <c r="F185" i="23"/>
  <c r="F184" i="23"/>
  <c r="F183" i="23"/>
  <c r="F181" i="23"/>
  <c r="F180" i="23"/>
  <c r="F179" i="23"/>
  <c r="F178" i="23"/>
  <c r="F177" i="23"/>
  <c r="D180" i="23"/>
  <c r="F176" i="23" s="1"/>
  <c r="D179" i="23"/>
  <c r="F175" i="23" s="1"/>
  <c r="F174" i="23" s="1"/>
  <c r="F173" i="23"/>
  <c r="D176" i="23"/>
  <c r="F172" i="23" s="1"/>
  <c r="D175" i="23"/>
  <c r="D174" i="23"/>
  <c r="D173" i="23"/>
  <c r="F169" i="23" s="1"/>
  <c r="F167" i="23"/>
  <c r="F165" i="23"/>
  <c r="F164" i="23"/>
  <c r="F163" i="23"/>
  <c r="F162" i="23"/>
  <c r="F161" i="23"/>
  <c r="H161" i="23" s="1"/>
  <c r="F160" i="23"/>
  <c r="H160" i="23" s="1"/>
  <c r="F159" i="23"/>
  <c r="F158" i="23"/>
  <c r="F157" i="23"/>
  <c r="F155" i="23"/>
  <c r="F151" i="23"/>
  <c r="F149" i="23"/>
  <c r="F147" i="23"/>
  <c r="F148" i="23" s="1"/>
  <c r="D150" i="23"/>
  <c r="F146" i="23" s="1"/>
  <c r="F145" i="23" s="1"/>
  <c r="F143" i="23"/>
  <c r="F142" i="23"/>
  <c r="F140" i="23"/>
  <c r="F133" i="23"/>
  <c r="F132" i="23"/>
  <c r="F129" i="23"/>
  <c r="F127" i="23"/>
  <c r="H127" i="23" s="1"/>
  <c r="F126" i="23"/>
  <c r="D125" i="23"/>
  <c r="F119" i="23"/>
  <c r="F117" i="23"/>
  <c r="D115" i="23"/>
  <c r="D114" i="23"/>
  <c r="D104" i="23"/>
  <c r="F104" i="23" s="1"/>
  <c r="F105" i="23" s="1"/>
  <c r="H105" i="23" s="1"/>
  <c r="F103" i="23"/>
  <c r="F102" i="23"/>
  <c r="D101" i="23"/>
  <c r="D100" i="23"/>
  <c r="D96" i="23"/>
  <c r="AF16" i="23" l="1"/>
  <c r="AF15" i="23"/>
  <c r="AC15" i="23"/>
  <c r="AC16" i="23"/>
  <c r="D157" i="23"/>
  <c r="F152" i="23" s="1"/>
  <c r="H155" i="23"/>
  <c r="J102" i="23"/>
  <c r="D107" i="23"/>
  <c r="F107" i="23" s="1"/>
  <c r="F92" i="23"/>
  <c r="D106" i="23"/>
  <c r="H102" i="23"/>
  <c r="E14" i="23" l="1"/>
  <c r="E13" i="23"/>
  <c r="E12" i="23"/>
  <c r="E11" i="23"/>
  <c r="G11" i="23" s="1"/>
  <c r="AE16" i="23"/>
  <c r="AE15" i="23"/>
  <c r="AH16" i="23"/>
  <c r="AE65" i="23"/>
  <c r="AA66" i="23"/>
  <c r="AH15" i="23"/>
  <c r="W66" i="23"/>
  <c r="G14" i="23"/>
  <c r="G13" i="23"/>
  <c r="G12" i="23"/>
</calcChain>
</file>

<file path=xl/comments1.xml><?xml version="1.0" encoding="utf-8"?>
<comments xmlns="http://schemas.openxmlformats.org/spreadsheetml/2006/main">
  <authors>
    <author>Rai Ghulam Mustafa</author>
  </authors>
  <commentList>
    <comment ref="CJ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Pills and other prepared medicines in the reports.</t>
        </r>
      </text>
    </comment>
  </commentList>
</comments>
</file>

<file path=xl/comments2.xml><?xml version="1.0" encoding="utf-8"?>
<comments xmlns="http://schemas.openxmlformats.org/spreadsheetml/2006/main">
  <authors>
    <author>Rai Ghulam Mustafa</author>
  </authors>
  <commentList>
    <comment ref="BZ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Silk, materials in the reports.</t>
        </r>
      </text>
    </comment>
  </commentList>
</comments>
</file>

<file path=xl/comments3.xml><?xml version="1.0" encoding="utf-8"?>
<comments xmlns="http://schemas.openxmlformats.org/spreadsheetml/2006/main">
  <authors>
    <author>Rai Ghulam Mustafa</author>
    <author>Author</author>
  </authors>
  <commentList>
    <comment ref="AH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Only from the UK.</t>
        </r>
      </text>
    </comment>
    <comment ref="O1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estimated price of 1l. per ton.</t>
        </r>
      </text>
    </comment>
    <comment ref="O5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5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21 to 23 l. per ton.</t>
        </r>
      </text>
    </comment>
    <comment ref="O6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barrels of 205 to 220 kilos.</t>
        </r>
      </text>
    </comment>
    <comment ref="P6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21 to 23 l. per ton.</t>
        </r>
      </text>
    </comment>
    <comment ref="AB11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Includes knives, razors and scissors too.
</t>
        </r>
      </text>
    </comment>
    <comment ref="AB13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Includes writing paper too.
</t>
        </r>
      </text>
    </comment>
    <comment ref="O16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Each bale contains 400 sacks.</t>
        </r>
      </text>
    </comment>
    <comment ref="AI21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From UK only.</t>
        </r>
      </text>
    </comment>
    <comment ref="D297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98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99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300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</commentList>
</comments>
</file>

<file path=xl/comments4.xml><?xml version="1.0" encoding="utf-8"?>
<comments xmlns="http://schemas.openxmlformats.org/spreadsheetml/2006/main">
  <authors>
    <author>Rai Ghulam Mustafa</author>
    <author>Author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quarters.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quarters.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Sourced directly from the text.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quarters.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cwts.</t>
        </r>
      </text>
    </comment>
    <comment ref="AD6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Based on share of Constantinople of total exports.</t>
        </r>
      </text>
    </comment>
    <comment ref="C138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same as kileh (as stated in 1863)</t>
        </r>
      </text>
    </comment>
    <comment ref="D173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74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75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76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</commentList>
</comments>
</file>

<file path=xl/comments5.xml><?xml version="1.0" encoding="utf-8"?>
<comments xmlns="http://schemas.openxmlformats.org/spreadsheetml/2006/main">
  <authors>
    <author>Rai Ghulam Mustafa</author>
    <author>Author</author>
  </authors>
  <commentList>
    <comment ref="AH4" authorId="0" shapeId="0">
      <text>
        <r>
          <rPr>
            <b/>
            <sz val="9"/>
            <color indexed="81"/>
            <rFont val="Tahoma"/>
            <family val="2"/>
          </rPr>
          <t xml:space="preserve">Rai Ghulam Mustafa:
</t>
        </r>
        <r>
          <rPr>
            <sz val="9"/>
            <color indexed="81"/>
            <rFont val="Tahoma"/>
            <family val="2"/>
          </rPr>
          <t>Suspected to be in number.</t>
        </r>
      </text>
    </comment>
    <comment ref="AG1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What is c. currency?</t>
        </r>
      </text>
    </comment>
    <comment ref="AC1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C.i.f Constantinople.
Or 62 francs.</t>
        </r>
      </text>
    </comment>
    <comment ref="AC1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C.i.f Constantinople.</t>
        </r>
      </text>
    </comment>
    <comment ref="AC1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C.i.f Constantinople.</t>
        </r>
      </text>
    </comment>
    <comment ref="AC1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C.i.f Constantinople.</t>
        </r>
      </text>
    </comment>
    <comment ref="Y1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Francs. per 100 kilos, c.i.f Constantinople.</t>
        </r>
      </text>
    </comment>
    <comment ref="Y2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Francs. per 100 kilos, c.i.f Constantinople.</t>
        </r>
      </text>
    </comment>
    <comment ref="Y2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shiling per lb. c.i.f Constantinople.</t>
        </r>
      </text>
    </comment>
    <comment ref="Y2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Francs. per 100 kilos, c.i.f Constantinople.</t>
        </r>
      </text>
    </comment>
    <comment ref="Y2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Francs. per 100 kilos, c.i.f Constantinople.</t>
        </r>
      </text>
    </comment>
    <comment ref="Y2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Francs. per 100 kilos, c.i.f Constantinople.</t>
        </r>
      </text>
    </comment>
    <comment ref="Q2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packet of 10 lbs.</t>
        </r>
      </text>
    </comment>
    <comment ref="S2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packet of 10 lbs.</t>
        </r>
      </text>
    </comment>
    <comment ref="Q2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packet of 10 lbs.</t>
        </r>
      </text>
    </comment>
    <comment ref="S2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packet of 10 lbs.</t>
        </r>
      </text>
    </comment>
    <comment ref="Q2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packet of 10 lbs.</t>
        </r>
      </text>
    </comment>
    <comment ref="S2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packet of 10 lbs.</t>
        </r>
      </text>
    </comment>
    <comment ref="Q2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packet of 10 lbs.</t>
        </r>
      </text>
    </comment>
    <comment ref="S2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packet of 10 lbs.</t>
        </r>
      </text>
    </comment>
    <comment ref="W2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10 lbs. c.i.f Black Sea Port.</t>
        </r>
      </text>
    </comment>
    <comment ref="W3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10 lbs. c.i.f Black Sea Port.</t>
        </r>
      </text>
    </comment>
    <comment ref="W3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10 lbs. c.i.f Black Sea Port.</t>
        </r>
      </text>
    </comment>
    <comment ref="W3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10 lbs. c.i.f Black Sea Port.</t>
        </r>
      </text>
    </comment>
    <comment ref="W3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10 lbs. c.i.f Black Sea Port.</t>
        </r>
      </text>
    </comment>
    <comment ref="W3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10 lbs. c.i.f Black Sea Port.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dozen reel.</t>
        </r>
      </text>
    </comment>
    <comment ref="Q3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at 120 Pias. to 1 l.</t>
        </r>
      </text>
    </comment>
    <comment ref="Q3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at 120 Pias. to 1 l.</t>
        </r>
      </text>
    </comment>
    <comment ref="Q3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at 120 Pias. to 1 l.</t>
        </r>
      </text>
    </comment>
    <comment ref="Q3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3 pieces.</t>
        </r>
      </text>
    </comment>
    <comment ref="S3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3 pieces.</t>
        </r>
      </text>
    </comment>
    <comment ref="Q4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3 pieces.</t>
        </r>
      </text>
    </comment>
    <comment ref="S4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3 pieces.</t>
        </r>
      </text>
    </comment>
    <comment ref="Q4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3 pieces.</t>
        </r>
      </text>
    </comment>
    <comment ref="S4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3 pieces.</t>
        </r>
      </text>
    </comment>
    <comment ref="Q4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at 120 Pias. to 1 l.</t>
        </r>
      </text>
    </comment>
    <comment ref="S4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2 sacks at 110 pias to 1 l.</t>
        </r>
      </text>
    </comment>
    <comment ref="S4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sack at 110 pias to 1 l.</t>
        </r>
      </text>
    </comment>
    <comment ref="Q4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sack at 121 pias to 1 l.</t>
        </r>
      </text>
    </comment>
    <comment ref="S4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quintal of 124 lbs.
</t>
        </r>
      </text>
    </comment>
    <comment ref="S4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quintal of 124 lbs.
</t>
        </r>
      </text>
    </comment>
    <comment ref="S4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quintal of 124 lbs.
</t>
        </r>
      </text>
    </comment>
    <comment ref="S4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quintal of 124 lbs.
</t>
        </r>
      </text>
    </comment>
    <comment ref="W5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bundle of 1 cwt.</t>
        </r>
      </text>
    </comment>
    <comment ref="Q5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case of 88 lbs. at 110 Pias. to 1 l.
</t>
        </r>
      </text>
    </comment>
    <comment ref="S5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quintal of 124 lbs.
</t>
        </r>
      </text>
    </comment>
    <comment ref="Q5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case of 88 lbs. at 110 Pias. to 1 l.
</t>
        </r>
      </text>
    </comment>
    <comment ref="S5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quintal of 124 lbs.
</t>
        </r>
      </text>
    </comment>
    <comment ref="Q5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oke of 2.82 lbs.
</t>
        </r>
      </text>
    </comment>
    <comment ref="S5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oke of 2.82 lbs.
</t>
        </r>
      </text>
    </comment>
    <comment ref="Q5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quintal of 124.4 lbs at 110 pias to 1 l.
</t>
        </r>
      </text>
    </comment>
    <comment ref="S5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quintal of 124 lbs at 110 pias to 1 l.
</t>
        </r>
      </text>
    </comment>
    <comment ref="S5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2 cases at 110 pias to 1 l.</t>
        </r>
      </text>
    </comment>
    <comment ref="Q5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2 cases at 110 pias to 1 l.</t>
        </r>
      </text>
    </comment>
    <comment ref="S5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2 cases at 110 pias to 1 l.</t>
        </r>
      </text>
    </comment>
    <comment ref="Q5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oke of 2.82 lbs. at 100 pias to 1 l.
</t>
        </r>
      </text>
    </comment>
    <comment ref="S5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oke of 2.82 lbs. at 100 pias to 1 l.
</t>
        </r>
      </text>
    </comment>
    <comment ref="Q5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quintal of 124.4 lbs. at 113 Pias to 1l.
</t>
        </r>
      </text>
    </comment>
    <comment ref="S5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quintal of 124 lbs. at 113 Pias to 1l.
</t>
        </r>
      </text>
    </comment>
    <comment ref="Q5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quintal of 124.4 lbs. at 113 Pias to 1l.
</t>
        </r>
      </text>
    </comment>
    <comment ref="S5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quintal of 124 lbs. at 113 Pias to 1l.
</t>
        </r>
      </text>
    </comment>
    <comment ref="Q6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quintal of 124.4 lbs. at 113 Pias to 1l.
</t>
        </r>
      </text>
    </comment>
    <comment ref="Q6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quintal of 124.4 lbs. at 113 Pias to 1l.
</t>
        </r>
      </text>
    </comment>
    <comment ref="Q6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sack at 110 Pias. to 1 l.</t>
        </r>
      </text>
    </comment>
    <comment ref="S6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sack at 110 Pias. to 1 l.</t>
        </r>
      </text>
    </comment>
    <comment ref="Q6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2 cases at 110 pias to 1 l.</t>
        </r>
      </text>
    </comment>
    <comment ref="Q6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at 110 Pias. to 1 l.</t>
        </r>
      </text>
    </comment>
    <comment ref="S6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at 110 Pias. to 1 l.</t>
        </r>
      </text>
    </comment>
    <comment ref="S6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at 110 Pias. to 1 l.</t>
        </r>
      </text>
    </comment>
    <comment ref="Q6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at 110 Pias. to 1 l.</t>
        </r>
      </text>
    </comment>
    <comment ref="S6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at 110 Pias. to 1 l.</t>
        </r>
      </text>
    </comment>
    <comment ref="D165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66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67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68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</commentList>
</comments>
</file>

<file path=xl/comments6.xml><?xml version="1.0" encoding="utf-8"?>
<comments xmlns="http://schemas.openxmlformats.org/spreadsheetml/2006/main">
  <authors>
    <author>Rai Ghulam Mustafa</author>
    <author>Author</author>
  </authors>
  <commentList>
    <comment ref="BC5" authorId="0" shapeId="0">
      <text>
        <r>
          <rPr>
            <b/>
            <sz val="9"/>
            <color indexed="81"/>
            <rFont val="Tahoma"/>
            <family val="2"/>
          </rPr>
          <t xml:space="preserve">Rai Ghulam Mustafa:
</t>
        </r>
        <r>
          <rPr>
            <sz val="9"/>
            <color indexed="81"/>
            <rFont val="Tahoma"/>
            <family val="2"/>
          </rPr>
          <t xml:space="preserve">Quoted in quarter of 464 lbs. c.i.f. to UK.
</t>
        </r>
      </text>
    </comment>
    <comment ref="BG5" authorId="0" shapeId="0">
      <text>
        <r>
          <rPr>
            <b/>
            <sz val="9"/>
            <color indexed="81"/>
            <rFont val="Tahoma"/>
            <family val="2"/>
          </rPr>
          <t xml:space="preserve">Rai Ghulam Mustafa:
</t>
        </r>
        <r>
          <rPr>
            <sz val="9"/>
            <color indexed="81"/>
            <rFont val="Tahoma"/>
            <family val="2"/>
          </rPr>
          <t>Quoted in quarter of 464 lbs. c.i.f.</t>
        </r>
      </text>
    </comment>
    <comment ref="BI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quarter of 464 lbs. c.i.f. to London.
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batman of 18 lbs.
Sharp increase in Mohair's price in the following 8 years.</t>
        </r>
      </text>
    </comment>
    <comment ref="BG1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f.o.b.
</t>
        </r>
      </text>
    </comment>
    <comment ref="BI1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Includes cost, insurance and freight to London.
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rintal.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rintal.</t>
        </r>
      </text>
    </comment>
    <comment ref="AE2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oke at 118 pias. to 1 l.</t>
        </r>
      </text>
    </comment>
    <comment ref="AE2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oke at 118 pias. to 1 l.</t>
        </r>
      </text>
    </comment>
    <comment ref="BC2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304 lbs. including c.i.f.</t>
        </r>
      </text>
    </comment>
    <comment ref="BG2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304 lbs. including c.i.f.</t>
        </r>
      </text>
    </comment>
    <comment ref="BI2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304 lbs. including c.i.f.</t>
        </r>
      </text>
    </comment>
    <comment ref="BG2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480 lbs. including c.i.f.</t>
        </r>
      </text>
    </comment>
    <comment ref="BI2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480 lbs. including c.i.f.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rintal.</t>
        </r>
      </text>
    </comment>
    <comment ref="BC2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480 lbs. including c.i.f. to UK.</t>
        </r>
      </text>
    </comment>
    <comment ref="BG2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480 lbs. including c.i.f.</t>
        </r>
      </text>
    </comment>
    <comment ref="BI2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480 lbs. including c.i.f.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imperial quarter.
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quarter.</t>
        </r>
      </text>
    </comment>
    <comment ref="BI2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Includes c.i.f.</t>
        </r>
      </text>
    </comment>
    <comment ref="BI2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Includes c.i.f.</t>
        </r>
      </text>
    </comment>
    <comment ref="AC2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10 dozens.</t>
        </r>
      </text>
    </comment>
    <comment ref="BI29" authorId="0" shapeId="0">
      <text>
        <r>
          <rPr>
            <b/>
            <sz val="9"/>
            <color indexed="81"/>
            <rFont val="Tahoma"/>
            <family val="2"/>
          </rPr>
          <t xml:space="preserve">Rai Ghulam Mustafa:
</t>
        </r>
        <r>
          <rPr>
            <sz val="9"/>
            <color indexed="81"/>
            <rFont val="Tahoma"/>
            <family val="2"/>
          </rPr>
          <t>Quoted in piastres gold per oke.</t>
        </r>
      </text>
    </comment>
    <comment ref="BI30" authorId="0" shapeId="0">
      <text>
        <r>
          <rPr>
            <b/>
            <sz val="9"/>
            <color indexed="81"/>
            <rFont val="Tahoma"/>
            <family val="2"/>
          </rPr>
          <t xml:space="preserve">Rai Ghulam Mustafa:
</t>
        </r>
        <r>
          <rPr>
            <sz val="9"/>
            <color indexed="81"/>
            <rFont val="Tahoma"/>
            <family val="2"/>
          </rPr>
          <t>Quoted in piastres gold per oke.</t>
        </r>
      </text>
    </comment>
    <comment ref="BI31" authorId="0" shapeId="0">
      <text>
        <r>
          <rPr>
            <b/>
            <sz val="9"/>
            <color indexed="81"/>
            <rFont val="Tahoma"/>
            <family val="2"/>
          </rPr>
          <t xml:space="preserve">Rai Ghulam Mustafa:
</t>
        </r>
        <r>
          <rPr>
            <sz val="9"/>
            <color indexed="81"/>
            <rFont val="Tahoma"/>
            <family val="2"/>
          </rPr>
          <t>Quoted in piastres gold per oke.</t>
        </r>
      </text>
    </comment>
    <comment ref="BI32" authorId="0" shapeId="0">
      <text>
        <r>
          <rPr>
            <b/>
            <sz val="9"/>
            <color indexed="81"/>
            <rFont val="Tahoma"/>
            <family val="2"/>
          </rPr>
          <t xml:space="preserve">Rai Ghulam Mustafa:
</t>
        </r>
        <r>
          <rPr>
            <sz val="9"/>
            <color indexed="81"/>
            <rFont val="Tahoma"/>
            <family val="2"/>
          </rPr>
          <t>Quoted in piastres gold per oke.</t>
        </r>
      </text>
    </comment>
    <comment ref="BI33" authorId="0" shapeId="0">
      <text>
        <r>
          <rPr>
            <b/>
            <sz val="9"/>
            <color indexed="81"/>
            <rFont val="Tahoma"/>
            <family val="2"/>
          </rPr>
          <t xml:space="preserve">Rai Ghulam Mustafa:
</t>
        </r>
        <r>
          <rPr>
            <sz val="9"/>
            <color indexed="81"/>
            <rFont val="Tahoma"/>
            <family val="2"/>
          </rPr>
          <t>Quoted in piastres gold per oke.</t>
        </r>
      </text>
    </comment>
    <comment ref="AE3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pair.</t>
        </r>
      </text>
    </comment>
    <comment ref="BI34" authorId="0" shapeId="0">
      <text>
        <r>
          <rPr>
            <b/>
            <sz val="9"/>
            <color indexed="81"/>
            <rFont val="Tahoma"/>
            <family val="2"/>
          </rPr>
          <t xml:space="preserve">Rai Ghulam Mustafa:
</t>
        </r>
        <r>
          <rPr>
            <sz val="9"/>
            <color indexed="81"/>
            <rFont val="Tahoma"/>
            <family val="2"/>
          </rPr>
          <t>Quoted in piastres gold per oke.</t>
        </r>
      </text>
    </comment>
    <comment ref="AQ3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quarter of 400 lbs., c.i.f. to the UK</t>
        </r>
      </text>
    </comment>
    <comment ref="BC3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quarter of 400 lbs., c.i.f. to the UK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imperial quarter.
</t>
        </r>
      </text>
    </comment>
    <comment ref="BC3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quarter of 400 lbs., c.i.f. to the UK</t>
        </r>
      </text>
    </comment>
    <comment ref="BG3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quarter of 400 lbs., c.i.f. to the UK</t>
        </r>
      </text>
    </comment>
    <comment ref="BC3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quarter of 416 lbs., c.i.f. to the UK.</t>
        </r>
      </text>
    </comment>
    <comment ref="BG3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quarter of 416 lbs., c.i.f. to the UK.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imperial quarter.
</t>
        </r>
      </text>
    </comment>
    <comment ref="BG3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480 lbs. including c.i.f.</t>
        </r>
      </text>
    </comment>
    <comment ref="AY4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bags of 80 to 100 kilos.</t>
        </r>
      </text>
    </comment>
    <comment ref="AU4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In c.i.f Constantinople.</t>
        </r>
      </text>
    </comment>
    <comment ref="AU4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In c.i.f Constantinople.</t>
        </r>
      </text>
    </comment>
    <comment ref="AU4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In c.i.f Constantinople.</t>
        </r>
      </text>
    </comment>
    <comment ref="AU4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In c.i.f Constantinople.</t>
        </r>
      </text>
    </comment>
    <comment ref="AU4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In c.i.f Constantinople.</t>
        </r>
      </text>
    </comment>
    <comment ref="AU4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In c.i.f Constantinople.</t>
        </r>
      </text>
    </comment>
    <comment ref="AE4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f.o.b for average white quality.</t>
        </r>
      </text>
    </comment>
    <comment ref="D128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29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30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31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5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Sourced from the report: 1884 - Constantinople, Turkey</t>
        </r>
      </text>
    </comment>
  </commentList>
</comments>
</file>

<file path=xl/comments7.xml><?xml version="1.0" encoding="utf-8"?>
<comments xmlns="http://schemas.openxmlformats.org/spreadsheetml/2006/main">
  <authors>
    <author>Rai Ghulam Mustafa</author>
    <author>Author</author>
  </authors>
  <commentList>
    <comment ref="I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pias per sack of 50 kilos.</t>
        </r>
      </text>
    </comment>
    <comment ref="D98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99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00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01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</commentList>
</comments>
</file>

<file path=xl/sharedStrings.xml><?xml version="1.0" encoding="utf-8"?>
<sst xmlns="http://schemas.openxmlformats.org/spreadsheetml/2006/main" count="5868" uniqueCount="668">
  <si>
    <t>Articles</t>
  </si>
  <si>
    <t>Tons</t>
  </si>
  <si>
    <t>Value (Sterling)</t>
  </si>
  <si>
    <t>Copper</t>
  </si>
  <si>
    <t>Coffee</t>
  </si>
  <si>
    <t>Flour</t>
  </si>
  <si>
    <t>Indigo</t>
  </si>
  <si>
    <t>Potatoes</t>
  </si>
  <si>
    <t>Rice</t>
  </si>
  <si>
    <t>Spices</t>
  </si>
  <si>
    <t>Sugar</t>
  </si>
  <si>
    <t>Zinc</t>
  </si>
  <si>
    <t>Cochineal</t>
  </si>
  <si>
    <t>Linseed oil</t>
  </si>
  <si>
    <t>s.</t>
  </si>
  <si>
    <t>d.</t>
  </si>
  <si>
    <t>cwt.</t>
  </si>
  <si>
    <t>cwt</t>
  </si>
  <si>
    <t>gallon</t>
  </si>
  <si>
    <t>piece</t>
  </si>
  <si>
    <t>Gunpowder</t>
  </si>
  <si>
    <t>barrel</t>
  </si>
  <si>
    <t>cantar</t>
  </si>
  <si>
    <t>Pepper</t>
  </si>
  <si>
    <t>Tea</t>
  </si>
  <si>
    <t>Tin plates</t>
  </si>
  <si>
    <t>box</t>
  </si>
  <si>
    <t>Bundle</t>
  </si>
  <si>
    <t>bundle</t>
  </si>
  <si>
    <t>Quantity</t>
  </si>
  <si>
    <t>Unit</t>
  </si>
  <si>
    <t>tons</t>
  </si>
  <si>
    <t>bales</t>
  </si>
  <si>
    <t>Skins</t>
  </si>
  <si>
    <t>Cloth</t>
  </si>
  <si>
    <t>Alcohol</t>
  </si>
  <si>
    <t>Cement</t>
  </si>
  <si>
    <t>Matches</t>
  </si>
  <si>
    <t>Barley</t>
  </si>
  <si>
    <t>Beans</t>
  </si>
  <si>
    <t>Carpets</t>
  </si>
  <si>
    <t>Gum</t>
  </si>
  <si>
    <t>Case</t>
  </si>
  <si>
    <t>case</t>
  </si>
  <si>
    <t>Opium</t>
  </si>
  <si>
    <t>Bale</t>
  </si>
  <si>
    <t>bale</t>
  </si>
  <si>
    <t>Tobacco</t>
  </si>
  <si>
    <t>Wine</t>
  </si>
  <si>
    <t>Almonds</t>
  </si>
  <si>
    <t>Chrome</t>
  </si>
  <si>
    <t>Cotton</t>
  </si>
  <si>
    <t>Cotton, raw</t>
  </si>
  <si>
    <t>Maize</t>
  </si>
  <si>
    <t>Manganese</t>
  </si>
  <si>
    <t>Oil</t>
  </si>
  <si>
    <t>lbs</t>
  </si>
  <si>
    <t>Raisins</t>
  </si>
  <si>
    <t>Salt</t>
  </si>
  <si>
    <t>Wool</t>
  </si>
  <si>
    <t>Wheat</t>
  </si>
  <si>
    <t>Middle East, Imports and Exports, 1824-1913</t>
  </si>
  <si>
    <t>This spreadsheet was put together by Robert Allen in April, 2018.</t>
  </si>
  <si>
    <r>
      <t xml:space="preserve">Prices and values are in </t>
    </r>
    <r>
      <rPr>
        <b/>
        <i/>
        <sz val="10"/>
        <rFont val="Arial"/>
        <family val="2"/>
      </rPr>
      <t>pounds sterling</t>
    </r>
    <r>
      <rPr>
        <sz val="10"/>
        <rFont val="Arial"/>
        <family val="2"/>
      </rPr>
      <t>.</t>
    </r>
  </si>
  <si>
    <t>There are important issues regarding the accuracy of the returns in view of their provencance and the incentives to underreport values and evade taxation.</t>
  </si>
  <si>
    <t>Some errors were detected in the process and corrected. Please note that observations not recorded for some of the years listed above were not available in the source reports.</t>
  </si>
  <si>
    <t>Sheets:</t>
  </si>
  <si>
    <t>- reduces the adjusted data on imports to prices in single series for each commodity.</t>
  </si>
  <si>
    <t>- reduces the adjusted data on exports to prices in single series for each commodity.</t>
  </si>
  <si>
    <t>Color Legend</t>
  </si>
  <si>
    <t>- mentions reason for colors of highlighted cells.</t>
  </si>
  <si>
    <t>Sources:</t>
  </si>
  <si>
    <t>Reports of British consuls published in: the British House of Commons papers in the diplomatic &amp; consular reports on trade and finance.</t>
  </si>
  <si>
    <t>Robert White Stevens, On the Stowage of Ships and their Cargoes, London, Longmans, Green, &amp; Co., 7th edition, 1894.</t>
  </si>
  <si>
    <t xml:space="preserve"> </t>
  </si>
  <si>
    <t>Prices and Wages in London &amp; Southern England, 1259-1914</t>
  </si>
  <si>
    <t>A1) Original Prices</t>
  </si>
  <si>
    <t>Source</t>
  </si>
  <si>
    <t>Currency/units</t>
  </si>
  <si>
    <t>Comment</t>
  </si>
  <si>
    <t>Place of Origin</t>
  </si>
  <si>
    <t>Good</t>
  </si>
  <si>
    <t>Tin, in plates</t>
  </si>
  <si>
    <t>Leather</t>
  </si>
  <si>
    <t>Glassware</t>
  </si>
  <si>
    <t>Drugs</t>
  </si>
  <si>
    <t>Paper</t>
  </si>
  <si>
    <t>Candles</t>
  </si>
  <si>
    <t>Year</t>
  </si>
  <si>
    <t>Ghee</t>
  </si>
  <si>
    <t>Report</t>
  </si>
  <si>
    <t>Caviar, black</t>
  </si>
  <si>
    <t>Cotton, goods</t>
  </si>
  <si>
    <t>Glass, window</t>
  </si>
  <si>
    <t>Silk, goods</t>
  </si>
  <si>
    <t>Thread, cotton</t>
  </si>
  <si>
    <t>Iron, ore</t>
  </si>
  <si>
    <t>Seeds</t>
  </si>
  <si>
    <t>Price (Units)</t>
  </si>
  <si>
    <t>Units of conversion</t>
  </si>
  <si>
    <t>lbs.</t>
  </si>
  <si>
    <t>tin</t>
  </si>
  <si>
    <t>man</t>
  </si>
  <si>
    <t>box, bale, halfload</t>
  </si>
  <si>
    <t>load</t>
  </si>
  <si>
    <t>cwts.</t>
  </si>
  <si>
    <t>long ton</t>
  </si>
  <si>
    <t>rotols</t>
  </si>
  <si>
    <t>kilo</t>
  </si>
  <si>
    <t>rotol</t>
  </si>
  <si>
    <t>Arms and ammunition</t>
  </si>
  <si>
    <t>bag</t>
  </si>
  <si>
    <t>Date</t>
  </si>
  <si>
    <t>bahr</t>
  </si>
  <si>
    <t>Box/Dubba/Tin</t>
  </si>
  <si>
    <t>Oil of all kinds</t>
  </si>
  <si>
    <t>Box/Dubba</t>
  </si>
  <si>
    <t>Maund</t>
  </si>
  <si>
    <t>Grain, Flour</t>
  </si>
  <si>
    <t>Oil seeds</t>
  </si>
  <si>
    <t>Case/Cask</t>
  </si>
  <si>
    <t>Twist and yarn</t>
  </si>
  <si>
    <t>Package</t>
  </si>
  <si>
    <t>chest</t>
  </si>
  <si>
    <t>Silk (all relevant)</t>
  </si>
  <si>
    <t>package</t>
  </si>
  <si>
    <t>Glass and wares</t>
  </si>
  <si>
    <t>Cotton, piece-goods</t>
  </si>
  <si>
    <r>
      <rPr>
        <sz val="11"/>
        <rFont val="Calibri"/>
        <family val="2"/>
        <scheme val="minor"/>
      </rPr>
      <t xml:space="preserve">Kerosene oil </t>
    </r>
  </si>
  <si>
    <t>drum / tin</t>
  </si>
  <si>
    <t>Wool. cloth</t>
  </si>
  <si>
    <t>bag/sack</t>
  </si>
  <si>
    <t>Gunny bag</t>
  </si>
  <si>
    <t>Piece-goods</t>
  </si>
  <si>
    <t>Mohair</t>
  </si>
  <si>
    <t>Imports - Prices (Raw&amp;Adj)</t>
  </si>
  <si>
    <t>Exports - Prices (Raw&amp;Adj)</t>
  </si>
  <si>
    <t>- contains the raw and adjusted prices of imports for commodities taken from the sources described below.</t>
  </si>
  <si>
    <t>- contains the raw and adjusted prices of exports for commodities taken from the sources described below.</t>
  </si>
  <si>
    <t>- reduces the adjusted data on in-text imports prices to a single series for each commodity.</t>
  </si>
  <si>
    <t>- reduces the adjusted data on in-text exports prices to a single series for each commodity.</t>
  </si>
  <si>
    <t xml:space="preserve">Constantinople - Prices (Imports) </t>
  </si>
  <si>
    <t xml:space="preserve">Constantinople - Prices (Exports) </t>
  </si>
  <si>
    <t>Constantinople - InText Prices (Imports)</t>
  </si>
  <si>
    <t>Constantinople - InText Prices (Exports)</t>
  </si>
  <si>
    <t>Cocoa and chocolate</t>
  </si>
  <si>
    <t>Sweetmeats</t>
  </si>
  <si>
    <t>Constantinople, 1911-12</t>
  </si>
  <si>
    <t>Coal</t>
  </si>
  <si>
    <t>Other drugs</t>
  </si>
  <si>
    <t>Iron, in sheets</t>
  </si>
  <si>
    <t>Nails and screws</t>
  </si>
  <si>
    <t>Copper, in sheets and plates</t>
  </si>
  <si>
    <t>Hides, dressed</t>
  </si>
  <si>
    <t>Cotton, yarns</t>
  </si>
  <si>
    <t>Sacking and sacks</t>
  </si>
  <si>
    <t>Lace and embroidery</t>
  </si>
  <si>
    <t>Broadcloth</t>
  </si>
  <si>
    <t>Motor cars, motor boats and parts</t>
  </si>
  <si>
    <t>Oranges and lemons</t>
  </si>
  <si>
    <t>Oats</t>
  </si>
  <si>
    <t>Olive oil</t>
  </si>
  <si>
    <t>Figs, dried</t>
  </si>
  <si>
    <t>Emery</t>
  </si>
  <si>
    <t>Iron and steel, wire and netting</t>
  </si>
  <si>
    <t>Constantinople, 1910-11</t>
  </si>
  <si>
    <t>Price</t>
  </si>
  <si>
    <t>Constantinople, 1912-13</t>
  </si>
  <si>
    <t>Paras/Sack</t>
  </si>
  <si>
    <t>Sterling/Lb.</t>
  </si>
  <si>
    <t>For currency conversion</t>
  </si>
  <si>
    <t>Sterling</t>
  </si>
  <si>
    <t>Mohair, fine</t>
  </si>
  <si>
    <t>Sterling/Ton.</t>
  </si>
  <si>
    <t>Mohair, f.a.q</t>
  </si>
  <si>
    <t>Wool, raw</t>
  </si>
  <si>
    <t>Spelt</t>
  </si>
  <si>
    <t>Skins, Lamb</t>
  </si>
  <si>
    <t>Skins, Sheep</t>
  </si>
  <si>
    <t>Skins, Goat</t>
  </si>
  <si>
    <t>Skins, Hare</t>
  </si>
  <si>
    <t>Skins, Kid</t>
  </si>
  <si>
    <t>Skins, tanned</t>
  </si>
  <si>
    <t>1911-12</t>
  </si>
  <si>
    <t>Gold Piastres</t>
  </si>
  <si>
    <t>oke</t>
  </si>
  <si>
    <t>Labor, unskilled</t>
  </si>
  <si>
    <t>Sterling/Worker</t>
  </si>
  <si>
    <t>Constantinople, 1909-10</t>
  </si>
  <si>
    <t>Engines, oil</t>
  </si>
  <si>
    <t>1910-11</t>
  </si>
  <si>
    <t>Linseed</t>
  </si>
  <si>
    <t>quarter</t>
  </si>
  <si>
    <t>Constantinople, 1907-08</t>
  </si>
  <si>
    <t>Meerschaum</t>
  </si>
  <si>
    <t>Lignite</t>
  </si>
  <si>
    <t>Bitumen</t>
  </si>
  <si>
    <t>Boracite</t>
  </si>
  <si>
    <t>Lead, silver, in ingots</t>
  </si>
  <si>
    <t>Iron, in pyrites</t>
  </si>
  <si>
    <t>Mercury</t>
  </si>
  <si>
    <t>Clay</t>
  </si>
  <si>
    <t xml:space="preserve">Tiles    </t>
  </si>
  <si>
    <t>Animal fat, edible</t>
  </si>
  <si>
    <t>Meat, smoked, dried and prepared</t>
  </si>
  <si>
    <t>Butter, fresh and salt</t>
  </si>
  <si>
    <t>Fish and shellfish, in hermetically closed vessels</t>
  </si>
  <si>
    <t>Flour, wheat</t>
  </si>
  <si>
    <t>Other flours</t>
  </si>
  <si>
    <t>Starch</t>
  </si>
  <si>
    <t>Macaroni, vermicelli, and others</t>
  </si>
  <si>
    <t>Biscuit and bread</t>
  </si>
  <si>
    <t>Fruits and vegetables, preserved, in hermetically closed vessels</t>
  </si>
  <si>
    <t>Cognae, rum, others, in casks</t>
  </si>
  <si>
    <t>Cognae, rum, others, in bottles</t>
  </si>
  <si>
    <t>Cod liver oil</t>
  </si>
  <si>
    <t>Colza oil</t>
  </si>
  <si>
    <t>Cottonseed oil</t>
  </si>
  <si>
    <t>Jam and syrup</t>
  </si>
  <si>
    <t>Naptha and other mineral oils</t>
  </si>
  <si>
    <t>Soap, common and scented</t>
  </si>
  <si>
    <t>Ivory, whalebone, and others</t>
  </si>
  <si>
    <t>Coal and anthracite</t>
  </si>
  <si>
    <t>Coke</t>
  </si>
  <si>
    <t>Soda, potash, including caustic soda</t>
  </si>
  <si>
    <t>Quinine and morphine</t>
  </si>
  <si>
    <t>Bicarbonate, of soda</t>
  </si>
  <si>
    <t>Sulphate, of iron, copper and zinc</t>
  </si>
  <si>
    <t>Other chemical products</t>
  </si>
  <si>
    <t>Lead, white and red</t>
  </si>
  <si>
    <t>Colors, mineral and chemical</t>
  </si>
  <si>
    <t>Oil paints, for industries</t>
  </si>
  <si>
    <t>Perfumery</t>
  </si>
  <si>
    <t>Other glass and crystalware</t>
  </si>
  <si>
    <t>Iron and steel, in rods, girders and bundles</t>
  </si>
  <si>
    <t>Pig iron and steel, in ingots</t>
  </si>
  <si>
    <t>Chains, wire hawsers, shovels and other coarse ironware</t>
  </si>
  <si>
    <t>Iron, safes</t>
  </si>
  <si>
    <t>Bedsteads, iron and other metals</t>
  </si>
  <si>
    <t>Iron and steel, tools and instruments</t>
  </si>
  <si>
    <t>Ironware, plain and polished, including cooking vessels</t>
  </si>
  <si>
    <t>Tin, in plates and manufactured</t>
  </si>
  <si>
    <t>Cutlery</t>
  </si>
  <si>
    <t>Other iron and steel goods and partly manufactured materials</t>
  </si>
  <si>
    <t>Zinc, in sheets</t>
  </si>
  <si>
    <t xml:space="preserve">Tin, in bars and ingots  </t>
  </si>
  <si>
    <t xml:space="preserve">Boots and shoes     </t>
  </si>
  <si>
    <t xml:space="preserve">Copper, in nails, screws and wire  </t>
  </si>
  <si>
    <t>Zinc, manufactured</t>
  </si>
  <si>
    <t>Brass, manufactured</t>
  </si>
  <si>
    <t>Other metal goods</t>
  </si>
  <si>
    <t>Lamps, metallic</t>
  </si>
  <si>
    <t>Furniture, wooden</t>
  </si>
  <si>
    <t>Paper, coarse packing</t>
  </si>
  <si>
    <t>Paper, printing</t>
  </si>
  <si>
    <t>Paper, writing and envelopes</t>
  </si>
  <si>
    <t>Books and papers, printed and manuscript</t>
  </si>
  <si>
    <t>Cotton, raw and wadding</t>
  </si>
  <si>
    <t>Cotton, mulls and tulles</t>
  </si>
  <si>
    <t>Cotton, shawls and waist cloths</t>
  </si>
  <si>
    <t>Cotton, covers and curtains</t>
  </si>
  <si>
    <t>Carpets, flax and hemp</t>
  </si>
  <si>
    <t>Ropework, cables, cord, string, girths, hose and pitch torches</t>
  </si>
  <si>
    <t xml:space="preserve">Other textiles, flax mixed with other fibrous materials    </t>
  </si>
  <si>
    <t xml:space="preserve">Wool, raw and wadding  </t>
  </si>
  <si>
    <t>Other textiles, wool</t>
  </si>
  <si>
    <t>Braids and buttons, all kinds</t>
  </si>
  <si>
    <t>Tarpaulins</t>
  </si>
  <si>
    <t>Oilskin and rubber waterproofs</t>
  </si>
  <si>
    <t>Pumps, all kinds</t>
  </si>
  <si>
    <t>Cycles and motor cycles</t>
  </si>
  <si>
    <t>Parcel post</t>
  </si>
  <si>
    <t>Textiles, of wool mixed with cotton and other fibrous materials</t>
  </si>
  <si>
    <t>Silk, thread and tassels</t>
  </si>
  <si>
    <t>Textiles, pure silk</t>
  </si>
  <si>
    <t>Textiles, mixed silk</t>
  </si>
  <si>
    <t>Hosiery, shirts, and others, all kinds</t>
  </si>
  <si>
    <t>Clothing, ready-made</t>
  </si>
  <si>
    <t>Oilcloth, covers and floor-cloth</t>
  </si>
  <si>
    <t>Rubber, boots and shoes</t>
  </si>
  <si>
    <t>Other manufactures of rubber, guttaperch and celluloid</t>
  </si>
  <si>
    <t xml:space="preserve">Engines and parts, steam and oil </t>
  </si>
  <si>
    <t>Machines, sewing</t>
  </si>
  <si>
    <t xml:space="preserve">Machines, typewriters and duplicating </t>
  </si>
  <si>
    <t>Omnibus, tram cars and parts</t>
  </si>
  <si>
    <t>Instruments, astronomical and mathematical</t>
  </si>
  <si>
    <t>Instruments, electric and telegraphic</t>
  </si>
  <si>
    <t>Instruments, surgical</t>
  </si>
  <si>
    <t>Fancy goods, expensive</t>
  </si>
  <si>
    <t xml:space="preserve">Fans, purses and other small articles </t>
  </si>
  <si>
    <t>Personal and household goods, used</t>
  </si>
  <si>
    <t>Linen, towels and tablecloths</t>
  </si>
  <si>
    <t>Army cloth and serges, aba and shayak</t>
  </si>
  <si>
    <t>Total (from regions)</t>
  </si>
  <si>
    <t>Constantinople, 1908-09</t>
  </si>
  <si>
    <t xml:space="preserve">Meat, smoked dried, pastirina </t>
  </si>
  <si>
    <t>Butter, fresh and salted</t>
  </si>
  <si>
    <t>Fat, mutton, margarine</t>
  </si>
  <si>
    <t>Cheese, native</t>
  </si>
  <si>
    <r>
      <t>Eggs</t>
    </r>
    <r>
      <rPr>
        <sz val="11.5"/>
        <rFont val="Times New Roman"/>
        <family val="1"/>
      </rPr>
      <t/>
    </r>
  </si>
  <si>
    <t>Fish, fresh</t>
  </si>
  <si>
    <t>Fish, smoked and dried</t>
  </si>
  <si>
    <t>Flours, other than wheat</t>
  </si>
  <si>
    <t>Bran</t>
  </si>
  <si>
    <t>Fruit, fresh, excluding oranges and lemons</t>
  </si>
  <si>
    <t xml:space="preserve">Dates     </t>
  </si>
  <si>
    <t xml:space="preserve">Turkish delight  </t>
  </si>
  <si>
    <t xml:space="preserve">Coal    </t>
  </si>
  <si>
    <t xml:space="preserve">Henna   </t>
  </si>
  <si>
    <t xml:space="preserve">Beeswax    </t>
  </si>
  <si>
    <t xml:space="preserve">Basketwork    </t>
  </si>
  <si>
    <t xml:space="preserve">Furs    </t>
  </si>
  <si>
    <t xml:space="preserve">Other leather articles </t>
  </si>
  <si>
    <t>Peas, dried</t>
  </si>
  <si>
    <t>Olives, black</t>
  </si>
  <si>
    <t>Flowers, fresh and bulbs</t>
  </si>
  <si>
    <t>Vegetables, fresh</t>
  </si>
  <si>
    <t>Fruits, dried, excluding dates</t>
  </si>
  <si>
    <t>Onions and garlic</t>
  </si>
  <si>
    <t>Pistachio nuts</t>
  </si>
  <si>
    <t>Vegetables, preserved, in tins</t>
  </si>
  <si>
    <t>Sweetmeats, helve</t>
  </si>
  <si>
    <t xml:space="preserve">Sugar, manufactures in boxes and bottles  </t>
  </si>
  <si>
    <t xml:space="preserve">Sulphates, copper and iron    </t>
  </si>
  <si>
    <t xml:space="preserve">Gall, nuts   </t>
  </si>
  <si>
    <t xml:space="preserve">Opium    </t>
  </si>
  <si>
    <t xml:space="preserve">Gum, tragacanth   </t>
  </si>
  <si>
    <t xml:space="preserve">Attar of roses </t>
  </si>
  <si>
    <t>Utensils, earthernware</t>
  </si>
  <si>
    <t>Ores, minerals excluding copper</t>
  </si>
  <si>
    <t>Ironware, secondhand</t>
  </si>
  <si>
    <t>Copper and brass, ware</t>
  </si>
  <si>
    <t>Lead and zinc, old</t>
  </si>
  <si>
    <t>Casks, empty</t>
  </si>
  <si>
    <t xml:space="preserve">Timber, for building  </t>
  </si>
  <si>
    <t>Rags</t>
  </si>
  <si>
    <t>Hides, unmanufactured, of ox, cow and buffalo</t>
  </si>
  <si>
    <t xml:space="preserve">Wool, in the fleece </t>
  </si>
  <si>
    <t>Wool, unwashed</t>
  </si>
  <si>
    <t>Silkworms' cocoons</t>
  </si>
  <si>
    <t xml:space="preserve">Silk, raw   </t>
  </si>
  <si>
    <t>Silk, cord for whips</t>
  </si>
  <si>
    <t>Silk, tissues</t>
  </si>
  <si>
    <t xml:space="preserve">Silk, lace, braid and ribbon </t>
  </si>
  <si>
    <t xml:space="preserve">Piece-goods, cotton, bleached </t>
  </si>
  <si>
    <t xml:space="preserve">Piece-goods, cotton, printed   </t>
  </si>
  <si>
    <t>Manure</t>
  </si>
  <si>
    <t>Guts</t>
  </si>
  <si>
    <t>Books and pamphlets, printed</t>
  </si>
  <si>
    <t>Meerschaum, unmanufactured</t>
  </si>
  <si>
    <t>Umbrellas</t>
  </si>
  <si>
    <t>Amber, unmanufactured</t>
  </si>
  <si>
    <t>Swords and daggers</t>
  </si>
  <si>
    <t>Piece-goods, cotton, woven of dyed yarns</t>
  </si>
  <si>
    <t>Quilts and cushions, Block-printed</t>
  </si>
  <si>
    <t>Horns, Sheep's and Oxens'</t>
  </si>
  <si>
    <t>Fish, fresh, alive and dead</t>
  </si>
  <si>
    <t>Salt fish, in barrels</t>
  </si>
  <si>
    <t>Fish, dried or smoked</t>
  </si>
  <si>
    <t>Caviar, red</t>
  </si>
  <si>
    <t>Cheese, foreign</t>
  </si>
  <si>
    <t>Fruits and vegetables, preserved, in vinegar, oil or spirit</t>
  </si>
  <si>
    <t>Trees, garden excluding fruit</t>
  </si>
  <si>
    <t>Fruits, fresh, excluding oranges and lemons</t>
  </si>
  <si>
    <t>Almonds, dried</t>
  </si>
  <si>
    <t>Beans, dried</t>
  </si>
  <si>
    <t>Pistachios (America)</t>
  </si>
  <si>
    <t>Pepper, black</t>
  </si>
  <si>
    <t>Cinnamon, cloves and other spices</t>
  </si>
  <si>
    <t>Wine, in casks</t>
  </si>
  <si>
    <t>Wine, in bottles</t>
  </si>
  <si>
    <t>Champagne and other sparkling wines</t>
  </si>
  <si>
    <t>Beer, in casks</t>
  </si>
  <si>
    <t>Beer, in bottles</t>
  </si>
  <si>
    <t>Water, mineral and aerated</t>
  </si>
  <si>
    <t>Sardines, in tins</t>
  </si>
  <si>
    <t>Wood and barks, for tanning</t>
  </si>
  <si>
    <t>Ammonia</t>
  </si>
  <si>
    <t>Ink, for writing and printing</t>
  </si>
  <si>
    <t>Henna</t>
  </si>
  <si>
    <t>Petroleum, in casks</t>
  </si>
  <si>
    <t>Petroleum, in cases</t>
  </si>
  <si>
    <t xml:space="preserve">Castor oil  </t>
  </si>
  <si>
    <t>Sesame oil</t>
  </si>
  <si>
    <t>Palm oil and vegetable oil</t>
  </si>
  <si>
    <t>Lime, hydraulic</t>
  </si>
  <si>
    <t>Pipes, earthenware</t>
  </si>
  <si>
    <t>Pipes, utensils</t>
  </si>
  <si>
    <t>Wares, porcelain</t>
  </si>
  <si>
    <t>Glass, lamps</t>
  </si>
  <si>
    <t>Glassware, common</t>
  </si>
  <si>
    <t>Glassware, superior</t>
  </si>
  <si>
    <t>Lanterns</t>
  </si>
  <si>
    <t>Brass, in sheets and bars</t>
  </si>
  <si>
    <t>Aluminium and other metal manufactures</t>
  </si>
  <si>
    <t>Copper, ore</t>
  </si>
  <si>
    <t>Iron, in bars and hoops</t>
  </si>
  <si>
    <t>Iron, in girders</t>
  </si>
  <si>
    <t>Thread, imitation of gold</t>
  </si>
  <si>
    <t>Matches, wood</t>
  </si>
  <si>
    <t>Matches, wax</t>
  </si>
  <si>
    <t>Paper, ciggarette</t>
  </si>
  <si>
    <t>Pasteboard, white and varnished</t>
  </si>
  <si>
    <t>Pasteboard, tarred and common</t>
  </si>
  <si>
    <t>Hides, unmanufactured</t>
  </si>
  <si>
    <t>Leather, sole and saddles</t>
  </si>
  <si>
    <t>Cotton, wadding</t>
  </si>
  <si>
    <t>Cotton, handkerschiefs, towels and table-cloths</t>
  </si>
  <si>
    <t>Silk, raw</t>
  </si>
  <si>
    <t>Wool and mohair, tissues</t>
  </si>
  <si>
    <t>Sail-cloth</t>
  </si>
  <si>
    <t>Constantinople, 1906-07</t>
  </si>
  <si>
    <t>Suits</t>
  </si>
  <si>
    <t>Waistcoats</t>
  </si>
  <si>
    <t>Trousers</t>
  </si>
  <si>
    <t>Costumes, for children</t>
  </si>
  <si>
    <t>N/A</t>
  </si>
  <si>
    <t>Constantinople, 1905-06</t>
  </si>
  <si>
    <t>Sterling/Metre</t>
  </si>
  <si>
    <t>Sterling/Yard</t>
  </si>
  <si>
    <t>Hazelnuts</t>
  </si>
  <si>
    <t>Sterling/Kilo</t>
  </si>
  <si>
    <t>Constantinople, 1904-05</t>
  </si>
  <si>
    <t>Constantinople, 1903-04</t>
  </si>
  <si>
    <t>Sterling/Ton</t>
  </si>
  <si>
    <t>1903-04</t>
  </si>
  <si>
    <t>Francs</t>
  </si>
  <si>
    <t>Constantinople, 1902-03</t>
  </si>
  <si>
    <t>Constantinople, 1901-02</t>
  </si>
  <si>
    <t>Constantinople, 1900-01</t>
  </si>
  <si>
    <t>Constantinople, 1897-98</t>
  </si>
  <si>
    <t>Constantinople, 1899-00</t>
  </si>
  <si>
    <t>Constantinople, 1898-99</t>
  </si>
  <si>
    <t>Price (Sterling)</t>
  </si>
  <si>
    <t>Paper, writing</t>
  </si>
  <si>
    <t>Paper, newspapers</t>
  </si>
  <si>
    <t>1899-00</t>
  </si>
  <si>
    <t>Paper, rag</t>
  </si>
  <si>
    <t>Paper, cardboard</t>
  </si>
  <si>
    <t>Paper, straw</t>
  </si>
  <si>
    <t>Paper, envelopes</t>
  </si>
  <si>
    <t>Bales</t>
  </si>
  <si>
    <t>Iron, ploughs (America)</t>
  </si>
  <si>
    <t>Number</t>
  </si>
  <si>
    <t>Constantinople, 1893-94</t>
  </si>
  <si>
    <t>Constantinople, 1892-93</t>
  </si>
  <si>
    <t>Wool, pulled, category 1st whites</t>
  </si>
  <si>
    <t>Wool, pulled, category 2nd whites and 1st colours</t>
  </si>
  <si>
    <t>Wool, pulled, category 3rd whites and 2nd colours</t>
  </si>
  <si>
    <t>Wool, pulled, category 3rd colours</t>
  </si>
  <si>
    <t>Berries, yellow, good quality</t>
  </si>
  <si>
    <t>Berries, yellow, inferior quality</t>
  </si>
  <si>
    <t>Constantinople, 1889-90</t>
  </si>
  <si>
    <t>Constantinople, 1890-91</t>
  </si>
  <si>
    <t>for Currency Conversion</t>
  </si>
  <si>
    <t>1889-90</t>
  </si>
  <si>
    <t>Pias</t>
  </si>
  <si>
    <t>Constantinople, 1891-92</t>
  </si>
  <si>
    <t>Piece</t>
  </si>
  <si>
    <t>Constantinople, 1887-88</t>
  </si>
  <si>
    <t>1887-88</t>
  </si>
  <si>
    <t>Francs.</t>
  </si>
  <si>
    <t>1886-87</t>
  </si>
  <si>
    <t>Constantinople, 1886-87</t>
  </si>
  <si>
    <t>Gum, tragacanth, good quality</t>
  </si>
  <si>
    <t>Gum, tragacanth, second quality</t>
  </si>
  <si>
    <t>Sterling/Bundle</t>
  </si>
  <si>
    <t>Cloths, grey, ordinary</t>
  </si>
  <si>
    <t>Cloths, grey, plain waste</t>
  </si>
  <si>
    <t>Cloths, grey, long</t>
  </si>
  <si>
    <t>Mulls, category 4's</t>
  </si>
  <si>
    <t>Sterling/Piece</t>
  </si>
  <si>
    <t>Mulls, category 16's</t>
  </si>
  <si>
    <t>Sterling/Sack</t>
  </si>
  <si>
    <t>Steel, good quality</t>
  </si>
  <si>
    <t>Steel, second quality</t>
  </si>
  <si>
    <t>Tin</t>
  </si>
  <si>
    <t>Iron, tinned</t>
  </si>
  <si>
    <t>Sterling/Case</t>
  </si>
  <si>
    <t>Tea, inferior quality</t>
  </si>
  <si>
    <t>Tea, second quality</t>
  </si>
  <si>
    <t>Constantinople, 1885-86</t>
  </si>
  <si>
    <t>Constantinople, 1884-85</t>
  </si>
  <si>
    <t>Rye</t>
  </si>
  <si>
    <t>Sterling/Number</t>
  </si>
  <si>
    <t>Galls, white</t>
  </si>
  <si>
    <t>Galls, black</t>
  </si>
  <si>
    <t>Wool, tissues</t>
  </si>
  <si>
    <t>Cotton, yarns, 4-12's</t>
  </si>
  <si>
    <t>Cotton, yarns, 20's</t>
  </si>
  <si>
    <t>Cotton, yarns, 30's</t>
  </si>
  <si>
    <t>Iron, in dished sheets</t>
  </si>
  <si>
    <t>Constantinople, 1881-82</t>
  </si>
  <si>
    <t>Constantinople, 1880-81</t>
  </si>
  <si>
    <t>Sterling/Bag</t>
  </si>
  <si>
    <t>1881-82</t>
  </si>
  <si>
    <t>Constantinople, 1878-79</t>
  </si>
  <si>
    <t>Constantinople, 1873-74</t>
  </si>
  <si>
    <t>Constantinople, 1874-75</t>
  </si>
  <si>
    <t>Constantinople, 1876-77</t>
  </si>
  <si>
    <t>Constantinople, 1872-73</t>
  </si>
  <si>
    <t>Constantinople, 1875-76</t>
  </si>
  <si>
    <t>Constantinople, 1877-78</t>
  </si>
  <si>
    <t>Constantinople, 1871-72</t>
  </si>
  <si>
    <t>Cotton, forged</t>
  </si>
  <si>
    <t>Sterling/Reel</t>
  </si>
  <si>
    <t>Constantinople, 1846-47</t>
  </si>
  <si>
    <t>Constantinople, 1870-71</t>
  </si>
  <si>
    <t>Constantinople, 1862-63</t>
  </si>
  <si>
    <t>Constantinople, 1865-66</t>
  </si>
  <si>
    <t>Boxwood</t>
  </si>
  <si>
    <t>1862-63</t>
  </si>
  <si>
    <t>Sterling/Rintal</t>
  </si>
  <si>
    <t>Wool, 1st quality</t>
  </si>
  <si>
    <t>Wool, 2nd quality</t>
  </si>
  <si>
    <t>Animals, Bullocks and Buffaloes</t>
  </si>
  <si>
    <t>Sesame</t>
  </si>
  <si>
    <t>Siberia</t>
  </si>
  <si>
    <t>Morocco</t>
  </si>
  <si>
    <t>Turkey and Persia</t>
  </si>
  <si>
    <t>Grease, artificial</t>
  </si>
  <si>
    <t>outside Turkey and Persia</t>
  </si>
  <si>
    <t>Carpets, wool</t>
  </si>
  <si>
    <t>Danube</t>
  </si>
  <si>
    <t>Danube, from India</t>
  </si>
  <si>
    <t>Corn</t>
  </si>
  <si>
    <t>Tallow</t>
  </si>
  <si>
    <t>£/Ton</t>
  </si>
  <si>
    <t>£/Number</t>
  </si>
  <si>
    <t>Italy</t>
  </si>
  <si>
    <t>Germany</t>
  </si>
  <si>
    <t>Britain</t>
  </si>
  <si>
    <t>France</t>
  </si>
  <si>
    <t>Hungary</t>
  </si>
  <si>
    <t>Russia</t>
  </si>
  <si>
    <t>England</t>
  </si>
  <si>
    <t>Austria</t>
  </si>
  <si>
    <t>Holland</t>
  </si>
  <si>
    <t>India</t>
  </si>
  <si>
    <t>Madras</t>
  </si>
  <si>
    <t>Kurpah</t>
  </si>
  <si>
    <t>Bengal</t>
  </si>
  <si>
    <t>Trieste</t>
  </si>
  <si>
    <t>Alexandria</t>
  </si>
  <si>
    <t>Belgium</t>
  </si>
  <si>
    <t>Sweden</t>
  </si>
  <si>
    <t xml:space="preserve">Sugar, ordinary </t>
  </si>
  <si>
    <t>Flannelettes, for women</t>
  </si>
  <si>
    <t>Prints</t>
  </si>
  <si>
    <t xml:space="preserve">Jute </t>
  </si>
  <si>
    <t>Zoungouldak</t>
  </si>
  <si>
    <t>Heraclea</t>
  </si>
  <si>
    <t>Marmora</t>
  </si>
  <si>
    <t>Anatolia</t>
  </si>
  <si>
    <t>Marmoa</t>
  </si>
  <si>
    <t>Wheat, superior</t>
  </si>
  <si>
    <t>Wheat, lower grades</t>
  </si>
  <si>
    <t>Cotton, yarns, category 4's</t>
  </si>
  <si>
    <t>Cotton, yarns, category 6's</t>
  </si>
  <si>
    <t xml:space="preserve">Cotton, yarns, category 8's </t>
  </si>
  <si>
    <t>Cotton, yarns, category 10's</t>
  </si>
  <si>
    <t>Cotton, yarns, category 12's</t>
  </si>
  <si>
    <t>Cotton, mock twist, category 4's to 12's</t>
  </si>
  <si>
    <t>£/Metre</t>
  </si>
  <si>
    <t>£/Yard</t>
  </si>
  <si>
    <t>£/Bundle</t>
  </si>
  <si>
    <t>£/Lb.</t>
  </si>
  <si>
    <t>£/Reel</t>
  </si>
  <si>
    <t>£/Piece</t>
  </si>
  <si>
    <t>£/Sack</t>
  </si>
  <si>
    <t>£/Case</t>
  </si>
  <si>
    <t>£/Ton.</t>
  </si>
  <si>
    <t>£/Rintal</t>
  </si>
  <si>
    <t>£/Worker</t>
  </si>
  <si>
    <t>£/Kilo</t>
  </si>
  <si>
    <t>1890-91</t>
  </si>
  <si>
    <t>1892-93</t>
  </si>
  <si>
    <t>1897-98</t>
  </si>
  <si>
    <t>1898-99</t>
  </si>
  <si>
    <t>1900-01</t>
  </si>
  <si>
    <t>1907-08</t>
  </si>
  <si>
    <t>1909-10</t>
  </si>
  <si>
    <t/>
  </si>
  <si>
    <t>£/Barrel</t>
  </si>
  <si>
    <t>£/Bale</t>
  </si>
  <si>
    <t>1846-47</t>
  </si>
  <si>
    <t>1870-71</t>
  </si>
  <si>
    <t>1885-86</t>
  </si>
  <si>
    <t>1890-01</t>
  </si>
  <si>
    <t>1871-72</t>
  </si>
  <si>
    <t>1872-73</t>
  </si>
  <si>
    <t>1873-74</t>
  </si>
  <si>
    <t>1874-75</t>
  </si>
  <si>
    <t>1875-76</t>
  </si>
  <si>
    <t>1878-79</t>
  </si>
  <si>
    <t>1904-05</t>
  </si>
  <si>
    <t>1905-06</t>
  </si>
  <si>
    <t>1906-07</t>
  </si>
  <si>
    <t>£/Bag</t>
  </si>
  <si>
    <t>1865-66</t>
  </si>
  <si>
    <t>1876-77</t>
  </si>
  <si>
    <t>1877-78</t>
  </si>
  <si>
    <t>1880-81</t>
  </si>
  <si>
    <t>1891-92</t>
  </si>
  <si>
    <t>1893-94</t>
  </si>
  <si>
    <t>1901-02</t>
  </si>
  <si>
    <t>1902-03</t>
  </si>
  <si>
    <t>1908-09</t>
  </si>
  <si>
    <t>1912-13</t>
  </si>
  <si>
    <t>Constantinople - Prices (Bazaar-Local)</t>
  </si>
  <si>
    <t>- reduces the adjusted data on bazaar (local) prices to a single series for each commodity.</t>
  </si>
  <si>
    <t>Bazaar (Local) - Prices (Raw&amp;Adj)</t>
  </si>
  <si>
    <t>- contains the raw and adjusted prices of bazaar (local) for commodities taken from the sources described below.</t>
  </si>
  <si>
    <t>Signals a change in commodoties' unit</t>
  </si>
  <si>
    <t>Imports - Data (Raw&amp;Adj)</t>
  </si>
  <si>
    <t>Exports - Data (Raw&amp;Adj)</t>
  </si>
  <si>
    <t>- contains the raw and adjusted units for commodities and currencies of prices, quantities and values of imports taken from the sources described below.</t>
  </si>
  <si>
    <t>- contains the raw and adjusted units for commodities and currencies of prices, quantities and values of exports taken from the sources described below.</t>
  </si>
  <si>
    <r>
      <t xml:space="preserve">This spreadsheet lists the prices, quantities and values of imports and exports in the city of </t>
    </r>
    <r>
      <rPr>
        <b/>
        <i/>
        <sz val="10"/>
        <rFont val="Arial"/>
        <family val="2"/>
      </rPr>
      <t>Constantinople</t>
    </r>
    <r>
      <rPr>
        <sz val="10"/>
        <rFont val="Arial"/>
        <family val="2"/>
      </rPr>
      <t xml:space="preserve"> from </t>
    </r>
    <r>
      <rPr>
        <b/>
        <i/>
        <sz val="10"/>
        <rFont val="Arial"/>
        <family val="2"/>
      </rPr>
      <t xml:space="preserve">1846-47 </t>
    </r>
    <r>
      <rPr>
        <sz val="10"/>
        <rFont val="Arial"/>
        <family val="2"/>
      </rPr>
      <t xml:space="preserve">to </t>
    </r>
    <r>
      <rPr>
        <b/>
        <i/>
        <sz val="10"/>
        <rFont val="Arial"/>
        <family val="2"/>
      </rPr>
      <t>1912-13</t>
    </r>
    <r>
      <rPr>
        <sz val="10"/>
        <rFont val="Arial"/>
        <family val="2"/>
      </rPr>
      <t>.  The data were compiled by British consuls.</t>
    </r>
  </si>
  <si>
    <t>c./Metre</t>
  </si>
  <si>
    <t>c./Yard</t>
  </si>
  <si>
    <t>America</t>
  </si>
  <si>
    <t>Pistachios</t>
  </si>
  <si>
    <t>Varnishes</t>
  </si>
  <si>
    <t>Drugs and medicines</t>
  </si>
  <si>
    <t>Leatherwares</t>
  </si>
  <si>
    <t>Skins, Sheep, coloured</t>
  </si>
  <si>
    <t>Hides, Camel</t>
  </si>
  <si>
    <t>Piece-goods, cotton, unbleached</t>
  </si>
  <si>
    <t>Piece-goods, cotton, bleached</t>
  </si>
  <si>
    <t>Piece-goods, cotton, dyed and printed</t>
  </si>
  <si>
    <t>Velvets and plushes, imitation</t>
  </si>
  <si>
    <t>Flax and hemp, yarns</t>
  </si>
  <si>
    <t>Piece-goods, linen, bleached and unbleached</t>
  </si>
  <si>
    <t>Piece-goods, linen, dyed and printed</t>
  </si>
  <si>
    <t xml:space="preserve">Wool, yarns  </t>
  </si>
  <si>
    <t>Wool, velvets and plushes</t>
  </si>
  <si>
    <t>Wool, shawls and waist-cloths</t>
  </si>
  <si>
    <t>Wool, covers and curtains</t>
  </si>
  <si>
    <t>Silk, velvets</t>
  </si>
  <si>
    <t>Textiles, rubber, all kinds</t>
  </si>
  <si>
    <t>Straw hats, for men</t>
  </si>
  <si>
    <t>Wheat flour</t>
  </si>
  <si>
    <t>Canary seeds</t>
  </si>
  <si>
    <t>Wood, manufactured, common</t>
  </si>
  <si>
    <t>Wood, manufactured, superior</t>
  </si>
  <si>
    <t>Skins, Goat, unmanufactured</t>
  </si>
  <si>
    <t>Skins, Sheep, unmanufactured</t>
  </si>
  <si>
    <t>Hides, Sheep, unmanufactured</t>
  </si>
  <si>
    <t>Cotton, hosiery</t>
  </si>
  <si>
    <t>Dress suits</t>
  </si>
  <si>
    <t>Tailcoats and waistcoat, black</t>
  </si>
  <si>
    <t>Overcoats</t>
  </si>
  <si>
    <t>Cotton, yarns, water twist</t>
  </si>
  <si>
    <t>Cotton, yarns, extras</t>
  </si>
  <si>
    <t>Cotton, yarns, blues</t>
  </si>
  <si>
    <t>Cotton, yarns, reds</t>
  </si>
  <si>
    <t>Jute, raw</t>
  </si>
  <si>
    <t>halfload</t>
  </si>
  <si>
    <t>half load</t>
  </si>
  <si>
    <t>kgs</t>
  </si>
  <si>
    <t>kgs.</t>
  </si>
  <si>
    <t>Kilos</t>
  </si>
  <si>
    <t>kileh</t>
  </si>
  <si>
    <t>Chick peas, beans</t>
  </si>
  <si>
    <t>Gallons</t>
  </si>
  <si>
    <t>Constantinople, 1889-00</t>
  </si>
  <si>
    <t>1889-00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</si>
</sst>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_(* #,##0_);_(* \(#,##0\);_(* &quot;-&quot;??_);_(@_)"/>
    <numFmt numFmtId="166" formatCode="_ * #,##0_ ;_ * \-#,##0_ ;_ * &quot;-&quot;_ ;_ @_ "/>
    <numFmt numFmtId="167" formatCode="#,##0.0000"/>
    <numFmt numFmtId="168" formatCode="#,##0.000000"/>
  </numFmts>
  <fonts count="43" x14ac:knownFonts="1">
    <font>
      <sz val="11"/>
      <name val="Calibri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36"/>
      <name val="Calibri"/>
      <family val="2"/>
      <charset val="204"/>
    </font>
    <font>
      <b/>
      <sz val="11"/>
      <color indexed="34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32"/>
      <name val="Calibri"/>
      <family val="2"/>
      <charset val="204"/>
    </font>
    <font>
      <b/>
      <sz val="13"/>
      <color indexed="32"/>
      <name val="Calibri"/>
      <family val="2"/>
      <charset val="204"/>
    </font>
    <font>
      <b/>
      <sz val="11"/>
      <color indexed="32"/>
      <name val="Calibri"/>
      <family val="2"/>
      <charset val="204"/>
    </font>
    <font>
      <sz val="11"/>
      <color indexed="32"/>
      <name val="Calibri"/>
      <family val="2"/>
      <charset val="204"/>
    </font>
    <font>
      <sz val="11"/>
      <color indexed="34"/>
      <name val="Calibri"/>
      <family val="2"/>
      <charset val="204"/>
    </font>
    <font>
      <sz val="11"/>
      <color indexed="37"/>
      <name val="Calibri"/>
      <family val="2"/>
      <charset val="204"/>
    </font>
    <font>
      <b/>
      <sz val="11"/>
      <color indexed="22"/>
      <name val="Calibri"/>
      <family val="2"/>
      <charset val="204"/>
    </font>
    <font>
      <b/>
      <sz val="18"/>
      <color indexed="32"/>
      <name val="Cambria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Courier"/>
    </font>
    <font>
      <b/>
      <u/>
      <sz val="10"/>
      <color indexed="9"/>
      <name val="Arial"/>
      <family val="2"/>
    </font>
    <font>
      <sz val="10"/>
      <color indexed="9"/>
      <name val="Courier"/>
    </font>
    <font>
      <b/>
      <u/>
      <sz val="8"/>
      <name val="Arial"/>
      <family val="2"/>
    </font>
    <font>
      <sz val="8"/>
      <color indexed="9"/>
      <name val="Arial"/>
      <family val="2"/>
    </font>
    <font>
      <i/>
      <sz val="8"/>
      <color indexed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.5"/>
      <name val="Times New Roman"/>
      <family val="1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8"/>
      </patternFill>
    </fill>
    <fill>
      <patternFill patternType="solid">
        <fgColor indexed="17"/>
        <bgColor indexed="17"/>
      </patternFill>
    </fill>
    <fill>
      <patternFill patternType="solid">
        <fgColor indexed="8"/>
        <bgColor indexed="8"/>
      </patternFill>
    </fill>
    <fill>
      <patternFill patternType="solid">
        <fgColor indexed="11"/>
        <bgColor indexed="11"/>
      </patternFill>
    </fill>
    <fill>
      <patternFill patternType="solid">
        <fgColor indexed="63"/>
      </patternFill>
    </fill>
    <fill>
      <patternFill patternType="solid">
        <fgColor indexed="37"/>
        <bgColor indexed="37"/>
      </patternFill>
    </fill>
    <fill>
      <patternFill patternType="solid">
        <fgColor indexed="23"/>
        <bgColor indexed="23"/>
      </patternFill>
    </fill>
    <fill>
      <patternFill patternType="solid">
        <fgColor indexed="19"/>
        <bgColor indexed="19"/>
      </patternFill>
    </fill>
    <fill>
      <patternFill patternType="solid">
        <fgColor indexed="32"/>
        <bgColor indexed="3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thick">
        <color indexed="0"/>
      </bottom>
      <diagonal/>
    </border>
    <border>
      <left/>
      <right/>
      <top/>
      <bottom style="thick">
        <color indexed="17"/>
      </bottom>
      <diagonal/>
    </border>
    <border>
      <left/>
      <right/>
      <top/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double">
        <color indexed="23"/>
      </bottom>
      <diagonal/>
    </border>
  </borders>
  <cellStyleXfs count="53">
    <xf numFmtId="0" fontId="0" fillId="0" borderId="0">
      <alignment vertical="top"/>
    </xf>
    <xf numFmtId="0" fontId="21" fillId="2" borderId="0" applyNumberFormat="0" applyFont="0" applyFill="0" applyProtection="0"/>
    <xf numFmtId="0" fontId="21" fillId="2" borderId="0" applyNumberFormat="0" applyFont="0" applyFill="0" applyProtection="0"/>
    <xf numFmtId="0" fontId="21" fillId="2" borderId="0" applyNumberFormat="0" applyFont="0" applyFill="0" applyProtection="0"/>
    <xf numFmtId="0" fontId="21" fillId="2" borderId="0" applyNumberFormat="0" applyFont="0" applyFill="0" applyProtection="0"/>
    <xf numFmtId="0" fontId="21" fillId="3" borderId="0" applyNumberFormat="0" applyFont="0" applyFill="0" applyProtection="0"/>
    <xf numFmtId="0" fontId="21" fillId="4" borderId="0" applyNumberFormat="0" applyFont="0" applyFill="0" applyProtection="0"/>
    <xf numFmtId="0" fontId="21" fillId="2" borderId="0" applyNumberFormat="0" applyFont="0" applyFill="0" applyProtection="0"/>
    <xf numFmtId="0" fontId="21" fillId="2" borderId="0" applyNumberFormat="0" applyFont="0" applyFill="0" applyProtection="0"/>
    <xf numFmtId="0" fontId="21" fillId="5" borderId="0" applyNumberFormat="0" applyFont="0" applyFill="0" applyProtection="0"/>
    <xf numFmtId="0" fontId="21" fillId="2" borderId="0" applyNumberFormat="0" applyFont="0" applyFill="0" applyProtection="0"/>
    <xf numFmtId="0" fontId="21" fillId="2" borderId="0" applyNumberFormat="0" applyFont="0" applyFill="0" applyProtection="0"/>
    <xf numFmtId="0" fontId="21" fillId="6" borderId="0" applyNumberFormat="0" applyFont="0" applyFill="0" applyProtection="0"/>
    <xf numFmtId="0" fontId="6" fillId="2" borderId="0" applyNumberFormat="0" applyFont="0" applyFill="0" applyProtection="0"/>
    <xf numFmtId="0" fontId="6" fillId="2" borderId="0" applyNumberFormat="0" applyFont="0" applyFill="0" applyProtection="0"/>
    <xf numFmtId="0" fontId="6" fillId="5" borderId="0" applyNumberFormat="0" applyFont="0" applyFill="0" applyProtection="0"/>
    <xf numFmtId="0" fontId="6" fillId="3" borderId="0" applyNumberFormat="0" applyFont="0" applyFill="0" applyProtection="0"/>
    <xf numFmtId="0" fontId="6" fillId="7" borderId="0" applyNumberFormat="0" applyFont="0" applyFill="0" applyProtection="0"/>
    <xf numFmtId="0" fontId="6" fillId="8" borderId="0" applyNumberFormat="0" applyFont="0" applyFill="0" applyProtection="0"/>
    <xf numFmtId="0" fontId="6" fillId="8" borderId="0" applyNumberFormat="0" applyFont="0" applyFill="0" applyProtection="0"/>
    <xf numFmtId="0" fontId="6" fillId="4" borderId="0" applyNumberFormat="0" applyFont="0" applyFill="0" applyProtection="0"/>
    <xf numFmtId="0" fontId="6" fillId="9" borderId="0" applyNumberFormat="0" applyFont="0" applyFill="0" applyProtection="0"/>
    <xf numFmtId="0" fontId="6" fillId="3" borderId="0" applyNumberFormat="0" applyFont="0" applyFill="0" applyProtection="0"/>
    <xf numFmtId="0" fontId="6" fillId="7" borderId="0" applyNumberFormat="0" applyFont="0" applyFill="0" applyProtection="0"/>
    <xf numFmtId="0" fontId="6" fillId="4" borderId="0" applyNumberFormat="0" applyFont="0" applyFill="0" applyProtection="0"/>
    <xf numFmtId="0" fontId="7" fillId="2" borderId="0" applyNumberFormat="0" applyFont="0" applyFill="0" applyProtection="0"/>
    <xf numFmtId="0" fontId="8" fillId="4" borderId="1" applyNumberFormat="0" applyFill="0" applyProtection="0"/>
    <xf numFmtId="0" fontId="9" fillId="10" borderId="2" applyNumberFormat="0" applyFill="0" applyProtection="0"/>
    <xf numFmtId="4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0" fillId="0" borderId="0" applyNumberFormat="0" applyFont="0" applyFill="0" applyBorder="0" applyProtection="0"/>
    <xf numFmtId="0" fontId="11" fillId="2" borderId="0" applyNumberFormat="0" applyFont="0" applyFill="0" applyProtection="0"/>
    <xf numFmtId="0" fontId="12" fillId="0" borderId="3" applyNumberFormat="0" applyFill="0" applyBorder="0" applyProtection="0"/>
    <xf numFmtId="0" fontId="13" fillId="0" borderId="4" applyNumberFormat="0" applyFill="0" applyBorder="0" applyProtection="0"/>
    <xf numFmtId="0" fontId="14" fillId="0" borderId="5" applyNumberFormat="0" applyFill="0" applyBorder="0" applyProtection="0"/>
    <xf numFmtId="0" fontId="14" fillId="0" borderId="0" applyNumberFormat="0" applyFont="0" applyFill="0" applyBorder="0" applyProtection="0"/>
    <xf numFmtId="0" fontId="15" fillId="4" borderId="1" applyNumberFormat="0" applyFill="0" applyProtection="0"/>
    <xf numFmtId="0" fontId="16" fillId="0" borderId="6" applyNumberFormat="0" applyFill="0" applyBorder="0" applyProtection="0"/>
    <xf numFmtId="0" fontId="17" fillId="2" borderId="0" applyNumberFormat="0" applyFont="0" applyFill="0" applyProtection="0"/>
    <xf numFmtId="0" fontId="4" fillId="0" borderId="0" applyNumberFormat="0" applyFont="0" applyFill="0" applyBorder="0" applyAlignment="0" applyProtection="0">
      <alignment vertical="top"/>
    </xf>
    <xf numFmtId="0" fontId="21" fillId="4" borderId="7" applyNumberFormat="0" applyFill="0" applyAlignment="0" applyProtection="0"/>
    <xf numFmtId="0" fontId="18" fillId="4" borderId="8" applyNumberFormat="0" applyFill="0" applyProtection="0"/>
    <xf numFmtId="0" fontId="19" fillId="0" borderId="0" applyNumberFormat="0" applyFont="0" applyFill="0" applyBorder="0" applyProtection="0"/>
    <xf numFmtId="0" fontId="5" fillId="0" borderId="9" applyNumberFormat="0" applyFill="0" applyBorder="0" applyProtection="0"/>
    <xf numFmtId="0" fontId="20" fillId="0" borderId="0" applyNumberFormat="0" applyFont="0" applyFill="0" applyBorder="0" applyProtection="0"/>
    <xf numFmtId="0" fontId="21" fillId="0" borderId="0">
      <alignment vertical="top"/>
    </xf>
    <xf numFmtId="0" fontId="3" fillId="0" borderId="0"/>
    <xf numFmtId="0" fontId="23" fillId="0" borderId="0">
      <alignment vertical="top"/>
    </xf>
    <xf numFmtId="0" fontId="26" fillId="0" borderId="0">
      <alignment vertical="top"/>
    </xf>
    <xf numFmtId="0" fontId="2" fillId="0" borderId="0"/>
    <xf numFmtId="0" fontId="22" fillId="0" borderId="0">
      <alignment vertical="top"/>
    </xf>
    <xf numFmtId="0" fontId="1" fillId="0" borderId="0"/>
  </cellStyleXfs>
  <cellXfs count="116">
    <xf numFmtId="0" fontId="0" fillId="0" borderId="0" xfId="0" applyAlignment="1"/>
    <xf numFmtId="0" fontId="23" fillId="0" borderId="0" xfId="48" applyFont="1" applyAlignment="1"/>
    <xf numFmtId="0" fontId="23" fillId="0" borderId="0" xfId="48" applyAlignment="1"/>
    <xf numFmtId="0" fontId="23" fillId="0" borderId="0" xfId="48" applyFont="1" applyBorder="1" applyAlignment="1"/>
    <xf numFmtId="0" fontId="23" fillId="0" borderId="0" xfId="48" applyBorder="1" applyAlignment="1"/>
    <xf numFmtId="0" fontId="25" fillId="0" borderId="0" xfId="48" applyFont="1" applyAlignment="1"/>
    <xf numFmtId="0" fontId="23" fillId="0" borderId="0" xfId="48" quotePrefix="1" applyFont="1" applyAlignment="1"/>
    <xf numFmtId="0" fontId="23" fillId="0" borderId="0" xfId="48" applyFont="1" applyAlignment="1">
      <alignment horizontal="left"/>
    </xf>
    <xf numFmtId="0" fontId="27" fillId="0" borderId="0" xfId="49" applyFont="1" applyBorder="1" applyAlignment="1">
      <alignment horizontal="left" vertical="center"/>
    </xf>
    <xf numFmtId="0" fontId="26" fillId="0" borderId="0" xfId="49" applyAlignment="1"/>
    <xf numFmtId="0" fontId="28" fillId="0" borderId="0" xfId="49" applyFont="1" applyAlignment="1"/>
    <xf numFmtId="0" fontId="29" fillId="0" borderId="0" xfId="49" applyFont="1" applyFill="1" applyBorder="1" applyAlignment="1">
      <alignment horizontal="left" vertical="center"/>
    </xf>
    <xf numFmtId="0" fontId="30" fillId="0" borderId="0" xfId="49" applyFont="1" applyBorder="1" applyAlignment="1">
      <alignment horizontal="right"/>
    </xf>
    <xf numFmtId="0" fontId="31" fillId="2" borderId="0" xfId="49" applyFont="1" applyFill="1" applyBorder="1" applyAlignment="1">
      <alignment horizontal="left"/>
    </xf>
    <xf numFmtId="0" fontId="30" fillId="2" borderId="0" xfId="49" applyFont="1" applyFill="1" applyBorder="1" applyAlignment="1">
      <alignment horizontal="center"/>
    </xf>
    <xf numFmtId="0" fontId="31" fillId="2" borderId="0" xfId="49" applyFont="1" applyFill="1" applyBorder="1" applyAlignment="1">
      <alignment horizontal="left" wrapText="1"/>
    </xf>
    <xf numFmtId="0" fontId="30" fillId="0" borderId="0" xfId="49" applyFont="1" applyBorder="1" applyAlignment="1">
      <alignment horizontal="left"/>
    </xf>
    <xf numFmtId="0" fontId="30" fillId="2" borderId="0" xfId="49" applyFont="1" applyFill="1" applyBorder="1" applyAlignment="1">
      <alignment horizontal="left"/>
    </xf>
    <xf numFmtId="0" fontId="28" fillId="0" borderId="0" xfId="49" applyFont="1" applyAlignment="1">
      <alignment horizontal="left"/>
    </xf>
    <xf numFmtId="0" fontId="31" fillId="0" borderId="0" xfId="49" applyFont="1" applyBorder="1" applyAlignment="1">
      <alignment horizontal="right" vertical="center" wrapText="1"/>
    </xf>
    <xf numFmtId="0" fontId="31" fillId="2" borderId="0" xfId="49" applyFont="1" applyFill="1" applyBorder="1" applyAlignment="1">
      <alignment horizontal="left" vertical="center" wrapText="1"/>
    </xf>
    <xf numFmtId="0" fontId="31" fillId="0" borderId="0" xfId="49" applyFont="1" applyAlignment="1">
      <alignment vertical="center" wrapText="1"/>
    </xf>
    <xf numFmtId="0" fontId="31" fillId="2" borderId="0" xfId="49" applyFont="1" applyFill="1" applyBorder="1" applyAlignment="1">
      <alignment horizontal="right"/>
    </xf>
    <xf numFmtId="0" fontId="32" fillId="0" borderId="0" xfId="49" applyFont="1" applyBorder="1" applyAlignment="1">
      <alignment horizontal="right"/>
    </xf>
    <xf numFmtId="0" fontId="30" fillId="2" borderId="0" xfId="49" applyFont="1" applyFill="1" applyBorder="1" applyAlignment="1" applyProtection="1">
      <alignment horizontal="right"/>
    </xf>
    <xf numFmtId="164" fontId="33" fillId="0" borderId="0" xfId="49" applyNumberFormat="1" applyFont="1" applyBorder="1" applyAlignment="1" applyProtection="1">
      <alignment horizontal="center"/>
    </xf>
    <xf numFmtId="0" fontId="31" fillId="0" borderId="0" xfId="49" applyFont="1" applyBorder="1" applyAlignment="1">
      <alignment horizontal="right"/>
    </xf>
    <xf numFmtId="0" fontId="31" fillId="0" borderId="0" xfId="49" applyFont="1" applyAlignment="1"/>
    <xf numFmtId="0" fontId="33" fillId="0" borderId="0" xfId="49" applyFont="1" applyBorder="1" applyAlignment="1">
      <alignment horizontal="center"/>
    </xf>
    <xf numFmtId="165" fontId="34" fillId="0" borderId="0" xfId="28" applyNumberFormat="1" applyFont="1" applyFill="1" applyAlignment="1">
      <alignment horizontal="left"/>
    </xf>
    <xf numFmtId="0" fontId="35" fillId="0" borderId="0" xfId="0" applyFont="1" applyAlignment="1"/>
    <xf numFmtId="0" fontId="35" fillId="0" borderId="0" xfId="0" applyFont="1" applyFill="1" applyAlignment="1"/>
    <xf numFmtId="165" fontId="36" fillId="0" borderId="0" xfId="28" applyNumberFormat="1" applyFont="1" applyBorder="1" applyAlignment="1">
      <alignment horizontal="left" vertical="center" wrapText="1"/>
    </xf>
    <xf numFmtId="0" fontId="35" fillId="0" borderId="0" xfId="0" applyFont="1" applyFill="1" applyAlignment="1">
      <alignment horizontal="left"/>
    </xf>
    <xf numFmtId="3" fontId="35" fillId="0" borderId="0" xfId="0" applyNumberFormat="1" applyFont="1" applyFill="1" applyAlignment="1"/>
    <xf numFmtId="0" fontId="35" fillId="0" borderId="0" xfId="0" applyFont="1" applyFill="1" applyBorder="1" applyAlignment="1"/>
    <xf numFmtId="167" fontId="35" fillId="0" borderId="0" xfId="28" applyNumberFormat="1" applyFont="1" applyAlignment="1"/>
    <xf numFmtId="167" fontId="35" fillId="0" borderId="0" xfId="28" applyNumberFormat="1" applyFont="1" applyFill="1" applyAlignment="1"/>
    <xf numFmtId="0" fontId="36" fillId="0" borderId="0" xfId="0" applyFont="1" applyFill="1" applyBorder="1" applyAlignment="1"/>
    <xf numFmtId="0" fontId="36" fillId="0" borderId="0" xfId="0" applyFont="1" applyBorder="1" applyAlignment="1">
      <alignment horizontal="left" vertical="top"/>
    </xf>
    <xf numFmtId="0" fontId="36" fillId="0" borderId="0" xfId="0" applyFont="1" applyFill="1" applyBorder="1" applyAlignment="1">
      <alignment horizontal="left" vertical="top"/>
    </xf>
    <xf numFmtId="0" fontId="36" fillId="0" borderId="0" xfId="0" quotePrefix="1" applyFont="1" applyBorder="1" applyAlignment="1">
      <alignment horizontal="left" vertical="top"/>
    </xf>
    <xf numFmtId="0" fontId="40" fillId="0" borderId="0" xfId="0" applyFont="1" applyFill="1" applyBorder="1" applyAlignment="1">
      <alignment horizontal="left" vertical="top"/>
    </xf>
    <xf numFmtId="0" fontId="40" fillId="0" borderId="0" xfId="0" applyFont="1" applyFill="1" applyBorder="1" applyAlignment="1"/>
    <xf numFmtId="0" fontId="23" fillId="0" borderId="0" xfId="48" applyFont="1" applyAlignment="1">
      <alignment horizontal="left"/>
    </xf>
    <xf numFmtId="0" fontId="35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35" fillId="0" borderId="0" xfId="51" applyFont="1" applyAlignment="1"/>
    <xf numFmtId="2" fontId="1" fillId="0" borderId="0" xfId="51" applyNumberFormat="1" applyFont="1" applyAlignment="1"/>
    <xf numFmtId="0" fontId="1" fillId="0" borderId="0" xfId="0" applyFont="1" applyFill="1" applyAlignment="1">
      <alignment horizontal="left"/>
    </xf>
    <xf numFmtId="0" fontId="41" fillId="0" borderId="0" xfId="0" applyFont="1" applyFill="1" applyBorder="1" applyAlignment="1">
      <alignment wrapText="1"/>
    </xf>
    <xf numFmtId="0" fontId="36" fillId="0" borderId="0" xfId="0" applyFont="1" applyFill="1" applyBorder="1" applyAlignment="1">
      <alignment wrapText="1"/>
    </xf>
    <xf numFmtId="0" fontId="36" fillId="0" borderId="0" xfId="0" applyFont="1" applyAlignment="1">
      <alignment wrapText="1"/>
    </xf>
    <xf numFmtId="0" fontId="40" fillId="0" borderId="0" xfId="46" applyFont="1" applyFill="1" applyBorder="1" applyAlignment="1">
      <alignment wrapText="1"/>
    </xf>
    <xf numFmtId="167" fontId="36" fillId="0" borderId="0" xfId="28" applyNumberFormat="1" applyFont="1" applyFill="1" applyBorder="1" applyAlignment="1">
      <alignment wrapText="1"/>
    </xf>
    <xf numFmtId="3" fontId="36" fillId="0" borderId="0" xfId="28" applyNumberFormat="1" applyFont="1" applyAlignment="1"/>
    <xf numFmtId="167" fontId="36" fillId="0" borderId="0" xfId="28" applyNumberFormat="1" applyFont="1" applyAlignment="1"/>
    <xf numFmtId="0" fontId="36" fillId="0" borderId="0" xfId="0" applyFont="1" applyAlignment="1"/>
    <xf numFmtId="3" fontId="36" fillId="0" borderId="0" xfId="28" applyNumberFormat="1" applyFont="1" applyFill="1" applyAlignment="1"/>
    <xf numFmtId="3" fontId="36" fillId="13" borderId="0" xfId="28" applyNumberFormat="1" applyFont="1" applyFill="1" applyAlignment="1"/>
    <xf numFmtId="3" fontId="36" fillId="0" borderId="0" xfId="0" applyNumberFormat="1" applyFont="1" applyFill="1" applyBorder="1" applyAlignment="1"/>
    <xf numFmtId="0" fontId="1" fillId="0" borderId="0" xfId="0" applyFont="1" applyAlignment="1"/>
    <xf numFmtId="167" fontId="1" fillId="0" borderId="0" xfId="28" applyNumberFormat="1" applyFont="1" applyAlignment="1"/>
    <xf numFmtId="2" fontId="1" fillId="0" borderId="0" xfId="0" applyNumberFormat="1" applyFont="1" applyAlignment="1"/>
    <xf numFmtId="1" fontId="36" fillId="0" borderId="0" xfId="0" applyNumberFormat="1" applyFont="1" applyBorder="1" applyAlignment="1">
      <alignment horizontal="left" vertical="top"/>
    </xf>
    <xf numFmtId="2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/>
    <xf numFmtId="164" fontId="1" fillId="0" borderId="0" xfId="0" applyNumberFormat="1" applyFont="1" applyAlignment="1"/>
    <xf numFmtId="164" fontId="1" fillId="0" borderId="0" xfId="0" applyNumberFormat="1" applyFont="1" applyFill="1" applyAlignment="1"/>
    <xf numFmtId="167" fontId="1" fillId="0" borderId="0" xfId="28" applyNumberFormat="1" applyFont="1" applyFill="1" applyAlignment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/>
    <xf numFmtId="4" fontId="1" fillId="0" borderId="0" xfId="0" applyNumberFormat="1" applyFont="1" applyFill="1" applyAlignment="1"/>
    <xf numFmtId="164" fontId="1" fillId="0" borderId="0" xfId="0" applyNumberFormat="1" applyFont="1" applyBorder="1" applyAlignment="1"/>
    <xf numFmtId="166" fontId="1" fillId="0" borderId="0" xfId="0" applyNumberFormat="1" applyFont="1" applyBorder="1" applyAlignment="1">
      <alignment horizontal="left"/>
    </xf>
    <xf numFmtId="166" fontId="1" fillId="0" borderId="0" xfId="0" applyNumberFormat="1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167" fontId="42" fillId="0" borderId="0" xfId="28" applyNumberFormat="1" applyFont="1" applyAlignment="1"/>
    <xf numFmtId="0" fontId="36" fillId="0" borderId="0" xfId="51" applyFont="1" applyAlignment="1"/>
    <xf numFmtId="0" fontId="41" fillId="0" borderId="0" xfId="0" applyFont="1" applyFill="1" applyBorder="1" applyAlignment="1"/>
    <xf numFmtId="0" fontId="36" fillId="0" borderId="0" xfId="51" applyFont="1" applyFill="1" applyBorder="1" applyAlignment="1">
      <alignment wrapText="1"/>
    </xf>
    <xf numFmtId="167" fontId="36" fillId="11" borderId="0" xfId="28" applyNumberFormat="1" applyFont="1" applyFill="1" applyAlignment="1"/>
    <xf numFmtId="164" fontId="36" fillId="0" borderId="0" xfId="0" applyNumberFormat="1" applyFont="1" applyFill="1" applyBorder="1" applyAlignment="1"/>
    <xf numFmtId="0" fontId="36" fillId="0" borderId="0" xfId="51" applyFont="1" applyFill="1" applyBorder="1" applyAlignment="1"/>
    <xf numFmtId="0" fontId="42" fillId="0" borderId="0" xfId="51" applyFont="1" applyAlignment="1"/>
    <xf numFmtId="0" fontId="36" fillId="12" borderId="0" xfId="0" applyFont="1" applyFill="1" applyBorder="1" applyAlignment="1"/>
    <xf numFmtId="0" fontId="36" fillId="13" borderId="0" xfId="0" applyFont="1" applyFill="1" applyBorder="1" applyAlignment="1"/>
    <xf numFmtId="0" fontId="42" fillId="0" borderId="0" xfId="0" applyFont="1" applyFill="1" applyBorder="1" applyAlignment="1"/>
    <xf numFmtId="0" fontId="36" fillId="0" borderId="0" xfId="0" applyFont="1" applyFill="1" applyBorder="1" applyAlignment="1">
      <alignment horizontal="center"/>
    </xf>
    <xf numFmtId="3" fontId="36" fillId="0" borderId="0" xfId="28" applyNumberFormat="1" applyFont="1" applyFill="1" applyBorder="1" applyAlignment="1"/>
    <xf numFmtId="167" fontId="36" fillId="0" borderId="0" xfId="28" applyNumberFormat="1" applyFont="1" applyFill="1" applyBorder="1" applyAlignment="1"/>
    <xf numFmtId="0" fontId="36" fillId="0" borderId="0" xfId="46" applyFont="1" applyFill="1" applyBorder="1" applyAlignment="1">
      <alignment wrapText="1"/>
    </xf>
    <xf numFmtId="168" fontId="36" fillId="0" borderId="0" xfId="28" applyNumberFormat="1" applyFont="1" applyFill="1" applyBorder="1" applyAlignment="1"/>
    <xf numFmtId="168" fontId="36" fillId="0" borderId="0" xfId="28" applyNumberFormat="1" applyFont="1" applyAlignment="1"/>
    <xf numFmtId="3" fontId="36" fillId="13" borderId="0" xfId="28" applyNumberFormat="1" applyFont="1" applyFill="1" applyBorder="1" applyAlignment="1"/>
    <xf numFmtId="0" fontId="30" fillId="2" borderId="0" xfId="49" applyFont="1" applyFill="1" applyBorder="1" applyAlignment="1"/>
    <xf numFmtId="0" fontId="30" fillId="2" borderId="0" xfId="49" applyFont="1" applyFill="1" applyBorder="1" applyAlignment="1">
      <alignment vertical="center" wrapText="1"/>
    </xf>
    <xf numFmtId="0" fontId="35" fillId="0" borderId="0" xfId="52" applyFont="1"/>
    <xf numFmtId="0" fontId="1" fillId="0" borderId="0" xfId="52"/>
    <xf numFmtId="0" fontId="1" fillId="12" borderId="0" xfId="52" applyFill="1"/>
    <xf numFmtId="0" fontId="23" fillId="0" borderId="0" xfId="48" applyFont="1" applyAlignment="1">
      <alignment horizontal="left" vertical="top" wrapText="1"/>
    </xf>
    <xf numFmtId="0" fontId="23" fillId="0" borderId="0" xfId="48" applyFont="1" applyAlignment="1">
      <alignment horizontal="left"/>
    </xf>
    <xf numFmtId="0" fontId="36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right" vertical="center"/>
    </xf>
    <xf numFmtId="0" fontId="35" fillId="0" borderId="0" xfId="0" applyFont="1" applyFill="1" applyAlignment="1">
      <alignment horizontal="left" vertical="center"/>
    </xf>
    <xf numFmtId="0" fontId="36" fillId="0" borderId="0" xfId="51" applyFont="1" applyFill="1" applyBorder="1" applyAlignment="1">
      <alignment horizontal="center"/>
    </xf>
    <xf numFmtId="167" fontId="35" fillId="0" borderId="0" xfId="28" applyNumberFormat="1" applyFont="1" applyFill="1" applyAlignment="1">
      <alignment horizontal="left" vertical="center"/>
    </xf>
    <xf numFmtId="0" fontId="36" fillId="0" borderId="0" xfId="0" applyFont="1" applyFill="1" applyBorder="1" applyAlignment="1">
      <alignment horizontal="center" wrapText="1"/>
    </xf>
  </cellXfs>
  <cellStyles count="5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0" xfId="29"/>
    <cellStyle name="Currency0" xfId="30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rmal 2 2" xfId="46"/>
    <cellStyle name="Normal 3" xfId="47"/>
    <cellStyle name="Normal 3 2" xfId="49"/>
    <cellStyle name="Normal 4" xfId="48"/>
    <cellStyle name="Normal 5" xfId="50"/>
    <cellStyle name="Normal 6" xfId="51"/>
    <cellStyle name="Normal 7" xfId="52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7"/>
  <sheetViews>
    <sheetView tabSelected="1" workbookViewId="0">
      <selection activeCell="H31" sqref="H31"/>
    </sheetView>
  </sheetViews>
  <sheetFormatPr defaultRowHeight="13.2" x14ac:dyDescent="0.25"/>
  <cols>
    <col min="1" max="2" width="8.88671875" style="2"/>
    <col min="3" max="3" width="16" style="2" customWidth="1"/>
    <col min="4" max="16384" width="8.88671875" style="2"/>
  </cols>
  <sheetData>
    <row r="1" spans="1:4" x14ac:dyDescent="0.25">
      <c r="A1" s="1" t="s">
        <v>61</v>
      </c>
    </row>
    <row r="2" spans="1:4" x14ac:dyDescent="0.25">
      <c r="A2" s="1" t="s">
        <v>62</v>
      </c>
    </row>
    <row r="4" spans="1:4" x14ac:dyDescent="0.25">
      <c r="A4" s="1" t="s">
        <v>618</v>
      </c>
    </row>
    <row r="5" spans="1:4" x14ac:dyDescent="0.25">
      <c r="A5" s="1" t="s">
        <v>63</v>
      </c>
    </row>
    <row r="6" spans="1:4" s="4" customFormat="1" x14ac:dyDescent="0.25">
      <c r="A6" s="3"/>
    </row>
    <row r="7" spans="1:4" x14ac:dyDescent="0.25">
      <c r="A7" s="1" t="s">
        <v>64</v>
      </c>
    </row>
    <row r="8" spans="1:4" x14ac:dyDescent="0.25">
      <c r="A8" s="1" t="s">
        <v>65</v>
      </c>
    </row>
    <row r="9" spans="1:4" x14ac:dyDescent="0.25">
      <c r="A9" s="1"/>
    </row>
    <row r="10" spans="1:4" x14ac:dyDescent="0.25">
      <c r="A10" s="5" t="s">
        <v>66</v>
      </c>
    </row>
    <row r="11" spans="1:4" x14ac:dyDescent="0.25">
      <c r="A11" s="105" t="s">
        <v>141</v>
      </c>
      <c r="B11" s="105"/>
      <c r="C11" s="105"/>
      <c r="D11" s="6" t="s">
        <v>67</v>
      </c>
    </row>
    <row r="12" spans="1:4" x14ac:dyDescent="0.25">
      <c r="A12" s="105" t="s">
        <v>142</v>
      </c>
      <c r="B12" s="105"/>
      <c r="C12" s="105"/>
      <c r="D12" s="6" t="s">
        <v>68</v>
      </c>
    </row>
    <row r="13" spans="1:4" x14ac:dyDescent="0.25">
      <c r="A13" s="7" t="s">
        <v>143</v>
      </c>
      <c r="B13" s="7"/>
      <c r="C13" s="7"/>
      <c r="D13" s="6" t="s">
        <v>139</v>
      </c>
    </row>
    <row r="14" spans="1:4" x14ac:dyDescent="0.25">
      <c r="A14" s="7" t="s">
        <v>144</v>
      </c>
      <c r="B14" s="7"/>
      <c r="C14" s="7"/>
      <c r="D14" s="6" t="s">
        <v>140</v>
      </c>
    </row>
    <row r="15" spans="1:4" x14ac:dyDescent="0.25">
      <c r="A15" s="44" t="s">
        <v>609</v>
      </c>
      <c r="B15" s="44"/>
      <c r="C15" s="44"/>
      <c r="D15" s="6" t="s">
        <v>610</v>
      </c>
    </row>
    <row r="16" spans="1:4" x14ac:dyDescent="0.25">
      <c r="A16" s="105" t="s">
        <v>614</v>
      </c>
      <c r="B16" s="105"/>
      <c r="C16" s="105"/>
      <c r="D16" s="6" t="s">
        <v>616</v>
      </c>
    </row>
    <row r="17" spans="1:16" x14ac:dyDescent="0.25">
      <c r="A17" s="105" t="s">
        <v>615</v>
      </c>
      <c r="B17" s="105"/>
      <c r="C17" s="105"/>
      <c r="D17" s="6" t="s">
        <v>617</v>
      </c>
    </row>
    <row r="18" spans="1:16" x14ac:dyDescent="0.25">
      <c r="A18" s="7" t="s">
        <v>135</v>
      </c>
      <c r="B18" s="7"/>
      <c r="C18" s="7"/>
      <c r="D18" s="6" t="s">
        <v>137</v>
      </c>
    </row>
    <row r="19" spans="1:16" x14ac:dyDescent="0.25">
      <c r="A19" s="7" t="s">
        <v>136</v>
      </c>
      <c r="B19" s="7"/>
      <c r="C19" s="7"/>
      <c r="D19" s="6" t="s">
        <v>138</v>
      </c>
    </row>
    <row r="20" spans="1:16" x14ac:dyDescent="0.25">
      <c r="A20" s="44" t="s">
        <v>611</v>
      </c>
      <c r="B20" s="44"/>
      <c r="C20" s="44"/>
      <c r="D20" s="6" t="s">
        <v>612</v>
      </c>
    </row>
    <row r="21" spans="1:16" x14ac:dyDescent="0.25">
      <c r="A21" s="44" t="s">
        <v>69</v>
      </c>
      <c r="B21" s="44"/>
      <c r="C21" s="44"/>
      <c r="D21" s="6" t="s">
        <v>70</v>
      </c>
    </row>
    <row r="23" spans="1:16" x14ac:dyDescent="0.25">
      <c r="A23" s="5"/>
    </row>
    <row r="24" spans="1:16" x14ac:dyDescent="0.25">
      <c r="A24" s="5" t="s">
        <v>71</v>
      </c>
    </row>
    <row r="25" spans="1:16" x14ac:dyDescent="0.25">
      <c r="A25" s="104" t="s">
        <v>72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</row>
    <row r="26" spans="1:16" x14ac:dyDescent="0.25">
      <c r="A26" s="2" t="s">
        <v>73</v>
      </c>
    </row>
    <row r="27" spans="1:16" x14ac:dyDescent="0.25">
      <c r="C27" s="1" t="s">
        <v>74</v>
      </c>
    </row>
  </sheetData>
  <mergeCells count="5">
    <mergeCell ref="A25:P25"/>
    <mergeCell ref="A11:C11"/>
    <mergeCell ref="A12:C12"/>
    <mergeCell ref="A16:C16"/>
    <mergeCell ref="A17:C17"/>
  </mergeCells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2:CY157"/>
  <sheetViews>
    <sheetView topLeftCell="A2" zoomScale="60" zoomScaleNormal="60" workbookViewId="0">
      <pane xSplit="1" ySplit="2" topLeftCell="B4" activePane="bottomRight" state="frozenSplit"/>
      <selection pane="topRight" activeCell="A2" sqref="A2"/>
      <selection pane="bottomLeft" activeCell="A2" sqref="A2"/>
      <selection pane="bottomRight" activeCell="C11" sqref="C11"/>
    </sheetView>
  </sheetViews>
  <sheetFormatPr defaultRowHeight="14.4" x14ac:dyDescent="0.3"/>
  <cols>
    <col min="1" max="1" width="49.109375" style="38" customWidth="1"/>
    <col min="2" max="3" width="12.77734375" style="38" customWidth="1"/>
    <col min="4" max="4" width="16.88671875" style="38" customWidth="1"/>
    <col min="5" max="5" width="12.77734375" style="58" customWidth="1"/>
    <col min="6" max="29" width="12.77734375" style="59" customWidth="1"/>
    <col min="30" max="30" width="15.21875" style="59" customWidth="1"/>
    <col min="31" max="61" width="12.77734375" style="59" customWidth="1"/>
    <col min="62" max="63" width="13.6640625" style="59" customWidth="1"/>
    <col min="64" max="16384" width="8.88671875" style="59"/>
  </cols>
  <sheetData>
    <row r="2" spans="1:64" s="54" customFormat="1" ht="31.2" customHeight="1" x14ac:dyDescent="0.3">
      <c r="A2" s="52"/>
      <c r="B2" s="52"/>
      <c r="C2" s="52"/>
      <c r="D2" s="115" t="s">
        <v>508</v>
      </c>
      <c r="E2" s="115"/>
      <c r="F2" s="115" t="s">
        <v>509</v>
      </c>
      <c r="G2" s="115"/>
      <c r="H2" s="115" t="s">
        <v>507</v>
      </c>
      <c r="I2" s="115"/>
      <c r="J2" s="115" t="s">
        <v>500</v>
      </c>
      <c r="K2" s="115"/>
      <c r="L2" s="115" t="s">
        <v>497</v>
      </c>
      <c r="M2" s="115"/>
      <c r="N2" s="115" t="s">
        <v>498</v>
      </c>
      <c r="O2" s="115"/>
      <c r="P2" s="115" t="s">
        <v>500</v>
      </c>
      <c r="Q2" s="115"/>
      <c r="R2" s="115" t="s">
        <v>501</v>
      </c>
      <c r="S2" s="115"/>
      <c r="T2" s="115" t="s">
        <v>499</v>
      </c>
      <c r="U2" s="115"/>
      <c r="V2" s="115" t="s">
        <v>502</v>
      </c>
      <c r="W2" s="115"/>
      <c r="X2" s="115" t="s">
        <v>493</v>
      </c>
      <c r="Y2" s="115"/>
      <c r="Z2" s="115" t="s">
        <v>493</v>
      </c>
      <c r="AA2" s="115"/>
      <c r="AB2" s="115" t="s">
        <v>492</v>
      </c>
      <c r="AC2" s="115"/>
      <c r="AD2" s="115" t="s">
        <v>481</v>
      </c>
      <c r="AE2" s="115"/>
      <c r="AF2" s="115" t="s">
        <v>463</v>
      </c>
      <c r="AG2" s="115"/>
      <c r="AH2" s="115" t="s">
        <v>459</v>
      </c>
      <c r="AI2" s="115"/>
      <c r="AJ2" s="115" t="s">
        <v>452</v>
      </c>
      <c r="AK2" s="115"/>
      <c r="AL2" s="115" t="s">
        <v>457</v>
      </c>
      <c r="AM2" s="115"/>
      <c r="AN2" s="115" t="s">
        <v>445</v>
      </c>
      <c r="AO2" s="115"/>
      <c r="AP2" s="115" t="s">
        <v>444</v>
      </c>
      <c r="AQ2" s="115"/>
      <c r="AR2" s="115" t="s">
        <v>431</v>
      </c>
      <c r="AS2" s="115"/>
      <c r="AT2" s="115" t="s">
        <v>428</v>
      </c>
      <c r="AU2" s="115"/>
      <c r="AV2" s="115" t="s">
        <v>427</v>
      </c>
      <c r="AW2" s="115"/>
      <c r="AX2" s="115" t="s">
        <v>417</v>
      </c>
      <c r="AY2" s="115"/>
      <c r="AZ2" s="115" t="s">
        <v>411</v>
      </c>
      <c r="BA2" s="115"/>
      <c r="BB2" s="115" t="s">
        <v>294</v>
      </c>
      <c r="BC2" s="115"/>
      <c r="BD2" s="115" t="s">
        <v>188</v>
      </c>
      <c r="BE2" s="115"/>
      <c r="BF2" s="115" t="s">
        <v>165</v>
      </c>
      <c r="BG2" s="115"/>
      <c r="BH2" s="115" t="s">
        <v>147</v>
      </c>
      <c r="BI2" s="115"/>
      <c r="BJ2" s="115" t="s">
        <v>167</v>
      </c>
      <c r="BK2" s="115"/>
      <c r="BL2" s="53"/>
    </row>
    <row r="3" spans="1:64" s="54" customFormat="1" ht="28.8" customHeight="1" x14ac:dyDescent="0.3">
      <c r="A3" s="55" t="s">
        <v>0</v>
      </c>
      <c r="B3" s="95" t="s">
        <v>80</v>
      </c>
      <c r="C3" s="95" t="s">
        <v>98</v>
      </c>
      <c r="D3" s="53" t="s">
        <v>98</v>
      </c>
      <c r="E3" s="53" t="s">
        <v>166</v>
      </c>
      <c r="F3" s="53" t="s">
        <v>98</v>
      </c>
      <c r="G3" s="53" t="s">
        <v>166</v>
      </c>
      <c r="H3" s="53" t="s">
        <v>98</v>
      </c>
      <c r="I3" s="53" t="s">
        <v>166</v>
      </c>
      <c r="J3" s="53" t="s">
        <v>98</v>
      </c>
      <c r="K3" s="53" t="s">
        <v>166</v>
      </c>
      <c r="L3" s="53" t="s">
        <v>98</v>
      </c>
      <c r="M3" s="53" t="s">
        <v>166</v>
      </c>
      <c r="N3" s="53" t="s">
        <v>98</v>
      </c>
      <c r="O3" s="53" t="s">
        <v>166</v>
      </c>
      <c r="P3" s="53" t="s">
        <v>98</v>
      </c>
      <c r="Q3" s="53" t="s">
        <v>166</v>
      </c>
      <c r="R3" s="53" t="s">
        <v>98</v>
      </c>
      <c r="S3" s="53" t="s">
        <v>166</v>
      </c>
      <c r="T3" s="53" t="s">
        <v>98</v>
      </c>
      <c r="U3" s="53" t="s">
        <v>166</v>
      </c>
      <c r="V3" s="53" t="s">
        <v>98</v>
      </c>
      <c r="W3" s="53" t="s">
        <v>166</v>
      </c>
      <c r="X3" s="53" t="s">
        <v>98</v>
      </c>
      <c r="Y3" s="53" t="s">
        <v>166</v>
      </c>
      <c r="Z3" s="53" t="s">
        <v>98</v>
      </c>
      <c r="AA3" s="53" t="s">
        <v>166</v>
      </c>
      <c r="AB3" s="53" t="s">
        <v>98</v>
      </c>
      <c r="AC3" s="53" t="s">
        <v>166</v>
      </c>
      <c r="AD3" s="53" t="s">
        <v>98</v>
      </c>
      <c r="AE3" s="53" t="s">
        <v>166</v>
      </c>
      <c r="AF3" s="53" t="s">
        <v>98</v>
      </c>
      <c r="AG3" s="53" t="s">
        <v>166</v>
      </c>
      <c r="AH3" s="53" t="s">
        <v>98</v>
      </c>
      <c r="AI3" s="53" t="s">
        <v>166</v>
      </c>
      <c r="AJ3" s="53" t="s">
        <v>98</v>
      </c>
      <c r="AK3" s="53" t="s">
        <v>166</v>
      </c>
      <c r="AL3" s="53" t="s">
        <v>98</v>
      </c>
      <c r="AM3" s="53" t="s">
        <v>166</v>
      </c>
      <c r="AN3" s="53" t="s">
        <v>98</v>
      </c>
      <c r="AO3" s="53" t="s">
        <v>166</v>
      </c>
      <c r="AP3" s="53" t="s">
        <v>98</v>
      </c>
      <c r="AQ3" s="53" t="s">
        <v>166</v>
      </c>
      <c r="AR3" s="53" t="s">
        <v>98</v>
      </c>
      <c r="AS3" s="53" t="s">
        <v>166</v>
      </c>
      <c r="AT3" s="53" t="s">
        <v>98</v>
      </c>
      <c r="AU3" s="53" t="s">
        <v>166</v>
      </c>
      <c r="AV3" s="53" t="s">
        <v>98</v>
      </c>
      <c r="AW3" s="53" t="s">
        <v>166</v>
      </c>
      <c r="AX3" s="53" t="s">
        <v>98</v>
      </c>
      <c r="AY3" s="53" t="s">
        <v>166</v>
      </c>
      <c r="AZ3" s="53" t="s">
        <v>98</v>
      </c>
      <c r="BA3" s="53" t="s">
        <v>166</v>
      </c>
      <c r="BB3" s="53" t="s">
        <v>98</v>
      </c>
      <c r="BC3" s="53" t="s">
        <v>166</v>
      </c>
      <c r="BD3" s="53" t="s">
        <v>98</v>
      </c>
      <c r="BE3" s="53" t="s">
        <v>166</v>
      </c>
      <c r="BF3" s="53" t="s">
        <v>98</v>
      </c>
      <c r="BG3" s="53" t="s">
        <v>166</v>
      </c>
      <c r="BH3" s="53" t="s">
        <v>98</v>
      </c>
      <c r="BI3" s="53" t="s">
        <v>166</v>
      </c>
      <c r="BJ3" s="53" t="s">
        <v>98</v>
      </c>
      <c r="BK3" s="56" t="s">
        <v>166</v>
      </c>
      <c r="BL3" s="53"/>
    </row>
    <row r="4" spans="1:64" x14ac:dyDescent="0.3">
      <c r="A4" s="38" t="s">
        <v>44</v>
      </c>
      <c r="C4" s="57" t="s">
        <v>566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57" t="s">
        <v>169</v>
      </c>
      <c r="AC4" s="58">
        <f>(16/$D$151)</f>
        <v>0.8</v>
      </c>
      <c r="AD4" s="57" t="s">
        <v>169</v>
      </c>
      <c r="AE4" s="58">
        <f>((7+15)/2/$D$151)+(6/$F$151)</f>
        <v>0.57500000000000007</v>
      </c>
      <c r="AF4" s="57" t="s">
        <v>169</v>
      </c>
      <c r="AG4" s="58">
        <f>(((130+145)/2)/$D$153)/$D$75</f>
        <v>0.44225870365128783</v>
      </c>
      <c r="AH4" s="57" t="s">
        <v>169</v>
      </c>
      <c r="AI4" s="58">
        <f>(((260+280)/2)/$D$153)/$D$75</f>
        <v>0.86843527262434705</v>
      </c>
      <c r="AJ4" s="57" t="s">
        <v>169</v>
      </c>
      <c r="AK4" s="58">
        <f>((11+9)/2)/$D$151+((0+8)/2)/$F$151</f>
        <v>0.51666666666666672</v>
      </c>
      <c r="AL4" s="57" t="s">
        <v>169</v>
      </c>
      <c r="AM4" s="58">
        <f>((6+7)/2)/$D$151+((9+3)/2)/$F$151</f>
        <v>0.35000000000000003</v>
      </c>
      <c r="AN4" s="57" t="s">
        <v>169</v>
      </c>
      <c r="AO4" s="58">
        <f>((7+6)/2)/$D$151+((3+0)/2)/$F$151</f>
        <v>0.33124999999999999</v>
      </c>
      <c r="AP4" s="57" t="s">
        <v>169</v>
      </c>
      <c r="AQ4" s="58">
        <f>((6+12)/2)/$D$151+((8+0)/2)/$F$151</f>
        <v>0.46666666666666667</v>
      </c>
      <c r="AR4" s="38"/>
      <c r="AS4" s="38"/>
      <c r="AT4" s="38"/>
      <c r="AU4" s="38"/>
      <c r="AV4" s="38"/>
      <c r="AW4" s="38"/>
      <c r="AX4" s="38"/>
      <c r="AY4" s="38"/>
      <c r="AZ4" s="57" t="s">
        <v>169</v>
      </c>
      <c r="BA4" s="58">
        <f>(1+0)/2+(((3+13)/2)/$D$151)+((0+6)/2/$F$151)</f>
        <v>0.91249999999999998</v>
      </c>
      <c r="BB4" s="38"/>
      <c r="BC4" s="38"/>
      <c r="BD4" s="38"/>
      <c r="BE4" s="38"/>
      <c r="BF4" s="38"/>
      <c r="BG4" s="38"/>
      <c r="BH4" s="57" t="s">
        <v>169</v>
      </c>
      <c r="BI4" s="58">
        <f>((19+20)/2)/$D$151+0/$F$151</f>
        <v>0.97499999999999998</v>
      </c>
      <c r="BJ4" s="57" t="s">
        <v>169</v>
      </c>
      <c r="BK4" s="58">
        <f>13/$D$151+5/$F$151</f>
        <v>0.67083333333333339</v>
      </c>
      <c r="BL4" s="57"/>
    </row>
    <row r="5" spans="1:64" x14ac:dyDescent="0.3">
      <c r="A5" s="38" t="s">
        <v>643</v>
      </c>
      <c r="C5" s="57" t="s">
        <v>566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58">
        <f>((6+12)/2)/$D$151+((8+0)/2)/$F$151</f>
        <v>0.46666666666666667</v>
      </c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57" t="s">
        <v>169</v>
      </c>
      <c r="BC5" s="58">
        <f>((2+2)/2+((10+1)/2)/$D$151+((0+0)/2)/$F$151)/464</f>
        <v>4.9030172413793097E-3</v>
      </c>
      <c r="BD5" s="38"/>
      <c r="BE5" s="38"/>
      <c r="BF5" s="57" t="s">
        <v>169</v>
      </c>
      <c r="BG5" s="58">
        <f>((1+2)/2+((18+13)/2)/$D$151+((0+6)/2)/$F$151)/464</f>
        <v>4.9299568965517244E-3</v>
      </c>
      <c r="BH5" s="57" t="s">
        <v>169</v>
      </c>
      <c r="BI5" s="58">
        <f>(((3+2)/2)+((10+2)/2/$D$151)+((0+0))/2/$F$151)/464</f>
        <v>6.0344827586206896E-3</v>
      </c>
      <c r="BJ5" s="57" t="s">
        <v>168</v>
      </c>
      <c r="BK5" s="58">
        <f>(95+105)/2</f>
        <v>100</v>
      </c>
      <c r="BL5" s="57"/>
    </row>
    <row r="6" spans="1:64" x14ac:dyDescent="0.3">
      <c r="A6" s="38" t="s">
        <v>174</v>
      </c>
      <c r="C6" s="57" t="s">
        <v>566</v>
      </c>
      <c r="E6" s="38"/>
      <c r="F6" s="38"/>
      <c r="G6" s="38"/>
      <c r="H6" s="38"/>
      <c r="I6" s="58"/>
      <c r="J6" s="57" t="s">
        <v>169</v>
      </c>
      <c r="K6" s="58">
        <f>((0+2)/2)/$D$151+((9+4)/2)/$F$151</f>
        <v>7.7083333333333337E-2</v>
      </c>
      <c r="L6" s="57" t="s">
        <v>169</v>
      </c>
      <c r="M6" s="58">
        <f>((1+3)/2)/$D$151+((3+0)/2)/$F$151</f>
        <v>0.10625000000000001</v>
      </c>
      <c r="N6" s="57" t="s">
        <v>169</v>
      </c>
      <c r="O6" s="58">
        <f>((1+3)/2)/$D$151+((6+3)/2)/$F$151</f>
        <v>0.11875000000000001</v>
      </c>
      <c r="R6" s="57" t="s">
        <v>169</v>
      </c>
      <c r="S6" s="58">
        <f>((1+2)/2)/$D$151+((3+9)/2)/$F$151</f>
        <v>0.1</v>
      </c>
      <c r="T6" s="57" t="s">
        <v>169</v>
      </c>
      <c r="U6" s="58">
        <f>((2+0)/2)/$D$151+((6+10)/2)/$F$151</f>
        <v>8.3333333333333343E-2</v>
      </c>
      <c r="V6" s="38"/>
      <c r="W6" s="58"/>
      <c r="X6" s="38"/>
      <c r="Y6" s="58"/>
      <c r="Z6" s="57" t="s">
        <v>169</v>
      </c>
      <c r="AA6" s="58">
        <f>((1+1)/2)/$D$151+((6+9)/2)/$F$151</f>
        <v>8.1250000000000003E-2</v>
      </c>
      <c r="AB6" s="57" t="s">
        <v>169</v>
      </c>
      <c r="AC6" s="58">
        <f>((1+1)/2)/$D$151+((11+3)/2)/$F$151</f>
        <v>7.9166666666666663E-2</v>
      </c>
      <c r="AD6" s="57" t="s">
        <v>169</v>
      </c>
      <c r="AE6" s="58">
        <f>((16+11.5)/2)/$F$151</f>
        <v>5.7291666666666664E-2</v>
      </c>
      <c r="AF6" s="38"/>
      <c r="AG6" s="38"/>
      <c r="AH6" s="57" t="s">
        <v>169</v>
      </c>
      <c r="AI6" s="58">
        <f>(12)/$F$151</f>
        <v>0.05</v>
      </c>
      <c r="AJ6" s="38"/>
      <c r="AK6" s="38"/>
      <c r="AL6" s="57" t="s">
        <v>169</v>
      </c>
      <c r="AM6" s="58">
        <f>((14+12.5)/2)/$F$151</f>
        <v>5.5208333333333331E-2</v>
      </c>
      <c r="AN6" s="57" t="s">
        <v>169</v>
      </c>
      <c r="AO6" s="58">
        <f>((0+1)/2)/$D$151+((10.75+2)/2)/$F$151</f>
        <v>5.1562499999999997E-2</v>
      </c>
      <c r="AP6" s="57" t="s">
        <v>169</v>
      </c>
      <c r="AQ6" s="58">
        <f>((1+1)/2)/$D$151+((4+8)/2)/$F$151</f>
        <v>7.5000000000000011E-2</v>
      </c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57" t="s">
        <v>169</v>
      </c>
      <c r="BC6" s="58">
        <f>((1+1)/2)/$D$151+((3+4.5)/2)/$F$151</f>
        <v>6.5625000000000003E-2</v>
      </c>
      <c r="BD6" s="38"/>
      <c r="BE6" s="38"/>
      <c r="BF6" s="57" t="s">
        <v>169</v>
      </c>
      <c r="BG6" s="58">
        <f>((1+1)/2)/$D$151+((5+3.5)/2)/$F$151</f>
        <v>6.7708333333333343E-2</v>
      </c>
      <c r="BH6" s="57" t="s">
        <v>169</v>
      </c>
      <c r="BI6" s="58">
        <f>1/$D$151+2.5/$F$151</f>
        <v>6.0416666666666667E-2</v>
      </c>
      <c r="BJ6" s="57" t="s">
        <v>169</v>
      </c>
      <c r="BK6" s="58">
        <f>((1+1)/2/$D$151)+((1+3.25)/2/$F$151)</f>
        <v>5.8854166666666666E-2</v>
      </c>
      <c r="BL6" s="57"/>
    </row>
    <row r="7" spans="1:64" x14ac:dyDescent="0.3">
      <c r="A7" s="38" t="s">
        <v>172</v>
      </c>
      <c r="C7" s="57" t="s">
        <v>566</v>
      </c>
      <c r="D7" s="57" t="s">
        <v>169</v>
      </c>
      <c r="E7" s="58">
        <f>((12)/$D$151+(9)/$F$151)/18</f>
        <v>3.5416666666666666E-2</v>
      </c>
      <c r="F7" s="58"/>
      <c r="G7" s="58"/>
      <c r="H7" s="57" t="s">
        <v>169</v>
      </c>
      <c r="I7" s="58">
        <f>(2+2)/2+((0+5)/2)/$D$151</f>
        <v>2.125</v>
      </c>
      <c r="J7" s="57" t="s">
        <v>169</v>
      </c>
      <c r="K7" s="58">
        <f>(2)/$D$151+(10)/$F$151</f>
        <v>0.14166666666666666</v>
      </c>
      <c r="L7" s="57" t="s">
        <v>169</v>
      </c>
      <c r="M7" s="58">
        <f>(3)/$D$151+(6)/$F$151</f>
        <v>0.17499999999999999</v>
      </c>
      <c r="N7" s="57" t="s">
        <v>169</v>
      </c>
      <c r="O7" s="58">
        <f>(3)/$D$151+(9)/$F$151</f>
        <v>0.1875</v>
      </c>
      <c r="P7" s="57" t="s">
        <v>169</v>
      </c>
      <c r="Q7" s="58">
        <f>(2)/$D$151+(10)/$F$151</f>
        <v>0.14166666666666666</v>
      </c>
      <c r="R7" s="57" t="s">
        <v>169</v>
      </c>
      <c r="S7" s="58">
        <f>(3)/$D$151+(3)/$F$151</f>
        <v>0.16250000000000001</v>
      </c>
      <c r="T7" s="57" t="s">
        <v>169</v>
      </c>
      <c r="U7" s="58">
        <f>(3)/$D$151+(3)/$F$151</f>
        <v>0.16250000000000001</v>
      </c>
      <c r="V7" s="57" t="s">
        <v>169</v>
      </c>
      <c r="W7" s="58">
        <f>((1+2)/2)/$D$151+((9+9)/2)/$F$151</f>
        <v>0.11249999999999999</v>
      </c>
      <c r="X7" s="57" t="s">
        <v>169</v>
      </c>
      <c r="Y7" s="58">
        <f>((1+2)/2)/$D$151+((10+10)/2)/$F$151</f>
        <v>0.11666666666666667</v>
      </c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60"/>
      <c r="AY7" s="58"/>
      <c r="AZ7" s="58"/>
      <c r="BA7" s="58"/>
      <c r="BB7" s="57" t="s">
        <v>169</v>
      </c>
      <c r="BC7" s="58">
        <f>((1+1)/2)/$D$151+((5.5+7)/2)/$F$151</f>
        <v>7.6041666666666674E-2</v>
      </c>
      <c r="BD7" s="38"/>
      <c r="BE7" s="38"/>
      <c r="BF7" s="57" t="s">
        <v>169</v>
      </c>
      <c r="BG7" s="58">
        <f>((1+1)/2)/$D$151+((7.5+6)/2)/$F$151</f>
        <v>7.8125E-2</v>
      </c>
      <c r="BH7" s="57" t="s">
        <v>169</v>
      </c>
      <c r="BI7" s="58">
        <f>1/$D$151+5/$F$151</f>
        <v>7.0833333333333331E-2</v>
      </c>
      <c r="BJ7" s="57" t="s">
        <v>169</v>
      </c>
      <c r="BK7" s="58">
        <f>((1+1)/2/$D$151)+((3.75+4.5)/2/$F$151)</f>
        <v>6.7187500000000011E-2</v>
      </c>
      <c r="BL7" s="57"/>
    </row>
    <row r="8" spans="1:64" x14ac:dyDescent="0.3">
      <c r="A8" s="38" t="s">
        <v>148</v>
      </c>
      <c r="B8" s="38" t="s">
        <v>550</v>
      </c>
      <c r="C8" s="57" t="s">
        <v>571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58"/>
      <c r="AR8" s="38"/>
      <c r="AS8" s="38"/>
      <c r="AT8" s="38"/>
      <c r="AU8" s="38"/>
      <c r="AV8" s="57"/>
      <c r="AW8" s="58"/>
      <c r="AX8" s="38"/>
      <c r="AY8" s="38"/>
      <c r="AZ8" s="38"/>
      <c r="BA8" s="38"/>
      <c r="BB8" s="38"/>
      <c r="BC8" s="38"/>
      <c r="BD8" s="38"/>
      <c r="BE8" s="38"/>
      <c r="BF8" s="57" t="s">
        <v>173</v>
      </c>
      <c r="BG8" s="58">
        <f>0+12/$D$151+6/$F$151</f>
        <v>0.625</v>
      </c>
      <c r="BH8" s="57" t="s">
        <v>173</v>
      </c>
      <c r="BI8" s="58">
        <f>0+16/$D$151+0/$F$151</f>
        <v>0.8</v>
      </c>
      <c r="BJ8" s="57" t="s">
        <v>173</v>
      </c>
      <c r="BK8" s="58">
        <f>1+0/$D$151+0/$F$151</f>
        <v>1</v>
      </c>
      <c r="BL8" s="57"/>
    </row>
    <row r="9" spans="1:64" x14ac:dyDescent="0.3">
      <c r="A9" s="38" t="s">
        <v>148</v>
      </c>
      <c r="B9" s="38" t="s">
        <v>551</v>
      </c>
      <c r="C9" s="57" t="s">
        <v>571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58"/>
      <c r="AR9" s="57" t="s">
        <v>173</v>
      </c>
      <c r="AS9" s="58">
        <f>10/$D$151+2/$F$151</f>
        <v>0.5083333333333333</v>
      </c>
      <c r="AT9" s="38"/>
      <c r="AU9" s="38"/>
      <c r="AV9" s="57" t="s">
        <v>173</v>
      </c>
      <c r="AW9" s="58">
        <f>(1+0+0)/3+((0+17+14)/3)/$D$151+0/$F$151</f>
        <v>0.85000000000000009</v>
      </c>
      <c r="AX9" s="38"/>
      <c r="AY9" s="38"/>
      <c r="AZ9" s="38"/>
      <c r="BA9" s="38"/>
      <c r="BB9" s="38"/>
      <c r="BC9" s="38"/>
      <c r="BD9" s="38"/>
      <c r="BE9" s="38"/>
      <c r="BF9" s="57" t="s">
        <v>173</v>
      </c>
      <c r="BG9" s="58">
        <f>0+(6+7/2)/$D$151+0/$F$151</f>
        <v>0.47499999999999998</v>
      </c>
      <c r="BH9" s="57" t="s">
        <v>173</v>
      </c>
      <c r="BI9" s="58">
        <f>0+12/$D$151+0/$F$151</f>
        <v>0.6</v>
      </c>
      <c r="BJ9" s="57" t="s">
        <v>173</v>
      </c>
      <c r="BK9" s="58">
        <f>0+15/$D$151+6/$F$151</f>
        <v>0.77500000000000002</v>
      </c>
      <c r="BL9" s="57"/>
    </row>
    <row r="10" spans="1:64" x14ac:dyDescent="0.3">
      <c r="A10" s="38" t="s">
        <v>515</v>
      </c>
      <c r="C10" s="57" t="s">
        <v>528</v>
      </c>
      <c r="D10" s="57" t="s">
        <v>484</v>
      </c>
      <c r="E10" s="38">
        <f>(5+10)/2</f>
        <v>7.5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58"/>
      <c r="AR10" s="57"/>
      <c r="AS10" s="58"/>
      <c r="AT10" s="38"/>
      <c r="AU10" s="38"/>
      <c r="AV10" s="57"/>
      <c r="AW10" s="58"/>
      <c r="AX10" s="38"/>
      <c r="AY10" s="38"/>
      <c r="AZ10" s="38"/>
      <c r="BA10" s="38"/>
      <c r="BB10" s="38"/>
      <c r="BC10" s="38"/>
      <c r="BD10" s="38"/>
      <c r="BE10" s="38"/>
      <c r="BF10" s="57"/>
      <c r="BG10" s="58"/>
      <c r="BH10" s="57"/>
      <c r="BI10" s="58"/>
      <c r="BJ10" s="57"/>
      <c r="BK10" s="58"/>
      <c r="BL10" s="57"/>
    </row>
    <row r="11" spans="1:64" x14ac:dyDescent="0.3">
      <c r="A11" s="38" t="s">
        <v>175</v>
      </c>
      <c r="C11" s="60" t="s">
        <v>566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57" t="s">
        <v>169</v>
      </c>
      <c r="AE11" s="58">
        <f>((((3+8)/2)/$D$153))/$D$75</f>
        <v>1.7690348146051516E-2</v>
      </c>
      <c r="AF11" s="38"/>
      <c r="AG11" s="38"/>
      <c r="AH11" s="57" t="s">
        <v>169</v>
      </c>
      <c r="AI11" s="58">
        <f>((((5.75+9.5)/2)/$D$153))/$D$75</f>
        <v>2.4525255384298689E-2</v>
      </c>
      <c r="AJ11" s="38"/>
      <c r="AK11" s="38"/>
      <c r="AL11" s="57"/>
      <c r="AM11" s="38"/>
      <c r="AN11" s="38"/>
      <c r="AO11" s="38"/>
      <c r="AP11" s="38"/>
      <c r="AQ11" s="5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57" t="s">
        <v>169</v>
      </c>
      <c r="BG11" s="58">
        <f>0/$D$151+((5.75+6.25)/2/$F$151)</f>
        <v>2.5000000000000001E-2</v>
      </c>
      <c r="BH11" s="57" t="s">
        <v>169</v>
      </c>
      <c r="BI11" s="58">
        <f>0/$D$151+((6+6.5)/2/$F$151)</f>
        <v>2.6041666666666668E-2</v>
      </c>
    </row>
    <row r="12" spans="1:64" x14ac:dyDescent="0.3">
      <c r="A12" s="38" t="s">
        <v>446</v>
      </c>
      <c r="C12" s="57" t="s">
        <v>566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57" t="s">
        <v>169</v>
      </c>
      <c r="AQ12" s="58">
        <f>7.5/$F$151</f>
        <v>3.125E-2</v>
      </c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60"/>
      <c r="BG12" s="58"/>
      <c r="BH12" s="60"/>
      <c r="BI12" s="58"/>
    </row>
    <row r="13" spans="1:64" x14ac:dyDescent="0.3">
      <c r="A13" s="38" t="s">
        <v>447</v>
      </c>
      <c r="C13" s="57" t="s">
        <v>566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57" t="s">
        <v>169</v>
      </c>
      <c r="AQ13" s="58">
        <f>6/$F$151</f>
        <v>2.5000000000000001E-2</v>
      </c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60"/>
      <c r="BG13" s="58"/>
      <c r="BH13" s="60"/>
      <c r="BI13" s="58"/>
    </row>
    <row r="14" spans="1:64" x14ac:dyDescent="0.3">
      <c r="A14" s="38" t="s">
        <v>448</v>
      </c>
      <c r="C14" s="57" t="s">
        <v>566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57" t="s">
        <v>169</v>
      </c>
      <c r="AQ14" s="58">
        <f>4.25/$F$151</f>
        <v>1.7708333333333333E-2</v>
      </c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60"/>
      <c r="BG14" s="58"/>
      <c r="BH14" s="60"/>
      <c r="BI14" s="58"/>
    </row>
    <row r="15" spans="1:64" x14ac:dyDescent="0.3">
      <c r="A15" s="38" t="s">
        <v>449</v>
      </c>
      <c r="C15" s="57" t="s">
        <v>566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57" t="s">
        <v>169</v>
      </c>
      <c r="AQ15" s="58">
        <f>3.5/$F$151</f>
        <v>1.4583333333333334E-2</v>
      </c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60"/>
      <c r="BG15" s="58"/>
      <c r="BH15" s="60"/>
      <c r="BI15" s="58"/>
    </row>
    <row r="16" spans="1:64" x14ac:dyDescent="0.3">
      <c r="A16" s="38" t="s">
        <v>513</v>
      </c>
      <c r="C16" s="57" t="s">
        <v>566</v>
      </c>
      <c r="D16" s="57" t="s">
        <v>169</v>
      </c>
      <c r="E16" s="38">
        <f>((7+11)/2)/$D$157/$D$75</f>
        <v>2.9013782836348725E-2</v>
      </c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57"/>
      <c r="AQ16" s="5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60"/>
      <c r="BG16" s="58"/>
      <c r="BH16" s="60"/>
      <c r="BI16" s="58"/>
    </row>
    <row r="17" spans="1:62" x14ac:dyDescent="0.3">
      <c r="A17" s="38" t="s">
        <v>514</v>
      </c>
      <c r="C17" s="57" t="s">
        <v>566</v>
      </c>
      <c r="D17" s="57" t="s">
        <v>169</v>
      </c>
      <c r="E17" s="38">
        <f>(10)/$D$157/$D$75</f>
        <v>3.2237536484831922E-2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57"/>
      <c r="AQ17" s="5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60"/>
      <c r="BG17" s="58"/>
      <c r="BH17" s="60"/>
      <c r="BI17" s="58"/>
    </row>
    <row r="18" spans="1:62" x14ac:dyDescent="0.3">
      <c r="A18" s="38" t="s">
        <v>450</v>
      </c>
      <c r="C18" s="61" t="s">
        <v>566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61" t="s">
        <v>494</v>
      </c>
      <c r="AC18" s="58">
        <f>(((5+5)/2)+((0+10)/2)/$D$154)</f>
        <v>5.0431034482758621</v>
      </c>
      <c r="AD18" s="38"/>
      <c r="AE18" s="38"/>
      <c r="AF18" s="57" t="s">
        <v>169</v>
      </c>
      <c r="AG18" s="58">
        <f>(((5.5+8)/2)/$D$154)/$D$75</f>
        <v>2.0587905169973744E-2</v>
      </c>
      <c r="AH18" s="38"/>
      <c r="AI18" s="38"/>
      <c r="AJ18" s="38"/>
      <c r="AK18" s="38"/>
      <c r="AL18" s="38"/>
      <c r="AM18" s="38"/>
      <c r="AN18" s="57" t="s">
        <v>169</v>
      </c>
      <c r="AO18" s="58">
        <f>(1+(18/$D$151))/$D$54</f>
        <v>1.6964285714285713E-2</v>
      </c>
      <c r="AP18" s="57" t="s">
        <v>169</v>
      </c>
      <c r="AQ18" s="58">
        <f>(1+(12/$D$151))/$D$54</f>
        <v>1.4285714285714287E-2</v>
      </c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60"/>
      <c r="BG18" s="58"/>
      <c r="BH18" s="60"/>
      <c r="BI18" s="58"/>
    </row>
    <row r="19" spans="1:62" x14ac:dyDescent="0.3">
      <c r="A19" s="38" t="s">
        <v>451</v>
      </c>
      <c r="C19" s="57" t="s">
        <v>566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57" t="s">
        <v>169</v>
      </c>
      <c r="AG19" s="58">
        <f>((9)/$D$154)/$D$75</f>
        <v>2.745054022663166E-2</v>
      </c>
      <c r="AH19" s="38"/>
      <c r="AI19" s="38"/>
      <c r="AJ19" s="38"/>
      <c r="AK19" s="38"/>
      <c r="AL19" s="38"/>
      <c r="AM19" s="38"/>
      <c r="AN19" s="57" t="s">
        <v>169</v>
      </c>
      <c r="AO19" s="58">
        <f>(1+(10/$D$151))/$D$54</f>
        <v>1.3392857142857142E-2</v>
      </c>
      <c r="AP19" s="57" t="s">
        <v>169</v>
      </c>
      <c r="AQ19" s="58">
        <f>(1+(3/$D$151))/$D$54</f>
        <v>1.0267857142857143E-2</v>
      </c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60"/>
      <c r="BG19" s="58"/>
      <c r="BH19" s="60"/>
      <c r="BI19" s="58"/>
    </row>
    <row r="20" spans="1:62" x14ac:dyDescent="0.3">
      <c r="A20" s="38" t="s">
        <v>485</v>
      </c>
      <c r="C20" s="57" t="s">
        <v>566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57" t="s">
        <v>169</v>
      </c>
      <c r="AE20" s="58">
        <f>((((7+8.5)/2)/118))/$D$75</f>
        <v>2.323732171727106E-2</v>
      </c>
      <c r="AF20" s="57"/>
      <c r="AG20" s="58"/>
      <c r="AH20" s="38"/>
      <c r="AI20" s="38"/>
      <c r="AJ20" s="38"/>
      <c r="AK20" s="38"/>
      <c r="AL20" s="38"/>
      <c r="AM20" s="38"/>
      <c r="AN20" s="57"/>
      <c r="AO20" s="58"/>
      <c r="AP20" s="57"/>
      <c r="AQ20" s="5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60"/>
      <c r="BG20" s="58"/>
      <c r="BH20" s="60"/>
      <c r="BI20" s="58"/>
    </row>
    <row r="21" spans="1:62" x14ac:dyDescent="0.3">
      <c r="A21" s="38" t="s">
        <v>486</v>
      </c>
      <c r="C21" s="57" t="s">
        <v>566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57" t="s">
        <v>169</v>
      </c>
      <c r="AE21" s="58">
        <f>((((6+8)/2)/118))/$D$75</f>
        <v>2.0988548647857729E-2</v>
      </c>
      <c r="AF21" s="57"/>
      <c r="AG21" s="58"/>
      <c r="AH21" s="38"/>
      <c r="AI21" s="38"/>
      <c r="AJ21" s="38"/>
      <c r="AK21" s="38"/>
      <c r="AL21" s="38"/>
      <c r="AM21" s="38"/>
      <c r="AN21" s="57"/>
      <c r="AO21" s="58"/>
      <c r="AP21" s="57"/>
      <c r="AQ21" s="5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60"/>
      <c r="BG21" s="58"/>
      <c r="BH21" s="60"/>
      <c r="BI21" s="58"/>
    </row>
    <row r="22" spans="1:62" x14ac:dyDescent="0.3">
      <c r="A22" s="38" t="s">
        <v>160</v>
      </c>
      <c r="C22" s="57" t="s">
        <v>566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57" t="s">
        <v>169</v>
      </c>
      <c r="BC22" s="58">
        <f>(((16+14)/2)/$D$151+((0+6)/2)/$F$151)/304</f>
        <v>2.5082236842105263E-3</v>
      </c>
      <c r="BD22" s="38"/>
      <c r="BE22" s="38"/>
      <c r="BF22" s="57" t="s">
        <v>169</v>
      </c>
      <c r="BG22" s="58">
        <f>(((15+18)/2)/$D$151+((6+0)/2)/$F$151)/304</f>
        <v>2.7549342105263157E-3</v>
      </c>
      <c r="BH22" s="57" t="s">
        <v>169</v>
      </c>
      <c r="BI22" s="58">
        <f>(19/$D$151+0/$F$151)/304</f>
        <v>3.1249999999999997E-3</v>
      </c>
      <c r="BJ22" s="57"/>
    </row>
    <row r="23" spans="1:62" x14ac:dyDescent="0.3">
      <c r="A23" s="38" t="s">
        <v>176</v>
      </c>
      <c r="C23" s="57" t="s">
        <v>566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57" t="s">
        <v>169</v>
      </c>
      <c r="BG23" s="58">
        <f>((1+1)/2+((4+6)/2)/$D$151+((6+6)/2)/$F$151)/480</f>
        <v>2.6562499999999998E-3</v>
      </c>
      <c r="BH23" s="57" t="s">
        <v>169</v>
      </c>
      <c r="BI23" s="58">
        <f>(1+8/$D$151+6/$F$151)/480</f>
        <v>2.9687499999999996E-3</v>
      </c>
      <c r="BJ23" s="57"/>
    </row>
    <row r="24" spans="1:62" x14ac:dyDescent="0.3">
      <c r="A24" s="38" t="s">
        <v>510</v>
      </c>
      <c r="C24" s="38" t="s">
        <v>572</v>
      </c>
      <c r="D24" s="38" t="s">
        <v>512</v>
      </c>
      <c r="E24" s="38">
        <f>((20+46.5)/2)/$D$157</f>
        <v>0.30296127562642367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57"/>
      <c r="BG24" s="58"/>
      <c r="BH24" s="57"/>
      <c r="BI24" s="58"/>
      <c r="BJ24" s="57"/>
    </row>
    <row r="25" spans="1:62" x14ac:dyDescent="0.3">
      <c r="A25" s="38" t="s">
        <v>39</v>
      </c>
      <c r="C25" s="57" t="s">
        <v>566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57" t="s">
        <v>169</v>
      </c>
      <c r="BC25" s="58">
        <f>((1+1)/2+((14+10)/2)/$D$151+((0+0)/2)/$F$151)/480</f>
        <v>3.3333333333333335E-3</v>
      </c>
      <c r="BD25" s="38"/>
      <c r="BE25" s="38"/>
      <c r="BF25" s="57" t="s">
        <v>169</v>
      </c>
      <c r="BG25" s="58">
        <f>((1+1)/2+((11+12)/2)/$D$151+((0+6)/2)/$F$151)/480</f>
        <v>3.3072916666666663E-3</v>
      </c>
      <c r="BH25" s="57" t="s">
        <v>169</v>
      </c>
      <c r="BI25" s="58">
        <f>(1+16/$D$151+0/$F$151)/480</f>
        <v>3.7500000000000003E-3</v>
      </c>
      <c r="BJ25" s="57"/>
    </row>
    <row r="26" spans="1:62" x14ac:dyDescent="0.3">
      <c r="A26" s="38" t="s">
        <v>555</v>
      </c>
      <c r="B26" s="38" t="s">
        <v>552</v>
      </c>
      <c r="C26" s="57" t="s">
        <v>571</v>
      </c>
      <c r="D26" s="57" t="s">
        <v>173</v>
      </c>
      <c r="E26" s="58">
        <f>((1+1)/2+((18+9)/2)/$D$151+((3+1)/2)/$F$151)/$D$66</f>
        <v>6.7333333333333334</v>
      </c>
      <c r="F26" s="38"/>
      <c r="G26" s="38"/>
      <c r="H26" s="38"/>
      <c r="I26" s="38"/>
      <c r="J26" s="57" t="s">
        <v>173</v>
      </c>
      <c r="K26" s="58">
        <f>(46/$D$151)/$D$66</f>
        <v>9.1999999999999993</v>
      </c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57"/>
      <c r="BH26" s="57" t="s">
        <v>173</v>
      </c>
      <c r="BI26" s="58">
        <f>2+4/$D$151+0/$F$151</f>
        <v>2.2000000000000002</v>
      </c>
      <c r="BJ26" s="57"/>
    </row>
    <row r="27" spans="1:62" x14ac:dyDescent="0.3">
      <c r="A27" s="38" t="s">
        <v>556</v>
      </c>
      <c r="B27" s="38" t="s">
        <v>552</v>
      </c>
      <c r="C27" s="57" t="s">
        <v>571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57"/>
      <c r="BH27" s="57" t="s">
        <v>173</v>
      </c>
      <c r="BI27" s="58">
        <f>2+1/$D$151+0/$F$151</f>
        <v>2.0499999999999998</v>
      </c>
      <c r="BJ27" s="57"/>
    </row>
    <row r="28" spans="1:62" x14ac:dyDescent="0.3">
      <c r="A28" s="38" t="s">
        <v>60</v>
      </c>
      <c r="B28" s="38" t="s">
        <v>523</v>
      </c>
      <c r="C28" s="57" t="s">
        <v>571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57"/>
      <c r="BH28" s="57"/>
      <c r="BI28" s="58"/>
      <c r="BJ28" s="57"/>
    </row>
    <row r="29" spans="1:62" x14ac:dyDescent="0.3">
      <c r="A29" s="38" t="s">
        <v>177</v>
      </c>
      <c r="C29" s="61" t="s">
        <v>566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61" t="s">
        <v>484</v>
      </c>
      <c r="AC29" s="58">
        <f>(((8+9)/2)+((10+10)/2)/$D$151)/(10*12)</f>
        <v>7.4999999999999997E-2</v>
      </c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57"/>
      <c r="BH29" s="57" t="s">
        <v>169</v>
      </c>
      <c r="BI29" s="58">
        <f>8.5/$D$152/$D$75</f>
        <v>2.7464467441358515E-2</v>
      </c>
      <c r="BJ29" s="57"/>
    </row>
    <row r="30" spans="1:62" x14ac:dyDescent="0.3">
      <c r="A30" s="38" t="s">
        <v>178</v>
      </c>
      <c r="C30" s="57" t="s">
        <v>566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57"/>
      <c r="BH30" s="57" t="s">
        <v>169</v>
      </c>
      <c r="BI30" s="58">
        <f>13/$D$152/$D$75</f>
        <v>4.2004479616195377E-2</v>
      </c>
      <c r="BJ30" s="57"/>
    </row>
    <row r="31" spans="1:62" x14ac:dyDescent="0.3">
      <c r="A31" s="38" t="s">
        <v>179</v>
      </c>
      <c r="C31" s="57" t="s">
        <v>566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57"/>
      <c r="BH31" s="57" t="s">
        <v>169</v>
      </c>
      <c r="BI31" s="58">
        <f>14/$D$152/$D$75</f>
        <v>4.5235593432825787E-2</v>
      </c>
      <c r="BJ31" s="57"/>
    </row>
    <row r="32" spans="1:62" x14ac:dyDescent="0.3">
      <c r="A32" s="38" t="s">
        <v>180</v>
      </c>
      <c r="C32" s="57" t="s">
        <v>566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57"/>
      <c r="BH32" s="57" t="s">
        <v>169</v>
      </c>
      <c r="BI32" s="58">
        <f>((5+6)/2)/$D$152/$D$75</f>
        <v>1.7771125991467275E-2</v>
      </c>
      <c r="BJ32" s="57"/>
    </row>
    <row r="33" spans="1:62" x14ac:dyDescent="0.3">
      <c r="A33" s="38" t="s">
        <v>181</v>
      </c>
      <c r="C33" s="57" t="s">
        <v>566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57"/>
      <c r="BH33" s="57" t="s">
        <v>169</v>
      </c>
      <c r="BI33" s="58">
        <f>11/$D$152/$D$75</f>
        <v>3.554225198293455E-2</v>
      </c>
      <c r="BJ33" s="57"/>
    </row>
    <row r="34" spans="1:62" x14ac:dyDescent="0.3">
      <c r="A34" s="38" t="s">
        <v>182</v>
      </c>
      <c r="C34" s="61" t="s">
        <v>566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61" t="s">
        <v>484</v>
      </c>
      <c r="AE34" s="58">
        <f>((((13+14)/2)/$D$153))/2</f>
        <v>6.1363636363636363E-2</v>
      </c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57"/>
      <c r="BH34" s="57" t="s">
        <v>169</v>
      </c>
      <c r="BI34" s="58">
        <f>19/$D$152/$D$75</f>
        <v>6.1391162515977857E-2</v>
      </c>
      <c r="BJ34" s="57"/>
    </row>
    <row r="35" spans="1:62" x14ac:dyDescent="0.3">
      <c r="A35" s="38" t="s">
        <v>186</v>
      </c>
      <c r="C35" s="38" t="s">
        <v>573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 t="s">
        <v>187</v>
      </c>
      <c r="BG35" s="58">
        <f>((2+3)/2/$D$151)+((3+4)/2/$F$151)</f>
        <v>0.13958333333333334</v>
      </c>
      <c r="BH35" s="57"/>
      <c r="BI35" s="58"/>
      <c r="BJ35" s="57"/>
    </row>
    <row r="36" spans="1:62" x14ac:dyDescent="0.3">
      <c r="A36" s="38" t="s">
        <v>38</v>
      </c>
      <c r="B36" s="38" t="s">
        <v>553</v>
      </c>
      <c r="C36" s="57" t="s">
        <v>566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57" t="s">
        <v>169</v>
      </c>
      <c r="AQ36" s="58">
        <f>((1+1)/2+(((4+2)/2)/$D$151)+(((6+0)/2)/$F$151))/400</f>
        <v>2.9062499999999995E-3</v>
      </c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57" t="s">
        <v>169</v>
      </c>
      <c r="BC36" s="58">
        <f>((1+1)/2+((12+6)/2)/$D$151+((0+0)/2)/$F$151)/400</f>
        <v>3.6249999999999998E-3</v>
      </c>
      <c r="BD36" s="38"/>
      <c r="BE36" s="38"/>
      <c r="BF36" s="38"/>
      <c r="BG36" s="58"/>
      <c r="BH36" s="57"/>
      <c r="BI36" s="58"/>
      <c r="BJ36" s="57"/>
    </row>
    <row r="37" spans="1:62" x14ac:dyDescent="0.3">
      <c r="A37" s="38" t="s">
        <v>38</v>
      </c>
      <c r="B37" s="38" t="s">
        <v>554</v>
      </c>
      <c r="C37" s="57" t="s">
        <v>566</v>
      </c>
      <c r="D37" s="57" t="s">
        <v>169</v>
      </c>
      <c r="E37" s="58">
        <f>(0+(13)/$D$151+(6)/$F$151)/$F$66</f>
        <v>1.205357142857143E-3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57" t="s">
        <v>169</v>
      </c>
      <c r="BC37" s="58">
        <f>((1+1)/2+((5+7)/2)/$D$151+((0+6)/2)/$F$151)/400</f>
        <v>3.2812499999999999E-3</v>
      </c>
      <c r="BD37" s="38"/>
      <c r="BE37" s="57"/>
      <c r="BF37" s="57" t="s">
        <v>169</v>
      </c>
      <c r="BG37" s="58">
        <f>((1+1)/2+((4+7)/2)/$D$151+((6+9)/2)/$F$151)/400</f>
        <v>3.2656249999999999E-3</v>
      </c>
      <c r="BH37" s="57"/>
    </row>
    <row r="38" spans="1:62" x14ac:dyDescent="0.3">
      <c r="A38" s="38" t="s">
        <v>191</v>
      </c>
      <c r="C38" s="57" t="s">
        <v>566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57" t="s">
        <v>169</v>
      </c>
      <c r="BC38" s="58">
        <f>((2+2)/2+((5+15)/2)/$D$151)/416</f>
        <v>6.0096153846153849E-3</v>
      </c>
      <c r="BD38" s="38"/>
      <c r="BE38" s="57"/>
      <c r="BF38" s="57" t="s">
        <v>169</v>
      </c>
      <c r="BG38" s="58">
        <f>((3+2)/2+((10+17)/2)/$D$151)/416</f>
        <v>7.6322115384615382E-3</v>
      </c>
      <c r="BH38" s="57"/>
    </row>
    <row r="39" spans="1:62" x14ac:dyDescent="0.3">
      <c r="A39" s="38" t="s">
        <v>53</v>
      </c>
      <c r="C39" s="57" t="s">
        <v>566</v>
      </c>
      <c r="D39" s="57" t="s">
        <v>169</v>
      </c>
      <c r="E39" s="58">
        <f>((1+0)/2+((0+0)/2)/$D$151+((5.25+9.75)/2)/$F$151)/$F$66</f>
        <v>9.4866071428571428E-4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57"/>
      <c r="BF39" s="57" t="s">
        <v>169</v>
      </c>
      <c r="BG39" s="58">
        <f>(1+8/$D$151+6/$F$151)/480</f>
        <v>2.9687499999999996E-3</v>
      </c>
      <c r="BH39" s="57"/>
    </row>
    <row r="40" spans="1:62" x14ac:dyDescent="0.3">
      <c r="A40" s="38" t="s">
        <v>420</v>
      </c>
      <c r="C40" s="38" t="s">
        <v>574</v>
      </c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 t="s">
        <v>421</v>
      </c>
      <c r="AY40" s="58">
        <f>(1+7/$D$151)/((80+100)/2)</f>
        <v>1.5000000000000001E-2</v>
      </c>
      <c r="AZ40" s="58"/>
      <c r="BA40" s="58"/>
      <c r="BB40" s="57"/>
      <c r="BC40" s="58"/>
      <c r="BD40" s="57"/>
    </row>
    <row r="41" spans="1:62" x14ac:dyDescent="0.3">
      <c r="A41" s="38" t="s">
        <v>557</v>
      </c>
      <c r="B41" s="38" t="s">
        <v>538</v>
      </c>
      <c r="C41" s="38" t="s">
        <v>566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 t="s">
        <v>169</v>
      </c>
      <c r="AU41" s="58">
        <f>5.0625/$F$151</f>
        <v>2.1093750000000001E-2</v>
      </c>
      <c r="AV41" s="57"/>
      <c r="AW41" s="58"/>
      <c r="AX41" s="57"/>
    </row>
    <row r="42" spans="1:62" x14ac:dyDescent="0.3">
      <c r="A42" s="38" t="s">
        <v>558</v>
      </c>
      <c r="B42" s="38" t="s">
        <v>538</v>
      </c>
      <c r="C42" s="38" t="s">
        <v>566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 t="s">
        <v>169</v>
      </c>
      <c r="AU42" s="58">
        <f>5.125/$F$151</f>
        <v>2.1354166666666667E-2</v>
      </c>
      <c r="AV42" s="57"/>
      <c r="AW42" s="58"/>
      <c r="AX42" s="57"/>
    </row>
    <row r="43" spans="1:62" x14ac:dyDescent="0.3">
      <c r="A43" s="38" t="s">
        <v>559</v>
      </c>
      <c r="B43" s="38" t="s">
        <v>538</v>
      </c>
      <c r="C43" s="38" t="s">
        <v>566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 t="s">
        <v>169</v>
      </c>
      <c r="AU43" s="58">
        <f>5.25/$F$151</f>
        <v>2.1874999999999999E-2</v>
      </c>
      <c r="AV43" s="57"/>
      <c r="AW43" s="58"/>
      <c r="AX43" s="57"/>
    </row>
    <row r="44" spans="1:62" x14ac:dyDescent="0.3">
      <c r="A44" s="38" t="s">
        <v>560</v>
      </c>
      <c r="B44" s="38" t="s">
        <v>538</v>
      </c>
      <c r="C44" s="38" t="s">
        <v>566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57" t="s">
        <v>169</v>
      </c>
      <c r="AI44" s="58">
        <f>((10+17)/2)/$D$154/$D$75</f>
        <v>4.1175810339947487E-2</v>
      </c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 t="s">
        <v>169</v>
      </c>
      <c r="AU44" s="58">
        <f>5.5625/$F$151</f>
        <v>2.3177083333333334E-2</v>
      </c>
      <c r="AV44" s="57"/>
      <c r="AW44" s="58"/>
      <c r="AX44" s="57"/>
    </row>
    <row r="45" spans="1:62" x14ac:dyDescent="0.3">
      <c r="A45" s="38" t="s">
        <v>561</v>
      </c>
      <c r="B45" s="38" t="s">
        <v>538</v>
      </c>
      <c r="C45" s="38" t="s">
        <v>566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 t="s">
        <v>169</v>
      </c>
      <c r="AU45" s="58">
        <f>6/$F$151</f>
        <v>2.5000000000000001E-2</v>
      </c>
      <c r="AV45" s="57"/>
      <c r="AW45" s="58"/>
      <c r="AX45" s="57"/>
    </row>
    <row r="46" spans="1:62" x14ac:dyDescent="0.3">
      <c r="A46" s="38" t="s">
        <v>562</v>
      </c>
      <c r="B46" s="38" t="s">
        <v>538</v>
      </c>
      <c r="C46" s="38" t="s">
        <v>566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 t="s">
        <v>169</v>
      </c>
      <c r="AU46" s="58">
        <f>5.5625/$F$151</f>
        <v>2.3177083333333334E-2</v>
      </c>
      <c r="AV46" s="57"/>
      <c r="AW46" s="58"/>
      <c r="AX46" s="57"/>
    </row>
    <row r="47" spans="1:62" x14ac:dyDescent="0.3">
      <c r="A47" s="38" t="s">
        <v>464</v>
      </c>
      <c r="C47" s="38" t="s">
        <v>566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57" t="s">
        <v>169</v>
      </c>
      <c r="AC47" s="58">
        <f>((30+31)/2)/$D$75/$D$156</f>
        <v>9.7119999688779393E-2</v>
      </c>
      <c r="AD47" s="57" t="s">
        <v>169</v>
      </c>
      <c r="AE47" s="58">
        <f>12/$D$69</f>
        <v>0.10714285714285714</v>
      </c>
      <c r="AF47" s="57" t="s">
        <v>169</v>
      </c>
      <c r="AG47" s="58">
        <f>((12)/$D$154/$D$75)</f>
        <v>3.6600720302175545E-2</v>
      </c>
      <c r="AH47" s="57" t="s">
        <v>169</v>
      </c>
      <c r="AI47" s="58">
        <f>(((10+17)/2)/$D$154/$D$75)</f>
        <v>4.1175810339947487E-2</v>
      </c>
      <c r="AJ47" s="57"/>
    </row>
    <row r="48" spans="1:62" x14ac:dyDescent="0.3">
      <c r="A48" s="38" t="s">
        <v>465</v>
      </c>
      <c r="C48" s="38" t="s">
        <v>566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57" t="s">
        <v>169</v>
      </c>
      <c r="AC48" s="58">
        <f>((15+16)/2)/$D$75/$D$156</f>
        <v>4.9356065415609204E-2</v>
      </c>
      <c r="AD48" s="38"/>
      <c r="AE48" s="38"/>
      <c r="AF48" s="57" t="s">
        <v>169</v>
      </c>
      <c r="AG48" s="58">
        <f>((27/2)/$D$154/$D$75)</f>
        <v>4.1175810339947487E-2</v>
      </c>
      <c r="AH48" s="57" t="s">
        <v>169</v>
      </c>
      <c r="AI48" s="58">
        <f>(((22+24)/2)/$D$154/$D$75)</f>
        <v>7.0151380579169795E-2</v>
      </c>
      <c r="AJ48" s="57"/>
    </row>
    <row r="49" spans="1:103" x14ac:dyDescent="0.3">
      <c r="D49" s="62"/>
    </row>
    <row r="50" spans="1:103" s="63" customFormat="1" x14ac:dyDescent="0.3">
      <c r="A50" s="29" t="s">
        <v>99</v>
      </c>
      <c r="B50" s="47"/>
      <c r="E50" s="64"/>
      <c r="F50" s="30"/>
      <c r="G50" s="47"/>
      <c r="L50" s="30"/>
      <c r="O50" s="47"/>
      <c r="P50" s="47"/>
      <c r="R50" s="30"/>
      <c r="X50" s="30"/>
      <c r="AD50" s="30"/>
      <c r="AH50" s="30"/>
      <c r="AJ50" s="47"/>
      <c r="AM50" s="30"/>
      <c r="AR50" s="30"/>
      <c r="AV50" s="30"/>
      <c r="BB50" s="30"/>
      <c r="BD50" s="30"/>
      <c r="BG50" s="47"/>
      <c r="BJ50" s="30"/>
      <c r="BO50" s="30"/>
      <c r="BU50" s="30"/>
      <c r="BY50" s="30"/>
      <c r="CE50" s="30"/>
      <c r="CH50" s="30"/>
      <c r="CL50" s="30"/>
      <c r="CO50" s="30"/>
      <c r="CR50" s="30"/>
      <c r="CV50" s="30"/>
      <c r="CY50" s="30"/>
    </row>
    <row r="51" spans="1:103" s="47" customFormat="1" x14ac:dyDescent="0.3">
      <c r="A51" s="47" t="s">
        <v>55</v>
      </c>
      <c r="B51" s="47">
        <v>1</v>
      </c>
      <c r="C51" s="30" t="s">
        <v>26</v>
      </c>
      <c r="D51" s="65">
        <v>108</v>
      </c>
      <c r="E51" s="36" t="s">
        <v>100</v>
      </c>
      <c r="F51" s="48">
        <f>D51/F61</f>
        <v>4.8214285714285716E-2</v>
      </c>
      <c r="G51" s="31" t="s">
        <v>31</v>
      </c>
      <c r="H51" s="65"/>
      <c r="I51" s="30"/>
      <c r="J51" s="30"/>
      <c r="K51" s="30"/>
      <c r="M51" s="66"/>
      <c r="O51" s="30"/>
      <c r="P51" s="30"/>
      <c r="Q51" s="30"/>
      <c r="S51" s="65"/>
      <c r="T51" s="39"/>
      <c r="U51" s="30"/>
      <c r="V51" s="30"/>
      <c r="W51" s="30"/>
      <c r="X51" s="51"/>
      <c r="Z51" s="65"/>
      <c r="AA51" s="65"/>
      <c r="AB51" s="30"/>
      <c r="AC51" s="30"/>
      <c r="AF51" s="30"/>
      <c r="AG51" s="30"/>
      <c r="AI51" s="30"/>
      <c r="AJ51" s="65"/>
      <c r="AK51" s="30"/>
      <c r="AL51" s="30"/>
      <c r="AP51" s="30"/>
      <c r="AQ51" s="30"/>
      <c r="AS51" s="30"/>
      <c r="AT51" s="65"/>
      <c r="AU51" s="30"/>
      <c r="AW51" s="30"/>
      <c r="AY51" s="65"/>
      <c r="AZ51" s="30"/>
      <c r="BA51" s="30"/>
      <c r="BE51" s="30"/>
      <c r="BG51" s="65"/>
      <c r="BH51" s="30"/>
      <c r="BI51" s="30"/>
      <c r="BL51" s="30"/>
      <c r="BM51" s="65"/>
      <c r="BN51" s="30"/>
      <c r="BP51" s="30"/>
      <c r="BR51" s="65"/>
      <c r="BS51" s="30"/>
      <c r="BT51" s="30"/>
      <c r="BW51" s="30"/>
      <c r="BX51" s="30"/>
      <c r="BZ51" s="30"/>
      <c r="CA51" s="65"/>
      <c r="CC51" s="30"/>
      <c r="CD51" s="30"/>
      <c r="CF51" s="65"/>
      <c r="CG51" s="30"/>
      <c r="CK51" s="30"/>
      <c r="CN51" s="30"/>
      <c r="CQ51" s="30"/>
      <c r="CU51" s="30"/>
      <c r="CX51" s="30"/>
    </row>
    <row r="52" spans="1:103" s="47" customFormat="1" x14ac:dyDescent="0.3">
      <c r="A52" s="47" t="s">
        <v>55</v>
      </c>
      <c r="B52" s="47">
        <v>1</v>
      </c>
      <c r="C52" s="30" t="s">
        <v>101</v>
      </c>
      <c r="D52" s="65">
        <v>32.5</v>
      </c>
      <c r="E52" s="36" t="s">
        <v>100</v>
      </c>
      <c r="H52" s="65"/>
      <c r="I52" s="30"/>
      <c r="J52" s="30"/>
      <c r="K52" s="30"/>
      <c r="O52" s="30"/>
      <c r="P52" s="30"/>
      <c r="Q52" s="30"/>
      <c r="R52" s="63"/>
      <c r="S52" s="65"/>
      <c r="U52" s="30"/>
      <c r="V52" s="30"/>
      <c r="W52" s="30"/>
      <c r="X52" s="51"/>
      <c r="Z52" s="65"/>
      <c r="AA52" s="65"/>
      <c r="AB52" s="30"/>
      <c r="AC52" s="30"/>
      <c r="AF52" s="30"/>
      <c r="AG52" s="30"/>
      <c r="AI52" s="30"/>
      <c r="AJ52" s="65"/>
      <c r="AK52" s="30"/>
      <c r="AL52" s="30"/>
      <c r="AP52" s="30"/>
      <c r="AQ52" s="30"/>
      <c r="AS52" s="30"/>
      <c r="AT52" s="65"/>
      <c r="AU52" s="30"/>
      <c r="AW52" s="30"/>
      <c r="AY52" s="65"/>
      <c r="AZ52" s="30"/>
      <c r="BA52" s="30"/>
      <c r="BE52" s="30"/>
      <c r="BG52" s="65"/>
      <c r="BH52" s="30"/>
      <c r="BI52" s="30"/>
      <c r="BL52" s="30"/>
      <c r="BM52" s="65"/>
      <c r="BN52" s="30"/>
      <c r="BP52" s="30"/>
      <c r="BR52" s="65"/>
      <c r="BS52" s="30"/>
      <c r="BT52" s="30"/>
      <c r="BW52" s="30"/>
      <c r="BX52" s="30"/>
      <c r="BZ52" s="30"/>
      <c r="CA52" s="65"/>
      <c r="CC52" s="30"/>
      <c r="CD52" s="30"/>
      <c r="CF52" s="65"/>
      <c r="CG52" s="30"/>
      <c r="CK52" s="30"/>
      <c r="CN52" s="30"/>
      <c r="CQ52" s="30"/>
      <c r="CU52" s="30"/>
      <c r="CX52" s="30"/>
    </row>
    <row r="53" spans="1:103" s="63" customFormat="1" x14ac:dyDescent="0.3">
      <c r="A53" s="47"/>
      <c r="B53" s="47">
        <v>1</v>
      </c>
      <c r="C53" s="30" t="s">
        <v>102</v>
      </c>
      <c r="D53" s="65">
        <v>6.5</v>
      </c>
      <c r="E53" s="37" t="s">
        <v>100</v>
      </c>
      <c r="F53" s="47"/>
      <c r="G53" s="30"/>
      <c r="H53" s="65"/>
      <c r="I53" s="30"/>
      <c r="J53" s="30"/>
      <c r="K53" s="31"/>
      <c r="L53" s="30"/>
      <c r="M53" s="65"/>
      <c r="N53" s="30"/>
      <c r="O53" s="30"/>
      <c r="P53" s="30"/>
      <c r="Q53" s="31"/>
      <c r="S53" s="65"/>
      <c r="U53" s="30"/>
      <c r="V53" s="30"/>
      <c r="W53" s="31"/>
      <c r="Z53" s="65"/>
      <c r="AA53" s="65"/>
      <c r="AB53" s="31"/>
      <c r="AC53" s="30"/>
      <c r="AE53" s="51"/>
      <c r="AF53" s="31"/>
      <c r="AG53" s="30"/>
      <c r="AI53" s="31"/>
      <c r="AJ53" s="65"/>
      <c r="AK53" s="30"/>
      <c r="AL53" s="31"/>
      <c r="AP53" s="31"/>
      <c r="AQ53" s="30"/>
      <c r="AS53" s="31"/>
      <c r="AT53" s="65"/>
      <c r="AU53" s="30"/>
      <c r="AW53" s="31"/>
      <c r="AY53" s="65"/>
      <c r="AZ53" s="30"/>
      <c r="BA53" s="31"/>
      <c r="BE53" s="31"/>
      <c r="BG53" s="65"/>
      <c r="BH53" s="30"/>
      <c r="BI53" s="31"/>
      <c r="BL53" s="31"/>
      <c r="BM53" s="65"/>
      <c r="BN53" s="30"/>
      <c r="BP53" s="31"/>
      <c r="BR53" s="65"/>
      <c r="BS53" s="31"/>
      <c r="BT53" s="30"/>
      <c r="BW53" s="31"/>
      <c r="BX53" s="30"/>
      <c r="BZ53" s="31"/>
      <c r="CA53" s="65"/>
      <c r="CC53" s="31"/>
      <c r="CD53" s="30"/>
      <c r="CF53" s="65"/>
      <c r="CG53" s="30"/>
      <c r="CK53" s="30"/>
      <c r="CN53" s="30"/>
      <c r="CQ53" s="30"/>
      <c r="CU53" s="30"/>
      <c r="CX53" s="30"/>
    </row>
    <row r="54" spans="1:103" s="63" customFormat="1" x14ac:dyDescent="0.3">
      <c r="A54" s="47"/>
      <c r="B54" s="47">
        <v>1</v>
      </c>
      <c r="C54" s="30" t="s">
        <v>17</v>
      </c>
      <c r="D54" s="65">
        <v>112</v>
      </c>
      <c r="E54" s="36" t="s">
        <v>56</v>
      </c>
      <c r="F54" s="47"/>
      <c r="G54" s="30"/>
      <c r="H54" s="65"/>
      <c r="I54" s="30"/>
      <c r="J54" s="30"/>
      <c r="K54" s="30"/>
      <c r="L54" s="30"/>
      <c r="M54" s="65"/>
      <c r="N54" s="30"/>
      <c r="O54" s="30"/>
      <c r="P54" s="30"/>
      <c r="Q54" s="30"/>
      <c r="S54" s="65"/>
      <c r="U54" s="30"/>
      <c r="V54" s="30"/>
      <c r="W54" s="30"/>
      <c r="Z54" s="65"/>
      <c r="AA54" s="65"/>
      <c r="AB54" s="30"/>
      <c r="AC54" s="30"/>
      <c r="AE54" s="51"/>
      <c r="AF54" s="30"/>
      <c r="AG54" s="30"/>
      <c r="AI54" s="30"/>
      <c r="AJ54" s="65"/>
      <c r="AK54" s="30"/>
      <c r="AL54" s="30"/>
      <c r="AP54" s="30"/>
      <c r="AQ54" s="30"/>
      <c r="AS54" s="30"/>
      <c r="AT54" s="65"/>
      <c r="AU54" s="30"/>
      <c r="AW54" s="30"/>
      <c r="AY54" s="65"/>
      <c r="AZ54" s="30"/>
      <c r="BA54" s="30"/>
      <c r="BE54" s="30"/>
      <c r="BG54" s="65"/>
      <c r="BH54" s="30"/>
      <c r="BI54" s="30"/>
      <c r="BL54" s="30"/>
      <c r="BM54" s="65"/>
      <c r="BN54" s="30"/>
      <c r="BP54" s="30"/>
      <c r="BR54" s="65"/>
      <c r="BS54" s="30"/>
      <c r="BT54" s="30"/>
      <c r="BW54" s="30"/>
      <c r="BX54" s="30"/>
      <c r="BZ54" s="30"/>
      <c r="CA54" s="65"/>
      <c r="CC54" s="30"/>
      <c r="CD54" s="30"/>
      <c r="CF54" s="65"/>
      <c r="CG54" s="30"/>
      <c r="CK54" s="30"/>
      <c r="CN54" s="30"/>
      <c r="CQ54" s="30"/>
      <c r="CU54" s="30"/>
      <c r="CX54" s="30"/>
    </row>
    <row r="55" spans="1:103" s="63" customFormat="1" x14ac:dyDescent="0.3">
      <c r="A55" s="47"/>
      <c r="B55" s="47">
        <v>1</v>
      </c>
      <c r="C55" s="30" t="s">
        <v>17</v>
      </c>
      <c r="D55" s="65">
        <f>D54/D53</f>
        <v>17.23076923076923</v>
      </c>
      <c r="E55" s="36" t="s">
        <v>102</v>
      </c>
      <c r="F55" s="47"/>
      <c r="G55" s="65"/>
      <c r="H55" s="65"/>
      <c r="I55" s="30"/>
      <c r="J55" s="30"/>
      <c r="K55" s="30"/>
      <c r="L55" s="65"/>
      <c r="N55" s="65"/>
      <c r="O55" s="30"/>
      <c r="P55" s="30"/>
      <c r="Q55" s="30"/>
      <c r="S55" s="65"/>
      <c r="T55" s="65"/>
      <c r="U55" s="30"/>
      <c r="V55" s="30"/>
      <c r="W55" s="30"/>
      <c r="Z55" s="65"/>
      <c r="AA55" s="65"/>
      <c r="AB55" s="30"/>
      <c r="AC55" s="30"/>
      <c r="AD55" s="51"/>
      <c r="AE55" s="47"/>
      <c r="AF55" s="30"/>
      <c r="AG55" s="30"/>
      <c r="AI55" s="30"/>
      <c r="AJ55" s="65"/>
      <c r="AK55" s="30"/>
      <c r="AL55" s="30"/>
      <c r="AP55" s="30"/>
      <c r="AQ55" s="30"/>
      <c r="AS55" s="30"/>
      <c r="AT55" s="65"/>
      <c r="AU55" s="30"/>
      <c r="AW55" s="30"/>
      <c r="AY55" s="65"/>
      <c r="AZ55" s="30"/>
      <c r="BA55" s="30"/>
      <c r="BC55" s="51"/>
      <c r="BE55" s="30"/>
      <c r="BG55" s="65"/>
      <c r="BH55" s="30"/>
      <c r="BI55" s="30"/>
      <c r="BL55" s="30"/>
      <c r="BM55" s="65"/>
      <c r="BN55" s="30"/>
      <c r="BP55" s="30"/>
      <c r="BR55" s="65"/>
      <c r="BS55" s="30"/>
      <c r="BT55" s="30"/>
      <c r="BW55" s="30"/>
      <c r="BX55" s="30"/>
      <c r="BZ55" s="30"/>
      <c r="CA55" s="65"/>
      <c r="CC55" s="30"/>
      <c r="CD55" s="30"/>
      <c r="CF55" s="65"/>
      <c r="CG55" s="30"/>
      <c r="CK55" s="30"/>
      <c r="CN55" s="30"/>
      <c r="CQ55" s="30"/>
      <c r="CU55" s="30"/>
      <c r="CX55" s="30"/>
    </row>
    <row r="56" spans="1:103" s="47" customFormat="1" ht="15" customHeight="1" x14ac:dyDescent="0.3">
      <c r="B56" s="109">
        <v>1</v>
      </c>
      <c r="C56" s="110" t="s">
        <v>103</v>
      </c>
      <c r="D56" s="111">
        <v>130</v>
      </c>
      <c r="E56" s="114" t="s">
        <v>100</v>
      </c>
      <c r="F56" s="32"/>
      <c r="G56" s="63"/>
      <c r="H56" s="67"/>
      <c r="I56" s="30"/>
      <c r="J56" s="30"/>
      <c r="K56" s="45"/>
      <c r="L56" s="63"/>
      <c r="M56" s="63"/>
      <c r="N56" s="63"/>
      <c r="O56" s="30"/>
      <c r="P56" s="30"/>
      <c r="Q56" s="45"/>
      <c r="R56" s="63"/>
      <c r="S56" s="67"/>
      <c r="T56" s="63"/>
      <c r="U56" s="30"/>
      <c r="V56" s="30"/>
      <c r="W56" s="45"/>
      <c r="X56" s="63"/>
      <c r="Y56" s="63"/>
      <c r="Z56" s="67"/>
      <c r="AA56" s="67"/>
      <c r="AB56" s="45"/>
      <c r="AC56" s="30"/>
      <c r="AD56" s="63"/>
      <c r="AF56" s="45"/>
      <c r="AG56" s="30"/>
      <c r="AI56" s="45"/>
      <c r="AJ56" s="67"/>
      <c r="AK56" s="30"/>
      <c r="AL56" s="45"/>
      <c r="AP56" s="45"/>
      <c r="AQ56" s="30"/>
      <c r="AS56" s="45"/>
      <c r="AT56" s="67"/>
      <c r="AU56" s="30"/>
      <c r="AW56" s="45"/>
      <c r="AY56" s="67"/>
      <c r="AZ56" s="30"/>
      <c r="BA56" s="45"/>
      <c r="BE56" s="45"/>
      <c r="BG56" s="67"/>
      <c r="BH56" s="30"/>
      <c r="BI56" s="45"/>
      <c r="BL56" s="45"/>
      <c r="BM56" s="67"/>
      <c r="BN56" s="30"/>
      <c r="BP56" s="45"/>
      <c r="BR56" s="67"/>
      <c r="BS56" s="45"/>
      <c r="BT56" s="30"/>
      <c r="BW56" s="45"/>
      <c r="BX56" s="30"/>
      <c r="BZ56" s="45"/>
      <c r="CA56" s="67"/>
      <c r="CC56" s="45"/>
      <c r="CD56" s="30"/>
      <c r="CF56" s="67"/>
      <c r="CG56" s="30"/>
      <c r="CK56" s="30"/>
      <c r="CN56" s="30"/>
      <c r="CQ56" s="30"/>
      <c r="CU56" s="30"/>
      <c r="CX56" s="30"/>
    </row>
    <row r="57" spans="1:103" s="47" customFormat="1" ht="28.8" customHeight="1" x14ac:dyDescent="0.3">
      <c r="B57" s="109"/>
      <c r="C57" s="110"/>
      <c r="D57" s="111"/>
      <c r="E57" s="114"/>
      <c r="H57" s="67"/>
      <c r="I57" s="63"/>
      <c r="J57" s="63"/>
      <c r="K57" s="45"/>
      <c r="O57" s="63"/>
      <c r="P57" s="63"/>
      <c r="Q57" s="45"/>
      <c r="S57" s="67"/>
      <c r="U57" s="63"/>
      <c r="V57" s="63"/>
      <c r="W57" s="45"/>
      <c r="Z57" s="67"/>
      <c r="AA57" s="67"/>
      <c r="AB57" s="45"/>
      <c r="AC57" s="63"/>
      <c r="AF57" s="45"/>
      <c r="AG57" s="63"/>
      <c r="AI57" s="45"/>
      <c r="AJ57" s="67"/>
      <c r="AK57" s="63"/>
      <c r="AL57" s="45"/>
      <c r="AP57" s="45"/>
      <c r="AQ57" s="63"/>
      <c r="AS57" s="45"/>
      <c r="AT57" s="67"/>
      <c r="AU57" s="63"/>
      <c r="AW57" s="45"/>
      <c r="AY57" s="67"/>
      <c r="AZ57" s="63"/>
      <c r="BA57" s="45"/>
      <c r="BE57" s="45"/>
      <c r="BG57" s="67"/>
      <c r="BH57" s="63"/>
      <c r="BI57" s="45"/>
      <c r="BL57" s="45"/>
      <c r="BM57" s="67"/>
      <c r="BN57" s="63"/>
      <c r="BP57" s="45"/>
      <c r="BR57" s="67"/>
      <c r="BS57" s="45"/>
      <c r="BT57" s="63"/>
      <c r="BW57" s="45"/>
      <c r="BX57" s="63"/>
      <c r="BZ57" s="45"/>
      <c r="CA57" s="67"/>
      <c r="CC57" s="45"/>
      <c r="CD57" s="63"/>
      <c r="CF57" s="67"/>
      <c r="CG57" s="63"/>
      <c r="CK57" s="63"/>
      <c r="CN57" s="63"/>
      <c r="CQ57" s="63"/>
      <c r="CU57" s="63"/>
      <c r="CX57" s="63"/>
    </row>
    <row r="58" spans="1:103" s="47" customFormat="1" x14ac:dyDescent="0.3">
      <c r="B58" s="68">
        <v>1</v>
      </c>
      <c r="C58" s="30" t="s">
        <v>104</v>
      </c>
      <c r="D58" s="65">
        <v>260</v>
      </c>
      <c r="E58" s="36" t="s">
        <v>100</v>
      </c>
      <c r="H58" s="65"/>
      <c r="I58" s="30"/>
      <c r="J58" s="30"/>
      <c r="K58" s="30"/>
      <c r="O58" s="30"/>
      <c r="P58" s="30"/>
      <c r="Q58" s="30"/>
      <c r="S58" s="65"/>
      <c r="U58" s="30"/>
      <c r="V58" s="30"/>
      <c r="W58" s="30"/>
      <c r="Z58" s="65"/>
      <c r="AA58" s="65"/>
      <c r="AB58" s="30"/>
      <c r="AC58" s="30"/>
      <c r="AF58" s="30"/>
      <c r="AG58" s="30"/>
      <c r="AI58" s="30"/>
      <c r="AJ58" s="65"/>
      <c r="AK58" s="30"/>
      <c r="AL58" s="30"/>
      <c r="AP58" s="30"/>
      <c r="AQ58" s="30"/>
      <c r="AS58" s="30"/>
      <c r="AT58" s="65"/>
      <c r="AU58" s="30"/>
      <c r="AW58" s="30"/>
      <c r="AY58" s="65"/>
      <c r="AZ58" s="30"/>
      <c r="BA58" s="30"/>
      <c r="BE58" s="30"/>
      <c r="BG58" s="65"/>
      <c r="BH58" s="30"/>
      <c r="BI58" s="30"/>
      <c r="BL58" s="30"/>
      <c r="BM58" s="65"/>
      <c r="BN58" s="30"/>
      <c r="BP58" s="30"/>
      <c r="BR58" s="65"/>
      <c r="BS58" s="30"/>
      <c r="BT58" s="30"/>
      <c r="BW58" s="30"/>
      <c r="BX58" s="30"/>
      <c r="BZ58" s="30"/>
      <c r="CA58" s="65"/>
      <c r="CC58" s="30"/>
      <c r="CD58" s="30"/>
      <c r="CF58" s="65"/>
      <c r="CG58" s="30"/>
      <c r="CK58" s="30"/>
      <c r="CN58" s="30"/>
      <c r="CQ58" s="30"/>
      <c r="CU58" s="30"/>
      <c r="CX58" s="30"/>
    </row>
    <row r="59" spans="1:103" s="47" customFormat="1" x14ac:dyDescent="0.3">
      <c r="B59" s="68">
        <v>1</v>
      </c>
      <c r="C59" s="30" t="s">
        <v>659</v>
      </c>
      <c r="D59" s="65">
        <f>D56/D54</f>
        <v>1.1607142857142858</v>
      </c>
      <c r="E59" s="36" t="s">
        <v>105</v>
      </c>
      <c r="H59" s="65"/>
      <c r="I59" s="30"/>
      <c r="J59" s="30"/>
      <c r="K59" s="30"/>
      <c r="O59" s="30"/>
      <c r="P59" s="30"/>
      <c r="Q59" s="30"/>
      <c r="S59" s="65"/>
      <c r="U59" s="30"/>
      <c r="V59" s="30"/>
      <c r="W59" s="30"/>
      <c r="Z59" s="65"/>
      <c r="AA59" s="65"/>
      <c r="AB59" s="30"/>
      <c r="AC59" s="30"/>
      <c r="AF59" s="30"/>
      <c r="AG59" s="30"/>
      <c r="AI59" s="30"/>
      <c r="AJ59" s="65"/>
      <c r="AK59" s="30"/>
      <c r="AL59" s="30"/>
      <c r="AP59" s="30"/>
      <c r="AQ59" s="30"/>
      <c r="AS59" s="30"/>
      <c r="AT59" s="65"/>
      <c r="AU59" s="30"/>
      <c r="AW59" s="30"/>
      <c r="AY59" s="65"/>
      <c r="AZ59" s="30"/>
      <c r="BA59" s="30"/>
      <c r="BE59" s="30"/>
      <c r="BG59" s="65"/>
      <c r="BH59" s="30"/>
      <c r="BI59" s="30"/>
      <c r="BL59" s="30"/>
      <c r="BM59" s="65"/>
      <c r="BN59" s="30"/>
      <c r="BP59" s="30"/>
      <c r="BR59" s="65"/>
      <c r="BS59" s="30"/>
      <c r="BT59" s="30"/>
      <c r="BW59" s="30"/>
      <c r="BX59" s="30"/>
      <c r="BZ59" s="30"/>
      <c r="CA59" s="65"/>
      <c r="CC59" s="30"/>
      <c r="CD59" s="30"/>
      <c r="CF59" s="65"/>
      <c r="CG59" s="30"/>
      <c r="CK59" s="30"/>
      <c r="CN59" s="30"/>
      <c r="CQ59" s="30"/>
      <c r="CU59" s="30"/>
      <c r="CX59" s="30"/>
    </row>
    <row r="60" spans="1:103" s="47" customFormat="1" x14ac:dyDescent="0.3">
      <c r="B60" s="68">
        <v>1</v>
      </c>
      <c r="C60" s="30" t="s">
        <v>104</v>
      </c>
      <c r="D60" s="65">
        <f>D58/D54</f>
        <v>2.3214285714285716</v>
      </c>
      <c r="E60" s="36" t="s">
        <v>105</v>
      </c>
      <c r="H60" s="65"/>
      <c r="I60" s="30"/>
      <c r="J60" s="30"/>
      <c r="K60" s="30"/>
      <c r="O60" s="30"/>
      <c r="P60" s="30"/>
      <c r="Q60" s="30"/>
      <c r="S60" s="65"/>
      <c r="U60" s="30"/>
      <c r="V60" s="30"/>
      <c r="W60" s="30"/>
      <c r="Z60" s="65"/>
      <c r="AA60" s="65"/>
      <c r="AB60" s="30"/>
      <c r="AC60" s="30"/>
      <c r="AF60" s="30"/>
      <c r="AG60" s="30"/>
      <c r="AI60" s="30"/>
      <c r="AJ60" s="65"/>
      <c r="AK60" s="30"/>
      <c r="AL60" s="30"/>
      <c r="AP60" s="30"/>
      <c r="AQ60" s="30"/>
      <c r="AS60" s="30"/>
      <c r="AT60" s="65"/>
      <c r="AU60" s="30"/>
      <c r="AW60" s="30"/>
      <c r="AY60" s="65"/>
      <c r="AZ60" s="30"/>
      <c r="BA60" s="30"/>
      <c r="BE60" s="30"/>
      <c r="BG60" s="65"/>
      <c r="BH60" s="30"/>
      <c r="BI60" s="30"/>
      <c r="BL60" s="30"/>
      <c r="BM60" s="65"/>
      <c r="BN60" s="30"/>
      <c r="BP60" s="30"/>
      <c r="BR60" s="65"/>
      <c r="BS60" s="30"/>
      <c r="BT60" s="30"/>
      <c r="BW60" s="30"/>
      <c r="BX60" s="30"/>
      <c r="BZ60" s="30"/>
      <c r="CA60" s="65"/>
      <c r="CC60" s="30"/>
      <c r="CD60" s="30"/>
      <c r="CF60" s="65"/>
      <c r="CG60" s="30"/>
      <c r="CK60" s="30"/>
      <c r="CN60" s="30"/>
      <c r="CQ60" s="30"/>
      <c r="CU60" s="30"/>
      <c r="CX60" s="30"/>
    </row>
    <row r="61" spans="1:103" s="63" customFormat="1" x14ac:dyDescent="0.3">
      <c r="A61" s="47"/>
      <c r="B61" s="68">
        <v>1</v>
      </c>
      <c r="C61" s="30" t="s">
        <v>106</v>
      </c>
      <c r="D61" s="65">
        <v>20</v>
      </c>
      <c r="E61" s="36" t="s">
        <v>105</v>
      </c>
      <c r="F61" s="48">
        <f>D61*D54</f>
        <v>2240</v>
      </c>
      <c r="G61" s="30" t="s">
        <v>100</v>
      </c>
      <c r="H61" s="48">
        <f>F61/D63</f>
        <v>420</v>
      </c>
      <c r="I61" s="33" t="s">
        <v>107</v>
      </c>
      <c r="J61" s="48">
        <f>F61/D62</f>
        <v>1016.048117135833</v>
      </c>
      <c r="K61" s="30" t="s">
        <v>661</v>
      </c>
      <c r="L61" s="45"/>
      <c r="O61" s="30"/>
      <c r="R61" s="45"/>
      <c r="U61" s="30"/>
      <c r="X61" s="45"/>
      <c r="Y61" s="45"/>
      <c r="Z61" s="30"/>
      <c r="AB61" s="47"/>
      <c r="AC61" s="45"/>
      <c r="AD61" s="30"/>
      <c r="AG61" s="30"/>
      <c r="AH61" s="45"/>
      <c r="AI61" s="51"/>
      <c r="AJ61" s="30"/>
      <c r="AK61" s="51"/>
      <c r="AM61" s="45"/>
      <c r="AN61" s="30"/>
      <c r="AQ61" s="30"/>
      <c r="AR61" s="45"/>
      <c r="AU61" s="30"/>
      <c r="AW61" s="45"/>
      <c r="AY61" s="30"/>
      <c r="BC61" s="30"/>
      <c r="BE61" s="45"/>
      <c r="BF61" s="51"/>
      <c r="BG61" s="30"/>
      <c r="BJ61" s="30"/>
      <c r="BK61" s="45"/>
      <c r="BN61" s="30"/>
      <c r="BP61" s="45"/>
      <c r="BQ61" s="30"/>
      <c r="BT61" s="45"/>
      <c r="BU61" s="30"/>
      <c r="BX61" s="30"/>
      <c r="BZ61" s="45"/>
      <c r="CA61" s="30"/>
      <c r="CD61" s="45"/>
      <c r="CH61" s="45"/>
      <c r="CK61" s="45"/>
      <c r="CN61" s="45"/>
      <c r="CR61" s="45"/>
      <c r="CU61" s="45"/>
    </row>
    <row r="62" spans="1:103" s="63" customFormat="1" x14ac:dyDescent="0.3">
      <c r="A62" s="47"/>
      <c r="B62" s="68">
        <v>1</v>
      </c>
      <c r="C62" s="30" t="s">
        <v>661</v>
      </c>
      <c r="D62" s="65">
        <v>2.2046199999999998</v>
      </c>
      <c r="E62" s="36" t="s">
        <v>100</v>
      </c>
      <c r="F62" s="48">
        <f>D62/D54</f>
        <v>1.9684107142857142E-2</v>
      </c>
      <c r="G62" s="33" t="s">
        <v>105</v>
      </c>
      <c r="I62" s="51"/>
      <c r="J62" s="51"/>
      <c r="L62" s="45"/>
      <c r="O62" s="30"/>
      <c r="R62" s="45"/>
      <c r="U62" s="30"/>
      <c r="X62" s="45"/>
      <c r="Y62" s="45"/>
      <c r="Z62" s="30"/>
      <c r="AB62" s="47"/>
      <c r="AC62" s="45"/>
      <c r="AD62" s="30"/>
      <c r="AG62" s="30"/>
      <c r="AH62" s="45"/>
      <c r="AI62" s="51"/>
      <c r="AJ62" s="30"/>
      <c r="AK62" s="51"/>
      <c r="AM62" s="45"/>
      <c r="AN62" s="30"/>
      <c r="AQ62" s="30"/>
      <c r="AR62" s="45"/>
      <c r="AU62" s="30"/>
      <c r="AW62" s="45"/>
      <c r="AY62" s="30"/>
      <c r="BC62" s="30"/>
      <c r="BE62" s="45"/>
      <c r="BF62" s="51"/>
      <c r="BG62" s="30"/>
      <c r="BJ62" s="30"/>
      <c r="BK62" s="45"/>
      <c r="BN62" s="30"/>
      <c r="BP62" s="45"/>
      <c r="BQ62" s="30"/>
      <c r="BT62" s="45"/>
      <c r="BU62" s="30"/>
      <c r="BX62" s="30"/>
      <c r="BZ62" s="45"/>
      <c r="CA62" s="30"/>
      <c r="CD62" s="45"/>
      <c r="CH62" s="45"/>
      <c r="CK62" s="45"/>
      <c r="CN62" s="45"/>
      <c r="CR62" s="45"/>
      <c r="CU62" s="45"/>
    </row>
    <row r="63" spans="1:103" s="63" customFormat="1" x14ac:dyDescent="0.3">
      <c r="A63" s="47"/>
      <c r="B63" s="68">
        <v>1</v>
      </c>
      <c r="C63" s="30" t="s">
        <v>109</v>
      </c>
      <c r="D63" s="65">
        <f>16/3</f>
        <v>5.333333333333333</v>
      </c>
      <c r="E63" s="36" t="s">
        <v>100</v>
      </c>
      <c r="F63" s="48">
        <f>D63/D54</f>
        <v>4.7619047619047616E-2</v>
      </c>
      <c r="G63" s="33" t="s">
        <v>105</v>
      </c>
      <c r="I63" s="51"/>
      <c r="J63" s="51"/>
      <c r="L63" s="30"/>
      <c r="O63" s="30"/>
      <c r="R63" s="30"/>
      <c r="U63" s="30"/>
      <c r="X63" s="30"/>
      <c r="Y63" s="30"/>
      <c r="Z63" s="30"/>
      <c r="AB63" s="47"/>
      <c r="AC63" s="30"/>
      <c r="AD63" s="30"/>
      <c r="AG63" s="30"/>
      <c r="AH63" s="30"/>
      <c r="AI63" s="51"/>
      <c r="AJ63" s="30"/>
      <c r="AK63" s="51"/>
      <c r="AM63" s="30"/>
      <c r="AN63" s="30"/>
      <c r="AQ63" s="30"/>
      <c r="AR63" s="30"/>
      <c r="AU63" s="30"/>
      <c r="AW63" s="30"/>
      <c r="AY63" s="30"/>
      <c r="BC63" s="30"/>
      <c r="BE63" s="30"/>
      <c r="BF63" s="51"/>
      <c r="BG63" s="30"/>
      <c r="BJ63" s="30"/>
      <c r="BK63" s="30"/>
      <c r="BN63" s="30"/>
      <c r="BP63" s="30"/>
      <c r="BQ63" s="30"/>
      <c r="BT63" s="30"/>
      <c r="BU63" s="30"/>
      <c r="BX63" s="30"/>
      <c r="BZ63" s="30"/>
      <c r="CA63" s="30"/>
      <c r="CD63" s="30"/>
      <c r="CH63" s="30"/>
      <c r="CK63" s="30"/>
      <c r="CN63" s="30"/>
      <c r="CR63" s="30"/>
      <c r="CU63" s="30"/>
    </row>
    <row r="64" spans="1:103" s="63" customFormat="1" x14ac:dyDescent="0.3">
      <c r="A64" s="47"/>
      <c r="B64" s="68">
        <v>1</v>
      </c>
      <c r="C64" s="30" t="s">
        <v>22</v>
      </c>
      <c r="D64" s="65">
        <v>100</v>
      </c>
      <c r="E64" s="36" t="s">
        <v>109</v>
      </c>
      <c r="F64" s="48">
        <f>D64*F63</f>
        <v>4.7619047619047619</v>
      </c>
      <c r="G64" s="33" t="s">
        <v>105</v>
      </c>
      <c r="H64" s="65">
        <f>F64/D61</f>
        <v>0.23809523809523808</v>
      </c>
      <c r="I64" s="33" t="s">
        <v>31</v>
      </c>
      <c r="J64" s="51"/>
      <c r="L64" s="30"/>
      <c r="O64" s="30"/>
      <c r="R64" s="30"/>
      <c r="U64" s="30"/>
      <c r="X64" s="30"/>
      <c r="Y64" s="30"/>
      <c r="Z64" s="30"/>
      <c r="AB64" s="47"/>
      <c r="AC64" s="30"/>
      <c r="AD64" s="30"/>
      <c r="AG64" s="30"/>
      <c r="AH64" s="30"/>
      <c r="AI64" s="51"/>
      <c r="AJ64" s="30"/>
      <c r="AK64" s="51"/>
      <c r="AM64" s="30"/>
      <c r="AN64" s="30"/>
      <c r="AQ64" s="30"/>
      <c r="AR64" s="30"/>
      <c r="AU64" s="30"/>
      <c r="AW64" s="30"/>
      <c r="AY64" s="30"/>
      <c r="BC64" s="30"/>
      <c r="BE64" s="30"/>
      <c r="BF64" s="51"/>
      <c r="BG64" s="30"/>
      <c r="BJ64" s="30"/>
      <c r="BK64" s="30"/>
      <c r="BN64" s="30"/>
      <c r="BP64" s="30"/>
      <c r="BQ64" s="30"/>
      <c r="BT64" s="30"/>
      <c r="BU64" s="30"/>
      <c r="BX64" s="30"/>
      <c r="BZ64" s="30"/>
      <c r="CA64" s="30"/>
      <c r="CD64" s="30"/>
      <c r="CH64" s="30"/>
      <c r="CK64" s="30"/>
      <c r="CN64" s="30"/>
      <c r="CR64" s="30"/>
      <c r="CU64" s="30"/>
    </row>
    <row r="65" spans="1:102" s="63" customFormat="1" x14ac:dyDescent="0.3">
      <c r="A65" s="47"/>
      <c r="B65" s="68">
        <v>1</v>
      </c>
      <c r="C65" s="30" t="s">
        <v>16</v>
      </c>
      <c r="D65" s="65">
        <f>D54/D63</f>
        <v>21</v>
      </c>
      <c r="E65" s="36" t="s">
        <v>109</v>
      </c>
      <c r="F65" s="48"/>
      <c r="G65" s="33"/>
      <c r="I65" s="30"/>
      <c r="J65" s="51"/>
      <c r="K65" s="30"/>
      <c r="L65" s="51"/>
      <c r="N65" s="30"/>
      <c r="Q65" s="30"/>
      <c r="T65" s="30"/>
      <c r="W65" s="30"/>
      <c r="Z65" s="30"/>
      <c r="AA65" s="30"/>
      <c r="AB65" s="30"/>
      <c r="AD65" s="47"/>
      <c r="AE65" s="30"/>
      <c r="AF65" s="30"/>
      <c r="AI65" s="30"/>
      <c r="AJ65" s="30"/>
      <c r="AK65" s="51"/>
      <c r="AL65" s="30"/>
      <c r="AM65" s="51"/>
      <c r="AO65" s="30"/>
      <c r="AP65" s="30"/>
      <c r="AS65" s="30"/>
      <c r="AT65" s="30"/>
      <c r="AW65" s="30"/>
      <c r="AY65" s="30"/>
      <c r="BA65" s="30"/>
      <c r="BE65" s="30"/>
      <c r="BG65" s="30"/>
      <c r="BH65" s="51"/>
      <c r="BI65" s="30"/>
      <c r="BL65" s="30"/>
      <c r="BM65" s="30"/>
      <c r="BP65" s="30"/>
      <c r="BR65" s="30"/>
      <c r="BS65" s="30"/>
      <c r="BV65" s="30"/>
      <c r="BW65" s="30"/>
      <c r="BZ65" s="30"/>
      <c r="CB65" s="30"/>
      <c r="CC65" s="30"/>
      <c r="CF65" s="30"/>
      <c r="CJ65" s="30"/>
      <c r="CM65" s="30"/>
      <c r="CP65" s="30"/>
      <c r="CT65" s="30"/>
      <c r="CW65" s="30"/>
    </row>
    <row r="66" spans="1:102" s="63" customFormat="1" x14ac:dyDescent="0.3">
      <c r="A66" s="47"/>
      <c r="B66" s="68">
        <v>1</v>
      </c>
      <c r="C66" s="30" t="s">
        <v>192</v>
      </c>
      <c r="D66" s="65">
        <v>0.25</v>
      </c>
      <c r="E66" s="36" t="s">
        <v>106</v>
      </c>
      <c r="F66" s="48">
        <f>D66*F61</f>
        <v>560</v>
      </c>
      <c r="G66" s="30" t="s">
        <v>100</v>
      </c>
      <c r="H66" s="51"/>
      <c r="I66" s="47"/>
      <c r="J66" s="47"/>
      <c r="M66" s="51"/>
      <c r="N66" s="51"/>
      <c r="O66" s="47"/>
      <c r="P66" s="47"/>
      <c r="U66" s="47"/>
      <c r="V66" s="47"/>
      <c r="AC66" s="47"/>
      <c r="AG66" s="47"/>
      <c r="AH66" s="47"/>
      <c r="AK66" s="47"/>
      <c r="AN66" s="51"/>
      <c r="AO66" s="51"/>
      <c r="AQ66" s="47"/>
      <c r="AU66" s="47"/>
      <c r="AZ66" s="47"/>
      <c r="BH66" s="47"/>
      <c r="BK66" s="51"/>
      <c r="BN66" s="47"/>
      <c r="BT66" s="47"/>
      <c r="BX66" s="47"/>
      <c r="CD66" s="47"/>
      <c r="CG66" s="47"/>
      <c r="CK66" s="47"/>
      <c r="CN66" s="47"/>
      <c r="CQ66" s="47"/>
      <c r="CU66" s="47"/>
      <c r="CX66" s="47"/>
    </row>
    <row r="67" spans="1:102" s="63" customFormat="1" x14ac:dyDescent="0.3">
      <c r="A67" s="47"/>
      <c r="B67" s="47">
        <v>1</v>
      </c>
      <c r="C67" s="30" t="s">
        <v>26</v>
      </c>
      <c r="D67" s="65">
        <v>108</v>
      </c>
      <c r="E67" s="36" t="s">
        <v>100</v>
      </c>
      <c r="H67" s="30"/>
      <c r="I67" s="30"/>
      <c r="J67" s="30"/>
      <c r="K67" s="30"/>
      <c r="L67" s="65"/>
      <c r="M67" s="65"/>
      <c r="N67" s="30"/>
      <c r="O67" s="30"/>
      <c r="P67" s="30"/>
      <c r="Q67" s="30"/>
      <c r="S67" s="69"/>
      <c r="T67" s="69"/>
      <c r="U67" s="30"/>
      <c r="V67" s="30"/>
      <c r="W67" s="30"/>
      <c r="X67" s="69"/>
      <c r="Y67" s="69"/>
      <c r="Z67" s="47"/>
      <c r="AA67" s="47"/>
      <c r="AB67" s="30"/>
      <c r="AC67" s="30"/>
      <c r="AD67" s="47"/>
      <c r="AE67" s="70"/>
      <c r="AF67" s="30"/>
      <c r="AG67" s="30"/>
      <c r="AH67" s="70"/>
      <c r="AI67" s="30"/>
      <c r="AJ67" s="70"/>
      <c r="AK67" s="30"/>
      <c r="AL67" s="30"/>
      <c r="AM67" s="51"/>
      <c r="AN67" s="47"/>
      <c r="AO67" s="47"/>
      <c r="AP67" s="30"/>
      <c r="AQ67" s="30"/>
      <c r="AR67" s="47"/>
      <c r="AS67" s="30"/>
      <c r="AT67" s="47"/>
      <c r="AU67" s="30"/>
      <c r="AW67" s="30"/>
      <c r="AZ67" s="30"/>
      <c r="BA67" s="30"/>
      <c r="BE67" s="30"/>
      <c r="BH67" s="30"/>
      <c r="BI67" s="30"/>
      <c r="BL67" s="30"/>
      <c r="BN67" s="30"/>
      <c r="BP67" s="30"/>
      <c r="BS67" s="30"/>
      <c r="BT67" s="30"/>
      <c r="BW67" s="30"/>
      <c r="BX67" s="30"/>
      <c r="BZ67" s="30"/>
      <c r="CC67" s="30"/>
      <c r="CD67" s="30"/>
      <c r="CG67" s="30"/>
      <c r="CK67" s="30"/>
      <c r="CN67" s="30"/>
      <c r="CQ67" s="30"/>
      <c r="CU67" s="30"/>
      <c r="CX67" s="30"/>
    </row>
    <row r="68" spans="1:102" s="63" customFormat="1" x14ac:dyDescent="0.3">
      <c r="A68" s="47"/>
      <c r="B68" s="47">
        <v>1</v>
      </c>
      <c r="C68" s="30" t="s">
        <v>101</v>
      </c>
      <c r="D68" s="65">
        <v>32.5</v>
      </c>
      <c r="E68" s="36" t="s">
        <v>100</v>
      </c>
      <c r="F68" s="47"/>
      <c r="G68" s="47"/>
      <c r="H68" s="30"/>
      <c r="I68" s="30"/>
      <c r="J68" s="30"/>
      <c r="K68" s="30"/>
      <c r="L68" s="65"/>
      <c r="M68" s="65"/>
      <c r="N68" s="30"/>
      <c r="O68" s="30"/>
      <c r="P68" s="30"/>
      <c r="Q68" s="30"/>
      <c r="S68" s="69"/>
      <c r="T68" s="69"/>
      <c r="U68" s="30"/>
      <c r="V68" s="30"/>
      <c r="W68" s="30"/>
      <c r="X68" s="69"/>
      <c r="Y68" s="69"/>
      <c r="Z68" s="47"/>
      <c r="AA68" s="47"/>
      <c r="AB68" s="30"/>
      <c r="AC68" s="30"/>
      <c r="AD68" s="47"/>
      <c r="AE68" s="70"/>
      <c r="AF68" s="30"/>
      <c r="AG68" s="30"/>
      <c r="AH68" s="70"/>
      <c r="AI68" s="30"/>
      <c r="AJ68" s="70"/>
      <c r="AK68" s="30"/>
      <c r="AL68" s="30"/>
      <c r="AM68" s="51"/>
      <c r="AN68" s="47"/>
      <c r="AO68" s="47"/>
      <c r="AP68" s="30"/>
      <c r="AQ68" s="30"/>
      <c r="AR68" s="47"/>
      <c r="AS68" s="30"/>
      <c r="AT68" s="47"/>
      <c r="AU68" s="30"/>
      <c r="AW68" s="30"/>
      <c r="AZ68" s="30"/>
      <c r="BA68" s="30"/>
      <c r="BE68" s="30"/>
      <c r="BH68" s="30"/>
      <c r="BI68" s="30"/>
      <c r="BL68" s="30"/>
      <c r="BN68" s="30"/>
      <c r="BP68" s="30"/>
      <c r="BS68" s="30"/>
      <c r="BT68" s="30"/>
      <c r="BW68" s="30"/>
      <c r="BX68" s="30"/>
      <c r="BZ68" s="30"/>
      <c r="CC68" s="30"/>
      <c r="CD68" s="30"/>
      <c r="CG68" s="30"/>
      <c r="CK68" s="30"/>
      <c r="CN68" s="30"/>
      <c r="CQ68" s="30"/>
      <c r="CU68" s="30"/>
      <c r="CX68" s="30"/>
    </row>
    <row r="69" spans="1:102" s="63" customFormat="1" x14ac:dyDescent="0.3">
      <c r="A69" s="47"/>
      <c r="B69" s="47">
        <v>1</v>
      </c>
      <c r="C69" s="30" t="s">
        <v>17</v>
      </c>
      <c r="D69" s="65">
        <v>112</v>
      </c>
      <c r="E69" s="36" t="s">
        <v>56</v>
      </c>
      <c r="H69" s="30"/>
      <c r="I69" s="30"/>
      <c r="J69" s="30"/>
      <c r="K69" s="30"/>
      <c r="L69" s="65"/>
      <c r="M69" s="65"/>
      <c r="N69" s="30"/>
      <c r="O69" s="30"/>
      <c r="P69" s="30"/>
      <c r="Q69" s="30"/>
      <c r="S69" s="69"/>
      <c r="T69" s="69"/>
      <c r="U69" s="30"/>
      <c r="V69" s="30"/>
      <c r="W69" s="30"/>
      <c r="X69" s="69"/>
      <c r="Y69" s="69"/>
      <c r="Z69" s="47"/>
      <c r="AA69" s="47"/>
      <c r="AB69" s="30"/>
      <c r="AC69" s="30"/>
      <c r="AD69" s="47"/>
      <c r="AE69" s="70"/>
      <c r="AF69" s="30"/>
      <c r="AG69" s="30"/>
      <c r="AH69" s="70"/>
      <c r="AI69" s="30"/>
      <c r="AJ69" s="70"/>
      <c r="AK69" s="30"/>
      <c r="AL69" s="30"/>
      <c r="AM69" s="51"/>
      <c r="AN69" s="47"/>
      <c r="AO69" s="47"/>
      <c r="AP69" s="30"/>
      <c r="AQ69" s="30"/>
      <c r="AR69" s="47"/>
      <c r="AS69" s="30"/>
      <c r="AT69" s="47"/>
      <c r="AU69" s="30"/>
      <c r="AW69" s="30"/>
      <c r="AZ69" s="30"/>
      <c r="BA69" s="30"/>
      <c r="BE69" s="30"/>
      <c r="BH69" s="30"/>
      <c r="BI69" s="30"/>
      <c r="BL69" s="30"/>
      <c r="BN69" s="30"/>
      <c r="BP69" s="30"/>
      <c r="BS69" s="30"/>
      <c r="BT69" s="30"/>
      <c r="BW69" s="30"/>
      <c r="BX69" s="30"/>
      <c r="BZ69" s="30"/>
      <c r="CC69" s="30"/>
      <c r="CD69" s="30"/>
      <c r="CG69" s="30"/>
      <c r="CK69" s="30"/>
      <c r="CN69" s="30"/>
      <c r="CQ69" s="30"/>
      <c r="CU69" s="30"/>
      <c r="CX69" s="30"/>
    </row>
    <row r="70" spans="1:102" s="63" customFormat="1" ht="14.4" customHeight="1" x14ac:dyDescent="0.3">
      <c r="A70" s="47"/>
      <c r="B70" s="109">
        <v>1</v>
      </c>
      <c r="C70" s="110" t="s">
        <v>103</v>
      </c>
      <c r="D70" s="111">
        <v>130</v>
      </c>
      <c r="E70" s="114" t="s">
        <v>100</v>
      </c>
      <c r="H70" s="30"/>
      <c r="I70" s="30"/>
      <c r="J70" s="30"/>
      <c r="K70" s="45"/>
      <c r="L70" s="65"/>
      <c r="M70" s="65"/>
      <c r="N70" s="30"/>
      <c r="O70" s="30"/>
      <c r="P70" s="30"/>
      <c r="Q70" s="45"/>
      <c r="S70" s="69"/>
      <c r="T70" s="69"/>
      <c r="U70" s="30"/>
      <c r="V70" s="30"/>
      <c r="W70" s="45"/>
      <c r="X70" s="69"/>
      <c r="Y70" s="69"/>
      <c r="Z70" s="47"/>
      <c r="AA70" s="47"/>
      <c r="AB70" s="45"/>
      <c r="AC70" s="30"/>
      <c r="AD70" s="47"/>
      <c r="AE70" s="70"/>
      <c r="AF70" s="45"/>
      <c r="AG70" s="30"/>
      <c r="AH70" s="70"/>
      <c r="AI70" s="45"/>
      <c r="AJ70" s="70"/>
      <c r="AK70" s="30"/>
      <c r="AL70" s="45"/>
      <c r="AM70" s="51"/>
      <c r="AN70" s="47"/>
      <c r="AO70" s="47"/>
      <c r="AP70" s="45"/>
      <c r="AQ70" s="30"/>
      <c r="AR70" s="47"/>
      <c r="AS70" s="45"/>
      <c r="AT70" s="47"/>
      <c r="AU70" s="30"/>
      <c r="AW70" s="45"/>
      <c r="AZ70" s="30"/>
      <c r="BA70" s="45"/>
      <c r="BE70" s="45"/>
      <c r="BH70" s="30"/>
      <c r="BI70" s="45"/>
      <c r="BL70" s="45"/>
      <c r="BN70" s="30"/>
      <c r="BP70" s="45"/>
      <c r="BS70" s="45"/>
      <c r="BT70" s="30"/>
      <c r="BW70" s="45"/>
      <c r="BX70" s="30"/>
      <c r="BZ70" s="45"/>
      <c r="CC70" s="45"/>
      <c r="CD70" s="30"/>
      <c r="CG70" s="30"/>
      <c r="CK70" s="30"/>
      <c r="CN70" s="30"/>
      <c r="CQ70" s="30"/>
      <c r="CU70" s="30"/>
      <c r="CX70" s="30"/>
    </row>
    <row r="71" spans="1:102" s="63" customFormat="1" ht="14.4" customHeight="1" x14ac:dyDescent="0.3">
      <c r="A71" s="47"/>
      <c r="B71" s="109"/>
      <c r="C71" s="110"/>
      <c r="D71" s="111"/>
      <c r="E71" s="114"/>
      <c r="F71" s="47"/>
      <c r="G71" s="47"/>
      <c r="H71" s="30"/>
      <c r="I71" s="30"/>
      <c r="J71" s="30"/>
      <c r="K71" s="45"/>
      <c r="L71" s="65"/>
      <c r="M71" s="65"/>
      <c r="N71" s="30"/>
      <c r="O71" s="30"/>
      <c r="P71" s="30"/>
      <c r="Q71" s="45"/>
      <c r="S71" s="69"/>
      <c r="T71" s="69"/>
      <c r="U71" s="30"/>
      <c r="V71" s="30"/>
      <c r="W71" s="45"/>
      <c r="X71" s="69"/>
      <c r="Y71" s="69"/>
      <c r="Z71" s="47"/>
      <c r="AA71" s="47"/>
      <c r="AB71" s="45"/>
      <c r="AC71" s="30"/>
      <c r="AD71" s="47"/>
      <c r="AE71" s="70"/>
      <c r="AF71" s="45"/>
      <c r="AG71" s="30"/>
      <c r="AH71" s="70"/>
      <c r="AI71" s="45"/>
      <c r="AJ71" s="70"/>
      <c r="AK71" s="30"/>
      <c r="AL71" s="45"/>
      <c r="AM71" s="51"/>
      <c r="AN71" s="47"/>
      <c r="AO71" s="47"/>
      <c r="AP71" s="45"/>
      <c r="AQ71" s="30"/>
      <c r="AR71" s="47"/>
      <c r="AS71" s="45"/>
      <c r="AT71" s="47"/>
      <c r="AU71" s="30"/>
      <c r="AW71" s="45"/>
      <c r="AZ71" s="30"/>
      <c r="BA71" s="45"/>
      <c r="BE71" s="45"/>
      <c r="BH71" s="30"/>
      <c r="BI71" s="45"/>
      <c r="BL71" s="45"/>
      <c r="BN71" s="30"/>
      <c r="BP71" s="45"/>
      <c r="BS71" s="45"/>
      <c r="BT71" s="30"/>
      <c r="BW71" s="45"/>
      <c r="BX71" s="30"/>
      <c r="BZ71" s="45"/>
      <c r="CC71" s="45"/>
      <c r="CD71" s="30"/>
      <c r="CG71" s="30"/>
      <c r="CK71" s="30"/>
      <c r="CN71" s="30"/>
      <c r="CQ71" s="30"/>
      <c r="CU71" s="30"/>
      <c r="CX71" s="30"/>
    </row>
    <row r="72" spans="1:102" s="63" customFormat="1" x14ac:dyDescent="0.3">
      <c r="A72" s="47"/>
      <c r="B72" s="68">
        <v>1</v>
      </c>
      <c r="C72" s="30" t="s">
        <v>104</v>
      </c>
      <c r="D72" s="65">
        <v>260</v>
      </c>
      <c r="E72" s="36" t="s">
        <v>100</v>
      </c>
      <c r="F72" s="47"/>
      <c r="G72" s="47"/>
      <c r="H72" s="30"/>
      <c r="I72" s="30"/>
      <c r="J72" s="30"/>
      <c r="K72" s="30"/>
      <c r="L72" s="65"/>
      <c r="M72" s="65"/>
      <c r="N72" s="30"/>
      <c r="O72" s="30"/>
      <c r="P72" s="30"/>
      <c r="Q72" s="30"/>
      <c r="S72" s="69"/>
      <c r="T72" s="69"/>
      <c r="U72" s="30"/>
      <c r="V72" s="30"/>
      <c r="W72" s="30"/>
      <c r="X72" s="69"/>
      <c r="Y72" s="69"/>
      <c r="Z72" s="47"/>
      <c r="AA72" s="47"/>
      <c r="AB72" s="30"/>
      <c r="AC72" s="30"/>
      <c r="AD72" s="47"/>
      <c r="AE72" s="70"/>
      <c r="AF72" s="30"/>
      <c r="AG72" s="30"/>
      <c r="AH72" s="70"/>
      <c r="AI72" s="30"/>
      <c r="AJ72" s="70"/>
      <c r="AK72" s="30"/>
      <c r="AL72" s="30"/>
      <c r="AM72" s="51"/>
      <c r="AN72" s="47"/>
      <c r="AO72" s="47"/>
      <c r="AP72" s="30"/>
      <c r="AQ72" s="30"/>
      <c r="AR72" s="47"/>
      <c r="AS72" s="30"/>
      <c r="AT72" s="47"/>
      <c r="AU72" s="30"/>
      <c r="AW72" s="30"/>
      <c r="AZ72" s="30"/>
      <c r="BA72" s="30"/>
      <c r="BE72" s="30"/>
      <c r="BH72" s="30"/>
      <c r="BI72" s="30"/>
      <c r="BL72" s="30"/>
      <c r="BN72" s="30"/>
      <c r="BP72" s="30"/>
      <c r="BS72" s="30"/>
      <c r="BT72" s="30"/>
      <c r="BW72" s="30"/>
      <c r="BX72" s="30"/>
      <c r="BZ72" s="30"/>
      <c r="CC72" s="30"/>
      <c r="CD72" s="30"/>
      <c r="CG72" s="30"/>
      <c r="CK72" s="30"/>
      <c r="CN72" s="30"/>
      <c r="CQ72" s="30"/>
      <c r="CU72" s="30"/>
      <c r="CX72" s="30"/>
    </row>
    <row r="73" spans="1:102" s="63" customFormat="1" x14ac:dyDescent="0.3">
      <c r="A73" s="47"/>
      <c r="B73" s="68">
        <v>1</v>
      </c>
      <c r="C73" s="30" t="s">
        <v>104</v>
      </c>
      <c r="D73" s="65">
        <f>D72/D69</f>
        <v>2.3214285714285716</v>
      </c>
      <c r="E73" s="36" t="s">
        <v>105</v>
      </c>
      <c r="F73" s="47"/>
      <c r="G73" s="47"/>
      <c r="H73" s="30"/>
      <c r="I73" s="30"/>
      <c r="J73" s="30"/>
      <c r="K73" s="30"/>
      <c r="L73" s="65"/>
      <c r="M73" s="65"/>
      <c r="N73" s="30"/>
      <c r="O73" s="30"/>
      <c r="P73" s="30"/>
      <c r="Q73" s="30"/>
      <c r="S73" s="69"/>
      <c r="T73" s="69"/>
      <c r="U73" s="30"/>
      <c r="V73" s="30"/>
      <c r="W73" s="30"/>
      <c r="X73" s="69"/>
      <c r="Y73" s="69"/>
      <c r="Z73" s="47"/>
      <c r="AA73" s="47"/>
      <c r="AB73" s="30"/>
      <c r="AC73" s="30"/>
      <c r="AD73" s="47"/>
      <c r="AE73" s="70"/>
      <c r="AF73" s="30"/>
      <c r="AG73" s="30"/>
      <c r="AH73" s="70"/>
      <c r="AI73" s="30"/>
      <c r="AJ73" s="70"/>
      <c r="AK73" s="30"/>
      <c r="AL73" s="30"/>
      <c r="AM73" s="51"/>
      <c r="AN73" s="47"/>
      <c r="AO73" s="47"/>
      <c r="AP73" s="30"/>
      <c r="AQ73" s="30"/>
      <c r="AR73" s="47"/>
      <c r="AS73" s="30"/>
      <c r="AT73" s="47"/>
      <c r="AU73" s="30"/>
      <c r="AW73" s="30"/>
      <c r="AZ73" s="30"/>
      <c r="BA73" s="30"/>
      <c r="BE73" s="30"/>
      <c r="BH73" s="30"/>
      <c r="BI73" s="30"/>
      <c r="BL73" s="30"/>
      <c r="BN73" s="30"/>
      <c r="BP73" s="30"/>
      <c r="BS73" s="30"/>
      <c r="BT73" s="30"/>
      <c r="BW73" s="30"/>
      <c r="BX73" s="30"/>
      <c r="BZ73" s="30"/>
      <c r="CC73" s="30"/>
      <c r="CD73" s="30"/>
      <c r="CG73" s="30"/>
      <c r="CK73" s="30"/>
      <c r="CN73" s="30"/>
      <c r="CQ73" s="30"/>
      <c r="CU73" s="30"/>
      <c r="CX73" s="30"/>
    </row>
    <row r="74" spans="1:102" s="63" customFormat="1" x14ac:dyDescent="0.3">
      <c r="A74" s="47"/>
      <c r="B74" s="68">
        <v>1</v>
      </c>
      <c r="C74" s="30" t="s">
        <v>104</v>
      </c>
      <c r="D74" s="65">
        <f>D72/D69</f>
        <v>2.3214285714285716</v>
      </c>
      <c r="E74" s="36" t="s">
        <v>105</v>
      </c>
      <c r="F74" s="47"/>
      <c r="G74" s="47"/>
      <c r="H74" s="30"/>
      <c r="I74" s="30"/>
      <c r="J74" s="30"/>
      <c r="K74" s="30"/>
      <c r="L74" s="65"/>
      <c r="M74" s="65"/>
      <c r="N74" s="30"/>
      <c r="O74" s="30"/>
      <c r="P74" s="30"/>
      <c r="Q74" s="30"/>
      <c r="S74" s="69"/>
      <c r="T74" s="69"/>
      <c r="U74" s="30"/>
      <c r="V74" s="30"/>
      <c r="W74" s="30"/>
      <c r="X74" s="69"/>
      <c r="Y74" s="69"/>
      <c r="Z74" s="47"/>
      <c r="AA74" s="47"/>
      <c r="AB74" s="30"/>
      <c r="AC74" s="30"/>
      <c r="AD74" s="47"/>
      <c r="AE74" s="70"/>
      <c r="AF74" s="30"/>
      <c r="AG74" s="30"/>
      <c r="AH74" s="70"/>
      <c r="AI74" s="30"/>
      <c r="AJ74" s="70"/>
      <c r="AK74" s="30"/>
      <c r="AL74" s="30"/>
      <c r="AM74" s="51"/>
      <c r="AN74" s="47"/>
      <c r="AO74" s="47"/>
      <c r="AP74" s="30"/>
      <c r="AQ74" s="30"/>
      <c r="AR74" s="47"/>
      <c r="AS74" s="30"/>
      <c r="AT74" s="47"/>
      <c r="AU74" s="30"/>
      <c r="AW74" s="30"/>
      <c r="AZ74" s="30"/>
      <c r="BA74" s="30"/>
      <c r="BE74" s="30"/>
      <c r="BH74" s="30"/>
      <c r="BI74" s="30"/>
      <c r="BL74" s="30"/>
      <c r="BN74" s="30"/>
      <c r="BP74" s="30"/>
      <c r="BS74" s="30"/>
      <c r="BT74" s="30"/>
      <c r="BW74" s="30"/>
      <c r="BX74" s="30"/>
      <c r="BZ74" s="30"/>
      <c r="CC74" s="30"/>
      <c r="CD74" s="30"/>
      <c r="CG74" s="30"/>
      <c r="CK74" s="30"/>
      <c r="CN74" s="30"/>
      <c r="CQ74" s="30"/>
      <c r="CU74" s="30"/>
      <c r="CX74" s="30"/>
    </row>
    <row r="75" spans="1:102" s="63" customFormat="1" x14ac:dyDescent="0.3">
      <c r="A75" s="47"/>
      <c r="B75" s="68">
        <v>1</v>
      </c>
      <c r="C75" s="30" t="s">
        <v>185</v>
      </c>
      <c r="D75" s="65">
        <v>2.8264</v>
      </c>
      <c r="E75" s="36" t="s">
        <v>100</v>
      </c>
      <c r="F75" s="47"/>
      <c r="G75" s="47"/>
      <c r="H75" s="30"/>
      <c r="I75" s="30"/>
      <c r="J75" s="30"/>
      <c r="K75" s="30"/>
      <c r="L75" s="65"/>
      <c r="M75" s="65"/>
      <c r="N75" s="30"/>
      <c r="O75" s="30"/>
      <c r="P75" s="30"/>
      <c r="Q75" s="30"/>
      <c r="S75" s="69"/>
      <c r="T75" s="69"/>
      <c r="U75" s="30"/>
      <c r="V75" s="30"/>
      <c r="W75" s="30"/>
      <c r="X75" s="69"/>
      <c r="Y75" s="69"/>
      <c r="Z75" s="47"/>
      <c r="AA75" s="47"/>
      <c r="AB75" s="30"/>
      <c r="AC75" s="30"/>
      <c r="AD75" s="47"/>
      <c r="AE75" s="70"/>
      <c r="AF75" s="30"/>
      <c r="AG75" s="30"/>
      <c r="AH75" s="70"/>
      <c r="AI75" s="30"/>
      <c r="AJ75" s="70"/>
      <c r="AK75" s="30"/>
      <c r="AL75" s="30"/>
      <c r="AM75" s="51"/>
      <c r="AN75" s="47"/>
      <c r="AO75" s="47"/>
      <c r="AP75" s="30"/>
      <c r="AQ75" s="30"/>
      <c r="AR75" s="47"/>
      <c r="AS75" s="30"/>
      <c r="AT75" s="47"/>
      <c r="AU75" s="30"/>
      <c r="AW75" s="30"/>
      <c r="AZ75" s="30"/>
      <c r="BA75" s="30"/>
      <c r="BE75" s="30"/>
      <c r="BH75" s="30"/>
      <c r="BI75" s="30"/>
      <c r="BL75" s="30"/>
      <c r="BN75" s="30"/>
      <c r="BP75" s="30"/>
      <c r="BS75" s="30"/>
      <c r="BT75" s="30"/>
      <c r="BW75" s="30"/>
      <c r="BX75" s="30"/>
      <c r="BZ75" s="30"/>
      <c r="CC75" s="30"/>
      <c r="CD75" s="30"/>
      <c r="CG75" s="30"/>
      <c r="CK75" s="30"/>
      <c r="CN75" s="30"/>
      <c r="CQ75" s="30"/>
      <c r="CU75" s="30"/>
      <c r="CX75" s="30"/>
    </row>
    <row r="76" spans="1:102" s="63" customFormat="1" x14ac:dyDescent="0.3">
      <c r="A76" s="47"/>
      <c r="B76" s="47"/>
      <c r="C76" s="47"/>
      <c r="D76" s="47"/>
      <c r="E76" s="71"/>
      <c r="F76" s="47"/>
      <c r="G76" s="47"/>
      <c r="H76" s="30"/>
      <c r="I76" s="30"/>
      <c r="J76" s="30"/>
      <c r="K76" s="47"/>
      <c r="L76" s="65"/>
      <c r="M76" s="65"/>
      <c r="N76" s="30"/>
      <c r="O76" s="30"/>
      <c r="P76" s="30"/>
      <c r="Q76" s="47"/>
      <c r="S76" s="69"/>
      <c r="T76" s="69"/>
      <c r="U76" s="30"/>
      <c r="V76" s="30"/>
      <c r="W76" s="47"/>
      <c r="X76" s="69"/>
      <c r="Y76" s="69"/>
      <c r="Z76" s="47"/>
      <c r="AA76" s="47"/>
      <c r="AB76" s="47"/>
      <c r="AC76" s="30"/>
      <c r="AD76" s="47"/>
      <c r="AE76" s="70"/>
      <c r="AF76" s="47"/>
      <c r="AG76" s="30"/>
      <c r="AH76" s="70"/>
      <c r="AI76" s="47"/>
      <c r="AJ76" s="70"/>
      <c r="AK76" s="30"/>
      <c r="AL76" s="47"/>
      <c r="AM76" s="51"/>
      <c r="AN76" s="47"/>
      <c r="AO76" s="47"/>
      <c r="AP76" s="47"/>
      <c r="AQ76" s="30"/>
      <c r="AR76" s="47"/>
      <c r="AS76" s="47"/>
      <c r="AT76" s="47"/>
      <c r="AU76" s="30"/>
      <c r="AW76" s="47"/>
      <c r="AZ76" s="30"/>
      <c r="BA76" s="47"/>
      <c r="BE76" s="47"/>
      <c r="BH76" s="30"/>
      <c r="BI76" s="47"/>
      <c r="BL76" s="47"/>
      <c r="BN76" s="30"/>
      <c r="BP76" s="47"/>
      <c r="BS76" s="47"/>
      <c r="BT76" s="30"/>
      <c r="BW76" s="47"/>
      <c r="BX76" s="30"/>
      <c r="BZ76" s="47"/>
      <c r="CC76" s="47"/>
      <c r="CD76" s="30"/>
      <c r="CG76" s="30"/>
      <c r="CK76" s="30"/>
      <c r="CN76" s="30"/>
      <c r="CQ76" s="30"/>
      <c r="CU76" s="30"/>
      <c r="CX76" s="30"/>
    </row>
    <row r="77" spans="1:102" s="63" customFormat="1" x14ac:dyDescent="0.3">
      <c r="A77" s="47" t="s">
        <v>110</v>
      </c>
      <c r="B77" s="47">
        <v>1</v>
      </c>
      <c r="C77" s="31" t="s">
        <v>43</v>
      </c>
      <c r="D77" s="47">
        <v>373.33</v>
      </c>
      <c r="E77" s="36" t="s">
        <v>100</v>
      </c>
      <c r="F77" s="48">
        <f>D77/D69</f>
        <v>3.3333035714285715</v>
      </c>
      <c r="G77" s="30" t="s">
        <v>105</v>
      </c>
      <c r="H77" s="30"/>
      <c r="I77" s="30"/>
      <c r="J77" s="30"/>
      <c r="K77" s="30"/>
      <c r="L77" s="65"/>
      <c r="M77" s="65"/>
      <c r="N77" s="30"/>
      <c r="O77" s="30"/>
      <c r="P77" s="30"/>
      <c r="Q77" s="30"/>
      <c r="S77" s="69"/>
      <c r="T77" s="69"/>
      <c r="U77" s="30"/>
      <c r="V77" s="30"/>
      <c r="W77" s="30"/>
      <c r="X77" s="69"/>
      <c r="Y77" s="69"/>
      <c r="Z77" s="47"/>
      <c r="AA77" s="47"/>
      <c r="AB77" s="30"/>
      <c r="AC77" s="30"/>
      <c r="AD77" s="47"/>
      <c r="AE77" s="70"/>
      <c r="AF77" s="30"/>
      <c r="AG77" s="30"/>
      <c r="AH77" s="70"/>
      <c r="AI77" s="30"/>
      <c r="AJ77" s="70"/>
      <c r="AK77" s="30"/>
      <c r="AL77" s="30"/>
      <c r="AM77" s="51"/>
      <c r="AN77" s="47"/>
      <c r="AO77" s="47"/>
      <c r="AP77" s="30"/>
      <c r="AQ77" s="30"/>
      <c r="AR77" s="47"/>
      <c r="AS77" s="30"/>
      <c r="AT77" s="47"/>
      <c r="AU77" s="30"/>
      <c r="AW77" s="30"/>
      <c r="AZ77" s="30"/>
      <c r="BA77" s="30"/>
      <c r="BE77" s="30"/>
      <c r="BH77" s="30"/>
      <c r="BI77" s="30"/>
      <c r="BL77" s="30"/>
      <c r="BN77" s="30"/>
      <c r="BP77" s="30"/>
      <c r="BS77" s="30"/>
      <c r="BT77" s="30"/>
      <c r="BW77" s="30"/>
      <c r="BX77" s="30"/>
      <c r="BZ77" s="30"/>
      <c r="CC77" s="30"/>
      <c r="CD77" s="30"/>
      <c r="CG77" s="30"/>
      <c r="CK77" s="30"/>
      <c r="CN77" s="30"/>
      <c r="CQ77" s="30"/>
      <c r="CU77" s="30"/>
      <c r="CX77" s="30"/>
    </row>
    <row r="78" spans="1:102" s="63" customFormat="1" x14ac:dyDescent="0.3">
      <c r="A78" s="47" t="s">
        <v>49</v>
      </c>
      <c r="B78" s="47">
        <v>1</v>
      </c>
      <c r="C78" s="31" t="s">
        <v>26</v>
      </c>
      <c r="D78" s="47">
        <v>0.5</v>
      </c>
      <c r="E78" s="36" t="s">
        <v>105</v>
      </c>
      <c r="F78" s="47"/>
      <c r="G78" s="47"/>
      <c r="H78" s="30"/>
      <c r="I78" s="30"/>
      <c r="J78" s="30"/>
      <c r="K78" s="30"/>
      <c r="L78" s="65"/>
      <c r="M78" s="65"/>
      <c r="N78" s="30"/>
      <c r="O78" s="30"/>
      <c r="P78" s="30"/>
      <c r="Q78" s="30"/>
      <c r="S78" s="69"/>
      <c r="T78" s="69"/>
      <c r="U78" s="30"/>
      <c r="V78" s="30"/>
      <c r="W78" s="30"/>
      <c r="X78" s="69"/>
      <c r="Y78" s="69"/>
      <c r="Z78" s="47"/>
      <c r="AA78" s="47"/>
      <c r="AB78" s="30"/>
      <c r="AC78" s="30"/>
      <c r="AD78" s="47"/>
      <c r="AE78" s="70"/>
      <c r="AF78" s="30"/>
      <c r="AG78" s="30"/>
      <c r="AH78" s="70"/>
      <c r="AI78" s="30"/>
      <c r="AJ78" s="70"/>
      <c r="AK78" s="30"/>
      <c r="AL78" s="30"/>
      <c r="AM78" s="51"/>
      <c r="AN78" s="47"/>
      <c r="AO78" s="47"/>
      <c r="AP78" s="30"/>
      <c r="AQ78" s="30"/>
      <c r="AR78" s="47"/>
      <c r="AS78" s="30"/>
      <c r="AT78" s="47"/>
      <c r="AU78" s="30"/>
      <c r="AW78" s="30"/>
      <c r="AZ78" s="30"/>
      <c r="BA78" s="30"/>
      <c r="BE78" s="30"/>
      <c r="BH78" s="30"/>
      <c r="BI78" s="30"/>
      <c r="BL78" s="30"/>
      <c r="BN78" s="30"/>
      <c r="BP78" s="30"/>
      <c r="BS78" s="30"/>
      <c r="BT78" s="30"/>
      <c r="BW78" s="30"/>
      <c r="BX78" s="30"/>
      <c r="BZ78" s="30"/>
      <c r="CC78" s="30"/>
      <c r="CD78" s="30"/>
      <c r="CG78" s="30"/>
      <c r="CK78" s="30"/>
      <c r="CN78" s="30"/>
      <c r="CQ78" s="30"/>
      <c r="CU78" s="30"/>
      <c r="CX78" s="30"/>
    </row>
    <row r="79" spans="1:102" s="63" customFormat="1" x14ac:dyDescent="0.3">
      <c r="A79" s="47" t="s">
        <v>8</v>
      </c>
      <c r="B79" s="47">
        <v>1</v>
      </c>
      <c r="C79" s="30" t="s">
        <v>111</v>
      </c>
      <c r="D79" s="65">
        <v>1.5</v>
      </c>
      <c r="E79" s="36" t="s">
        <v>105</v>
      </c>
      <c r="F79" s="65">
        <f>D79/D61</f>
        <v>7.4999999999999997E-2</v>
      </c>
      <c r="G79" s="30" t="s">
        <v>31</v>
      </c>
      <c r="H79" s="30"/>
      <c r="I79" s="30"/>
      <c r="J79" s="30"/>
      <c r="K79" s="30"/>
      <c r="L79" s="65"/>
      <c r="M79" s="65"/>
      <c r="N79" s="30"/>
      <c r="O79" s="30"/>
      <c r="P79" s="30"/>
      <c r="Q79" s="30"/>
      <c r="S79" s="69"/>
      <c r="T79" s="69"/>
      <c r="U79" s="30"/>
      <c r="V79" s="30"/>
      <c r="W79" s="30"/>
      <c r="X79" s="69"/>
      <c r="Y79" s="69"/>
      <c r="Z79" s="47"/>
      <c r="AA79" s="47"/>
      <c r="AB79" s="30"/>
      <c r="AC79" s="30"/>
      <c r="AD79" s="47"/>
      <c r="AE79" s="70"/>
      <c r="AF79" s="30"/>
      <c r="AG79" s="30"/>
      <c r="AH79" s="70"/>
      <c r="AI79" s="30"/>
      <c r="AJ79" s="70"/>
      <c r="AK79" s="30"/>
      <c r="AL79" s="30"/>
      <c r="AM79" s="51"/>
      <c r="AN79" s="47"/>
      <c r="AO79" s="47"/>
      <c r="AP79" s="30"/>
      <c r="AQ79" s="30"/>
      <c r="AR79" s="47"/>
      <c r="AS79" s="30"/>
      <c r="AT79" s="47"/>
      <c r="AU79" s="30"/>
      <c r="AW79" s="30"/>
      <c r="AZ79" s="30"/>
      <c r="BA79" s="30"/>
      <c r="BE79" s="30"/>
      <c r="BH79" s="30"/>
      <c r="BI79" s="30"/>
      <c r="BL79" s="30"/>
      <c r="BN79" s="30"/>
      <c r="BP79" s="30"/>
      <c r="BS79" s="30"/>
      <c r="BT79" s="30"/>
      <c r="BW79" s="30"/>
      <c r="BX79" s="30"/>
      <c r="BZ79" s="30"/>
      <c r="CC79" s="30"/>
      <c r="CD79" s="30"/>
      <c r="CG79" s="30"/>
      <c r="CK79" s="30"/>
      <c r="CN79" s="30"/>
      <c r="CQ79" s="30"/>
      <c r="CU79" s="30"/>
      <c r="CX79" s="30"/>
    </row>
    <row r="80" spans="1:102" s="63" customFormat="1" x14ac:dyDescent="0.3">
      <c r="A80" s="47" t="s">
        <v>60</v>
      </c>
      <c r="B80" s="47">
        <v>1</v>
      </c>
      <c r="C80" s="30" t="s">
        <v>111</v>
      </c>
      <c r="D80" s="65">
        <v>1.75</v>
      </c>
      <c r="E80" s="36" t="s">
        <v>105</v>
      </c>
      <c r="G80" s="30"/>
      <c r="H80" s="30"/>
      <c r="I80" s="30"/>
      <c r="J80" s="30"/>
      <c r="K80" s="30"/>
      <c r="L80" s="65"/>
      <c r="M80" s="65"/>
      <c r="N80" s="30"/>
      <c r="O80" s="30"/>
      <c r="P80" s="30"/>
      <c r="Q80" s="30"/>
      <c r="S80" s="69"/>
      <c r="T80" s="69"/>
      <c r="U80" s="30"/>
      <c r="V80" s="30"/>
      <c r="W80" s="30"/>
      <c r="X80" s="69"/>
      <c r="Y80" s="69"/>
      <c r="Z80" s="47"/>
      <c r="AA80" s="47"/>
      <c r="AB80" s="30"/>
      <c r="AC80" s="30"/>
      <c r="AD80" s="47"/>
      <c r="AE80" s="70"/>
      <c r="AF80" s="30"/>
      <c r="AG80" s="30"/>
      <c r="AH80" s="70"/>
      <c r="AI80" s="30"/>
      <c r="AJ80" s="70"/>
      <c r="AK80" s="30"/>
      <c r="AL80" s="30"/>
      <c r="AM80" s="51"/>
      <c r="AN80" s="47"/>
      <c r="AO80" s="47"/>
      <c r="AP80" s="30"/>
      <c r="AQ80" s="30"/>
      <c r="AR80" s="47"/>
      <c r="AS80" s="30"/>
      <c r="AT80" s="47"/>
      <c r="AU80" s="30"/>
      <c r="AW80" s="30"/>
      <c r="AZ80" s="30"/>
      <c r="BA80" s="30"/>
      <c r="BE80" s="30"/>
      <c r="BH80" s="30"/>
      <c r="BI80" s="30"/>
      <c r="BL80" s="30"/>
      <c r="BN80" s="30"/>
      <c r="BP80" s="30"/>
      <c r="BS80" s="30"/>
      <c r="BT80" s="30"/>
      <c r="BW80" s="30"/>
      <c r="BX80" s="30"/>
      <c r="BZ80" s="30"/>
      <c r="CC80" s="30"/>
      <c r="CD80" s="30"/>
      <c r="CG80" s="30"/>
      <c r="CK80" s="30"/>
      <c r="CN80" s="30"/>
      <c r="CQ80" s="30"/>
      <c r="CU80" s="30"/>
      <c r="CX80" s="30"/>
    </row>
    <row r="81" spans="1:102" s="63" customFormat="1" x14ac:dyDescent="0.3">
      <c r="A81" s="47" t="s">
        <v>112</v>
      </c>
      <c r="B81" s="47">
        <v>1</v>
      </c>
      <c r="C81" s="30" t="s">
        <v>111</v>
      </c>
      <c r="D81" s="65">
        <v>1.5</v>
      </c>
      <c r="E81" s="36" t="s">
        <v>105</v>
      </c>
      <c r="G81" s="30"/>
      <c r="H81" s="30"/>
      <c r="I81" s="30"/>
      <c r="J81" s="30"/>
      <c r="K81" s="30"/>
      <c r="L81" s="65"/>
      <c r="M81" s="65"/>
      <c r="N81" s="30"/>
      <c r="O81" s="30"/>
      <c r="P81" s="30"/>
      <c r="Q81" s="30"/>
      <c r="S81" s="69"/>
      <c r="T81" s="69"/>
      <c r="U81" s="30"/>
      <c r="V81" s="30"/>
      <c r="W81" s="30"/>
      <c r="X81" s="69"/>
      <c r="Y81" s="69"/>
      <c r="Z81" s="47"/>
      <c r="AA81" s="47"/>
      <c r="AB81" s="30"/>
      <c r="AC81" s="30"/>
      <c r="AD81" s="47"/>
      <c r="AE81" s="70"/>
      <c r="AF81" s="30"/>
      <c r="AG81" s="30"/>
      <c r="AH81" s="70"/>
      <c r="AI81" s="30"/>
      <c r="AJ81" s="70"/>
      <c r="AK81" s="30"/>
      <c r="AL81" s="30"/>
      <c r="AM81" s="51"/>
      <c r="AN81" s="47"/>
      <c r="AO81" s="47"/>
      <c r="AP81" s="30"/>
      <c r="AQ81" s="30"/>
      <c r="AR81" s="47"/>
      <c r="AS81" s="30"/>
      <c r="AT81" s="47"/>
      <c r="AU81" s="30"/>
      <c r="AW81" s="30"/>
      <c r="AZ81" s="30"/>
      <c r="BA81" s="30"/>
      <c r="BE81" s="30"/>
      <c r="BH81" s="30"/>
      <c r="BI81" s="30"/>
      <c r="BL81" s="30"/>
      <c r="BN81" s="30"/>
      <c r="BP81" s="30"/>
      <c r="BS81" s="30"/>
      <c r="BT81" s="30"/>
      <c r="BW81" s="30"/>
      <c r="BX81" s="30"/>
      <c r="BZ81" s="30"/>
      <c r="CC81" s="30"/>
      <c r="CD81" s="30"/>
      <c r="CG81" s="30"/>
      <c r="CK81" s="30"/>
      <c r="CN81" s="30"/>
      <c r="CQ81" s="30"/>
      <c r="CU81" s="30"/>
      <c r="CX81" s="30"/>
    </row>
    <row r="82" spans="1:102" s="63" customFormat="1" x14ac:dyDescent="0.3">
      <c r="A82" s="47" t="s">
        <v>44</v>
      </c>
      <c r="B82" s="47">
        <v>1</v>
      </c>
      <c r="C82" s="30" t="s">
        <v>43</v>
      </c>
      <c r="D82" s="65">
        <v>1.26</v>
      </c>
      <c r="E82" s="36" t="s">
        <v>105</v>
      </c>
      <c r="G82" s="30"/>
      <c r="H82" s="30"/>
      <c r="I82" s="30"/>
      <c r="J82" s="30"/>
      <c r="K82" s="30"/>
      <c r="L82" s="65"/>
      <c r="M82" s="65"/>
      <c r="N82" s="30"/>
      <c r="O82" s="30"/>
      <c r="P82" s="30"/>
      <c r="Q82" s="30"/>
      <c r="S82" s="69"/>
      <c r="T82" s="69"/>
      <c r="U82" s="30"/>
      <c r="V82" s="30"/>
      <c r="W82" s="30"/>
      <c r="X82" s="69"/>
      <c r="Y82" s="69"/>
      <c r="Z82" s="47"/>
      <c r="AA82" s="47"/>
      <c r="AB82" s="30"/>
      <c r="AC82" s="30"/>
      <c r="AD82" s="47"/>
      <c r="AE82" s="70"/>
      <c r="AF82" s="30"/>
      <c r="AG82" s="30"/>
      <c r="AH82" s="70"/>
      <c r="AI82" s="30"/>
      <c r="AJ82" s="70"/>
      <c r="AK82" s="30"/>
      <c r="AL82" s="30"/>
      <c r="AM82" s="51"/>
      <c r="AN82" s="47"/>
      <c r="AO82" s="47"/>
      <c r="AP82" s="30"/>
      <c r="AQ82" s="30"/>
      <c r="AR82" s="47"/>
      <c r="AS82" s="30"/>
      <c r="AT82" s="47"/>
      <c r="AU82" s="30"/>
      <c r="AW82" s="30"/>
      <c r="AZ82" s="30"/>
      <c r="BA82" s="30"/>
      <c r="BE82" s="30"/>
      <c r="BH82" s="30"/>
      <c r="BI82" s="30"/>
      <c r="BL82" s="30"/>
      <c r="BN82" s="30"/>
      <c r="BP82" s="30"/>
      <c r="BS82" s="30"/>
      <c r="BT82" s="30"/>
      <c r="BW82" s="30"/>
      <c r="BX82" s="30"/>
      <c r="BZ82" s="30"/>
      <c r="CC82" s="30"/>
      <c r="CD82" s="30"/>
      <c r="CG82" s="30"/>
      <c r="CK82" s="30"/>
      <c r="CN82" s="30"/>
      <c r="CQ82" s="30"/>
      <c r="CU82" s="30"/>
      <c r="CX82" s="30"/>
    </row>
    <row r="83" spans="1:102" s="63" customFormat="1" x14ac:dyDescent="0.3">
      <c r="A83" s="47" t="s">
        <v>58</v>
      </c>
      <c r="B83" s="47">
        <v>1</v>
      </c>
      <c r="C83" s="30" t="s">
        <v>113</v>
      </c>
      <c r="D83" s="65">
        <v>15.9</v>
      </c>
      <c r="E83" s="36" t="s">
        <v>105</v>
      </c>
      <c r="G83" s="30"/>
      <c r="H83" s="30"/>
      <c r="I83" s="30"/>
      <c r="J83" s="30"/>
      <c r="K83" s="30"/>
      <c r="L83" s="65"/>
      <c r="M83" s="65"/>
      <c r="N83" s="30"/>
      <c r="O83" s="30"/>
      <c r="P83" s="30"/>
      <c r="Q83" s="30"/>
      <c r="S83" s="69"/>
      <c r="T83" s="69"/>
      <c r="U83" s="30"/>
      <c r="V83" s="30"/>
      <c r="W83" s="30"/>
      <c r="X83" s="69"/>
      <c r="Y83" s="69"/>
      <c r="Z83" s="47"/>
      <c r="AA83" s="47"/>
      <c r="AB83" s="30"/>
      <c r="AC83" s="30"/>
      <c r="AD83" s="47"/>
      <c r="AE83" s="70"/>
      <c r="AF83" s="30"/>
      <c r="AG83" s="30"/>
      <c r="AH83" s="70"/>
      <c r="AI83" s="30"/>
      <c r="AJ83" s="70"/>
      <c r="AK83" s="30"/>
      <c r="AL83" s="30"/>
      <c r="AM83" s="51"/>
      <c r="AN83" s="47"/>
      <c r="AO83" s="47"/>
      <c r="AP83" s="30"/>
      <c r="AQ83" s="30"/>
      <c r="AR83" s="47"/>
      <c r="AS83" s="30"/>
      <c r="AT83" s="47"/>
      <c r="AU83" s="30"/>
      <c r="AW83" s="30"/>
      <c r="AZ83" s="30"/>
      <c r="BA83" s="30"/>
      <c r="BE83" s="30"/>
      <c r="BH83" s="30"/>
      <c r="BI83" s="30"/>
      <c r="BL83" s="30"/>
      <c r="BN83" s="30"/>
      <c r="BP83" s="30"/>
      <c r="BS83" s="30"/>
      <c r="BT83" s="30"/>
      <c r="BW83" s="30"/>
      <c r="BX83" s="30"/>
      <c r="BZ83" s="30"/>
      <c r="CC83" s="30"/>
      <c r="CD83" s="30"/>
      <c r="CG83" s="30"/>
      <c r="CK83" s="30"/>
      <c r="CN83" s="30"/>
      <c r="CQ83" s="30"/>
      <c r="CU83" s="30"/>
      <c r="CX83" s="30"/>
    </row>
    <row r="84" spans="1:102" s="63" customFormat="1" x14ac:dyDescent="0.3">
      <c r="A84" s="47" t="s">
        <v>40</v>
      </c>
      <c r="B84" s="47">
        <v>1</v>
      </c>
      <c r="C84" s="30" t="s">
        <v>46</v>
      </c>
      <c r="D84" s="65">
        <f>439.681/D69</f>
        <v>3.9257232142857141</v>
      </c>
      <c r="E84" s="36" t="s">
        <v>105</v>
      </c>
      <c r="G84" s="30"/>
      <c r="I84" s="30"/>
      <c r="J84" s="30"/>
      <c r="K84" s="30"/>
      <c r="L84" s="65"/>
      <c r="M84" s="65"/>
      <c r="N84" s="30"/>
      <c r="O84" s="30"/>
      <c r="P84" s="30"/>
      <c r="Q84" s="30"/>
      <c r="S84" s="69"/>
      <c r="T84" s="69"/>
      <c r="U84" s="30"/>
      <c r="V84" s="30"/>
      <c r="W84" s="30"/>
      <c r="X84" s="69"/>
      <c r="Y84" s="69"/>
      <c r="Z84" s="47"/>
      <c r="AA84" s="47"/>
      <c r="AB84" s="30"/>
      <c r="AC84" s="30"/>
      <c r="AD84" s="47"/>
      <c r="AE84" s="70"/>
      <c r="AF84" s="30"/>
      <c r="AG84" s="30"/>
      <c r="AH84" s="70"/>
      <c r="AI84" s="30"/>
      <c r="AJ84" s="70"/>
      <c r="AK84" s="30"/>
      <c r="AL84" s="30"/>
      <c r="AM84" s="51"/>
      <c r="AN84" s="47"/>
      <c r="AO84" s="47"/>
      <c r="AP84" s="30"/>
      <c r="AQ84" s="30"/>
      <c r="AR84" s="47"/>
      <c r="AS84" s="30"/>
      <c r="AT84" s="47"/>
      <c r="AU84" s="30"/>
      <c r="AW84" s="30"/>
      <c r="AZ84" s="30"/>
      <c r="BA84" s="30"/>
      <c r="BE84" s="30"/>
      <c r="BH84" s="30"/>
      <c r="BI84" s="30"/>
      <c r="BL84" s="30"/>
      <c r="BN84" s="30"/>
      <c r="BP84" s="30"/>
      <c r="BS84" s="30"/>
      <c r="BT84" s="30"/>
      <c r="BW84" s="30"/>
      <c r="BX84" s="30"/>
      <c r="BZ84" s="30"/>
      <c r="CC84" s="30"/>
      <c r="CD84" s="30"/>
      <c r="CG84" s="30"/>
      <c r="CK84" s="30"/>
      <c r="CN84" s="30"/>
      <c r="CQ84" s="30"/>
      <c r="CU84" s="30"/>
      <c r="CX84" s="30"/>
    </row>
    <row r="85" spans="1:102" s="63" customFormat="1" x14ac:dyDescent="0.3">
      <c r="A85" s="107" t="s">
        <v>51</v>
      </c>
      <c r="B85" s="47">
        <v>1</v>
      </c>
      <c r="C85" s="30" t="s">
        <v>46</v>
      </c>
      <c r="D85" s="65">
        <v>3</v>
      </c>
      <c r="E85" s="36" t="s">
        <v>105</v>
      </c>
      <c r="G85" s="30"/>
      <c r="I85" s="30"/>
      <c r="J85" s="30"/>
      <c r="K85" s="30"/>
      <c r="O85" s="30"/>
      <c r="P85" s="30"/>
      <c r="Q85" s="30"/>
      <c r="S85" s="69"/>
      <c r="T85" s="69"/>
      <c r="U85" s="30"/>
      <c r="V85" s="30"/>
      <c r="W85" s="30"/>
      <c r="X85" s="69"/>
      <c r="Y85" s="69"/>
      <c r="Z85" s="51"/>
      <c r="AA85" s="51"/>
      <c r="AB85" s="30"/>
      <c r="AC85" s="30"/>
      <c r="AD85" s="51"/>
      <c r="AE85" s="70"/>
      <c r="AF85" s="30"/>
      <c r="AG85" s="30"/>
      <c r="AH85" s="70"/>
      <c r="AI85" s="30"/>
      <c r="AJ85" s="70"/>
      <c r="AK85" s="30"/>
      <c r="AL85" s="30"/>
      <c r="AM85" s="51"/>
      <c r="AN85" s="47"/>
      <c r="AO85" s="47"/>
      <c r="AP85" s="30"/>
      <c r="AQ85" s="30"/>
      <c r="AR85" s="47"/>
      <c r="AS85" s="30"/>
      <c r="AT85" s="47"/>
      <c r="AU85" s="30"/>
      <c r="AW85" s="30"/>
      <c r="AZ85" s="30"/>
      <c r="BA85" s="30"/>
      <c r="BE85" s="30"/>
      <c r="BH85" s="30"/>
      <c r="BI85" s="30"/>
      <c r="BL85" s="30"/>
      <c r="BN85" s="30"/>
      <c r="BP85" s="30"/>
      <c r="BS85" s="30"/>
      <c r="BT85" s="30"/>
      <c r="BW85" s="30"/>
      <c r="BX85" s="30"/>
      <c r="BZ85" s="30"/>
      <c r="CC85" s="30"/>
      <c r="CD85" s="30"/>
      <c r="CG85" s="30"/>
      <c r="CK85" s="30"/>
      <c r="CN85" s="30"/>
      <c r="CQ85" s="30"/>
      <c r="CU85" s="30"/>
      <c r="CX85" s="30"/>
    </row>
    <row r="86" spans="1:102" s="63" customFormat="1" x14ac:dyDescent="0.3">
      <c r="A86" s="107"/>
      <c r="B86" s="47">
        <v>1</v>
      </c>
      <c r="C86" s="30" t="s">
        <v>125</v>
      </c>
      <c r="D86" s="65">
        <v>2.0271699999999999</v>
      </c>
      <c r="E86" s="36" t="s">
        <v>32</v>
      </c>
      <c r="F86" s="65">
        <f>D86*D85</f>
        <v>6.0815099999999997</v>
      </c>
      <c r="G86" s="30" t="s">
        <v>105</v>
      </c>
      <c r="I86" s="30"/>
      <c r="J86" s="30"/>
      <c r="K86" s="30"/>
      <c r="O86" s="30"/>
      <c r="P86" s="30"/>
      <c r="Q86" s="30"/>
      <c r="S86" s="69"/>
      <c r="T86" s="69"/>
      <c r="U86" s="30"/>
      <c r="V86" s="30"/>
      <c r="W86" s="30"/>
      <c r="X86" s="69"/>
      <c r="Y86" s="69"/>
      <c r="Z86" s="51"/>
      <c r="AA86" s="51"/>
      <c r="AB86" s="30"/>
      <c r="AC86" s="30"/>
      <c r="AD86" s="51"/>
      <c r="AE86" s="70"/>
      <c r="AF86" s="30"/>
      <c r="AG86" s="30"/>
      <c r="AH86" s="70"/>
      <c r="AI86" s="30"/>
      <c r="AJ86" s="70"/>
      <c r="AK86" s="30"/>
      <c r="AL86" s="30"/>
      <c r="AM86" s="51"/>
      <c r="AN86" s="47"/>
      <c r="AO86" s="47"/>
      <c r="AP86" s="30"/>
      <c r="AQ86" s="30"/>
      <c r="AR86" s="47"/>
      <c r="AS86" s="30"/>
      <c r="AT86" s="47"/>
      <c r="AU86" s="30"/>
      <c r="AW86" s="30"/>
      <c r="AZ86" s="30"/>
      <c r="BA86" s="30"/>
      <c r="BE86" s="30"/>
      <c r="BH86" s="30"/>
      <c r="BI86" s="30"/>
      <c r="BL86" s="30"/>
      <c r="BN86" s="30"/>
      <c r="BP86" s="30"/>
      <c r="BS86" s="30"/>
      <c r="BT86" s="30"/>
      <c r="BW86" s="30"/>
      <c r="BX86" s="30"/>
      <c r="BZ86" s="30"/>
      <c r="CC86" s="30"/>
      <c r="CD86" s="30"/>
      <c r="CG86" s="30"/>
      <c r="CK86" s="30"/>
      <c r="CN86" s="30"/>
      <c r="CQ86" s="30"/>
      <c r="CU86" s="30"/>
      <c r="CX86" s="30"/>
    </row>
    <row r="87" spans="1:102" s="63" customFormat="1" x14ac:dyDescent="0.3">
      <c r="A87" s="72" t="s">
        <v>92</v>
      </c>
      <c r="B87" s="47">
        <v>1</v>
      </c>
      <c r="C87" s="30" t="s">
        <v>43</v>
      </c>
      <c r="D87" s="65">
        <v>400</v>
      </c>
      <c r="E87" s="36" t="s">
        <v>56</v>
      </c>
      <c r="F87" s="65">
        <f>D87/D69</f>
        <v>3.5714285714285716</v>
      </c>
      <c r="G87" s="30" t="s">
        <v>105</v>
      </c>
      <c r="H87" s="65">
        <f>F87/D88</f>
        <v>1.1984659635666348</v>
      </c>
      <c r="I87" s="30" t="s">
        <v>32</v>
      </c>
      <c r="J87" s="30"/>
      <c r="K87" s="30"/>
      <c r="O87" s="30"/>
      <c r="P87" s="30"/>
      <c r="Q87" s="30"/>
      <c r="S87" s="69"/>
      <c r="T87" s="69"/>
      <c r="U87" s="30"/>
      <c r="V87" s="30"/>
      <c r="W87" s="30"/>
      <c r="X87" s="69"/>
      <c r="Y87" s="69"/>
      <c r="Z87" s="51"/>
      <c r="AA87" s="51"/>
      <c r="AB87" s="30"/>
      <c r="AC87" s="30"/>
      <c r="AD87" s="51"/>
      <c r="AE87" s="70"/>
      <c r="AF87" s="30"/>
      <c r="AG87" s="30"/>
      <c r="AH87" s="70"/>
      <c r="AI87" s="30"/>
      <c r="AJ87" s="70"/>
      <c r="AK87" s="30"/>
      <c r="AL87" s="30"/>
      <c r="AM87" s="51"/>
      <c r="AN87" s="47"/>
      <c r="AO87" s="47"/>
      <c r="AP87" s="30"/>
      <c r="AQ87" s="30"/>
      <c r="AR87" s="47"/>
      <c r="AS87" s="30"/>
      <c r="AT87" s="47"/>
      <c r="AU87" s="30"/>
      <c r="AW87" s="30"/>
      <c r="AZ87" s="30"/>
      <c r="BA87" s="30"/>
      <c r="BE87" s="30"/>
      <c r="BH87" s="30"/>
      <c r="BI87" s="30"/>
      <c r="BL87" s="30"/>
      <c r="BN87" s="30"/>
      <c r="BP87" s="30"/>
      <c r="BS87" s="30"/>
      <c r="BT87" s="30"/>
      <c r="BW87" s="30"/>
      <c r="BX87" s="30"/>
      <c r="BZ87" s="30"/>
      <c r="CC87" s="30"/>
      <c r="CD87" s="30"/>
      <c r="CG87" s="30"/>
      <c r="CK87" s="30"/>
      <c r="CN87" s="30"/>
      <c r="CQ87" s="30"/>
      <c r="CU87" s="30"/>
      <c r="CX87" s="30"/>
    </row>
    <row r="88" spans="1:102" s="63" customFormat="1" x14ac:dyDescent="0.3">
      <c r="A88" s="107" t="s">
        <v>34</v>
      </c>
      <c r="B88" s="47">
        <v>1</v>
      </c>
      <c r="C88" s="30" t="s">
        <v>46</v>
      </c>
      <c r="D88" s="65">
        <v>2.98</v>
      </c>
      <c r="E88" s="36" t="s">
        <v>105</v>
      </c>
      <c r="G88" s="30"/>
      <c r="I88" s="30"/>
      <c r="J88" s="30"/>
      <c r="K88" s="30"/>
      <c r="O88" s="30"/>
      <c r="P88" s="30"/>
      <c r="Q88" s="30"/>
      <c r="S88" s="69"/>
      <c r="T88" s="69"/>
      <c r="U88" s="30"/>
      <c r="V88" s="30"/>
      <c r="W88" s="30"/>
      <c r="X88" s="69"/>
      <c r="Y88" s="69"/>
      <c r="Z88" s="51"/>
      <c r="AA88" s="51"/>
      <c r="AB88" s="30"/>
      <c r="AC88" s="30"/>
      <c r="AD88" s="51"/>
      <c r="AE88" s="70"/>
      <c r="AF88" s="30"/>
      <c r="AG88" s="30"/>
      <c r="AH88" s="70"/>
      <c r="AI88" s="30"/>
      <c r="AJ88" s="70"/>
      <c r="AK88" s="30"/>
      <c r="AL88" s="30"/>
      <c r="AM88" s="51"/>
      <c r="AN88" s="47"/>
      <c r="AO88" s="47"/>
      <c r="AP88" s="30"/>
      <c r="AQ88" s="30"/>
      <c r="AR88" s="47"/>
      <c r="AS88" s="30"/>
      <c r="AT88" s="47"/>
      <c r="AU88" s="30"/>
      <c r="AW88" s="30"/>
      <c r="AZ88" s="30"/>
      <c r="BA88" s="30"/>
      <c r="BE88" s="30"/>
      <c r="BH88" s="30"/>
      <c r="BI88" s="30"/>
      <c r="BL88" s="30"/>
      <c r="BN88" s="30"/>
      <c r="BP88" s="30"/>
      <c r="BS88" s="30"/>
      <c r="BT88" s="30"/>
      <c r="BW88" s="30"/>
      <c r="BX88" s="30"/>
      <c r="BZ88" s="30"/>
      <c r="CC88" s="30"/>
      <c r="CD88" s="30"/>
      <c r="CG88" s="30"/>
      <c r="CK88" s="30"/>
      <c r="CN88" s="30"/>
      <c r="CQ88" s="30"/>
      <c r="CU88" s="30"/>
      <c r="CX88" s="30"/>
    </row>
    <row r="89" spans="1:102" s="63" customFormat="1" x14ac:dyDescent="0.3">
      <c r="A89" s="107"/>
      <c r="B89" s="47">
        <v>1</v>
      </c>
      <c r="C89" s="30" t="s">
        <v>43</v>
      </c>
      <c r="D89" s="65">
        <v>1.5</v>
      </c>
      <c r="E89" s="36" t="s">
        <v>32</v>
      </c>
      <c r="F89" s="63">
        <f>D89*D88</f>
        <v>4.47</v>
      </c>
      <c r="G89" s="30" t="s">
        <v>105</v>
      </c>
      <c r="I89" s="30"/>
      <c r="J89" s="30"/>
      <c r="K89" s="30"/>
      <c r="O89" s="30"/>
      <c r="P89" s="30"/>
      <c r="Q89" s="30"/>
      <c r="S89" s="69"/>
      <c r="T89" s="69"/>
      <c r="U89" s="30"/>
      <c r="V89" s="30"/>
      <c r="W89" s="30"/>
      <c r="X89" s="69"/>
      <c r="Y89" s="69"/>
      <c r="Z89" s="51"/>
      <c r="AA89" s="51"/>
      <c r="AB89" s="30"/>
      <c r="AC89" s="30"/>
      <c r="AD89" s="51"/>
      <c r="AE89" s="70"/>
      <c r="AF89" s="30"/>
      <c r="AG89" s="30"/>
      <c r="AH89" s="70"/>
      <c r="AI89" s="30"/>
      <c r="AJ89" s="70"/>
      <c r="AK89" s="30"/>
      <c r="AL89" s="30"/>
      <c r="AM89" s="51"/>
      <c r="AN89" s="47"/>
      <c r="AO89" s="47"/>
      <c r="AP89" s="30"/>
      <c r="AQ89" s="30"/>
      <c r="AR89" s="47"/>
      <c r="AS89" s="30"/>
      <c r="AT89" s="47"/>
      <c r="AU89" s="30"/>
      <c r="AW89" s="30"/>
      <c r="AZ89" s="30"/>
      <c r="BA89" s="30"/>
      <c r="BE89" s="30"/>
      <c r="BH89" s="30"/>
      <c r="BI89" s="30"/>
      <c r="BL89" s="30"/>
      <c r="BN89" s="30"/>
      <c r="BP89" s="30"/>
      <c r="BS89" s="30"/>
      <c r="BT89" s="30"/>
      <c r="BW89" s="30"/>
      <c r="BX89" s="30"/>
      <c r="BZ89" s="30"/>
      <c r="CC89" s="30"/>
      <c r="CD89" s="30"/>
      <c r="CG89" s="30"/>
      <c r="CK89" s="30"/>
      <c r="CN89" s="30"/>
      <c r="CQ89" s="30"/>
      <c r="CU89" s="30"/>
      <c r="CX89" s="30"/>
    </row>
    <row r="90" spans="1:102" s="63" customFormat="1" x14ac:dyDescent="0.3">
      <c r="A90" s="47" t="s">
        <v>89</v>
      </c>
      <c r="B90" s="47">
        <v>1</v>
      </c>
      <c r="C90" s="30" t="s">
        <v>114</v>
      </c>
      <c r="D90" s="65">
        <v>9</v>
      </c>
      <c r="E90" s="36" t="s">
        <v>18</v>
      </c>
      <c r="G90" s="30"/>
      <c r="I90" s="30"/>
      <c r="J90" s="30"/>
      <c r="K90" s="30"/>
      <c r="O90" s="30"/>
      <c r="P90" s="30"/>
      <c r="Q90" s="30"/>
      <c r="S90" s="69"/>
      <c r="T90" s="69"/>
      <c r="U90" s="30"/>
      <c r="V90" s="30"/>
      <c r="W90" s="30"/>
      <c r="X90" s="69"/>
      <c r="Y90" s="69"/>
      <c r="Z90" s="51"/>
      <c r="AA90" s="51"/>
      <c r="AB90" s="30"/>
      <c r="AC90" s="30"/>
      <c r="AD90" s="51"/>
      <c r="AE90" s="70"/>
      <c r="AF90" s="30"/>
      <c r="AG90" s="30"/>
      <c r="AH90" s="70"/>
      <c r="AI90" s="30"/>
      <c r="AJ90" s="70"/>
      <c r="AK90" s="30"/>
      <c r="AL90" s="30"/>
      <c r="AM90" s="51"/>
      <c r="AN90" s="47"/>
      <c r="AO90" s="47"/>
      <c r="AP90" s="30"/>
      <c r="AQ90" s="30"/>
      <c r="AR90" s="47"/>
      <c r="AS90" s="30"/>
      <c r="AT90" s="47"/>
      <c r="AU90" s="30"/>
      <c r="AW90" s="30"/>
      <c r="AZ90" s="30"/>
      <c r="BA90" s="30"/>
      <c r="BE90" s="30"/>
      <c r="BH90" s="30"/>
      <c r="BI90" s="30"/>
      <c r="BL90" s="30"/>
      <c r="BN90" s="30"/>
      <c r="BP90" s="30"/>
      <c r="BS90" s="30"/>
      <c r="BT90" s="30"/>
      <c r="BW90" s="30"/>
      <c r="BX90" s="30"/>
      <c r="BZ90" s="30"/>
      <c r="CC90" s="30"/>
      <c r="CD90" s="30"/>
      <c r="CG90" s="30"/>
      <c r="CK90" s="30"/>
      <c r="CN90" s="30"/>
      <c r="CQ90" s="30"/>
      <c r="CU90" s="30"/>
      <c r="CX90" s="30"/>
    </row>
    <row r="91" spans="1:102" s="63" customFormat="1" x14ac:dyDescent="0.3">
      <c r="A91" s="47" t="s">
        <v>115</v>
      </c>
      <c r="B91" s="47">
        <v>1</v>
      </c>
      <c r="C91" s="30" t="s">
        <v>116</v>
      </c>
      <c r="D91" s="65">
        <v>9</v>
      </c>
      <c r="E91" s="36" t="s">
        <v>18</v>
      </c>
      <c r="G91" s="30"/>
      <c r="I91" s="30"/>
      <c r="J91" s="30"/>
      <c r="K91" s="30"/>
      <c r="O91" s="30"/>
      <c r="P91" s="30"/>
      <c r="Q91" s="30"/>
      <c r="S91" s="69"/>
      <c r="T91" s="69"/>
      <c r="U91" s="30"/>
      <c r="V91" s="30"/>
      <c r="W91" s="30"/>
      <c r="X91" s="69"/>
      <c r="Y91" s="69"/>
      <c r="Z91" s="51"/>
      <c r="AA91" s="51"/>
      <c r="AB91" s="30"/>
      <c r="AC91" s="30"/>
      <c r="AD91" s="51"/>
      <c r="AE91" s="70"/>
      <c r="AF91" s="30"/>
      <c r="AG91" s="30"/>
      <c r="AH91" s="70"/>
      <c r="AI91" s="30"/>
      <c r="AJ91" s="70"/>
      <c r="AK91" s="30"/>
      <c r="AL91" s="30"/>
      <c r="AM91" s="51"/>
      <c r="AN91" s="47"/>
      <c r="AO91" s="47"/>
      <c r="AP91" s="30"/>
      <c r="AQ91" s="30"/>
      <c r="AR91" s="47"/>
      <c r="AS91" s="30"/>
      <c r="AT91" s="47"/>
      <c r="AU91" s="30"/>
      <c r="AW91" s="30"/>
      <c r="AZ91" s="30"/>
      <c r="BA91" s="30"/>
      <c r="BE91" s="30"/>
      <c r="BH91" s="30"/>
      <c r="BI91" s="30"/>
      <c r="BL91" s="30"/>
      <c r="BN91" s="30"/>
      <c r="BP91" s="30"/>
      <c r="BS91" s="30"/>
      <c r="BT91" s="30"/>
      <c r="BW91" s="30"/>
      <c r="BX91" s="30"/>
      <c r="BZ91" s="30"/>
      <c r="CC91" s="30"/>
      <c r="CD91" s="30"/>
      <c r="CG91" s="30"/>
      <c r="CK91" s="30"/>
      <c r="CN91" s="30"/>
      <c r="CQ91" s="30"/>
      <c r="CU91" s="30"/>
      <c r="CX91" s="30"/>
    </row>
    <row r="92" spans="1:102" s="63" customFormat="1" x14ac:dyDescent="0.3">
      <c r="A92" s="47" t="s">
        <v>10</v>
      </c>
      <c r="B92" s="47">
        <v>1</v>
      </c>
      <c r="C92" s="30" t="s">
        <v>111</v>
      </c>
      <c r="D92" s="65">
        <v>1.75</v>
      </c>
      <c r="E92" s="36" t="s">
        <v>105</v>
      </c>
      <c r="F92" s="63">
        <f>D92*D69</f>
        <v>196</v>
      </c>
      <c r="G92" s="30" t="s">
        <v>100</v>
      </c>
      <c r="I92" s="30"/>
      <c r="J92" s="30"/>
      <c r="K92" s="30"/>
      <c r="O92" s="30"/>
      <c r="P92" s="30"/>
      <c r="Q92" s="30"/>
      <c r="S92" s="69"/>
      <c r="T92" s="69"/>
      <c r="U92" s="30"/>
      <c r="V92" s="30"/>
      <c r="W92" s="30"/>
      <c r="X92" s="69"/>
      <c r="Y92" s="69"/>
      <c r="Z92" s="51"/>
      <c r="AA92" s="51"/>
      <c r="AB92" s="30"/>
      <c r="AC92" s="30"/>
      <c r="AD92" s="51"/>
      <c r="AE92" s="70"/>
      <c r="AF92" s="30"/>
      <c r="AG92" s="30"/>
      <c r="AH92" s="70"/>
      <c r="AI92" s="30"/>
      <c r="AJ92" s="70"/>
      <c r="AK92" s="30"/>
      <c r="AL92" s="30"/>
      <c r="AM92" s="51"/>
      <c r="AN92" s="47"/>
      <c r="AO92" s="47"/>
      <c r="AP92" s="30"/>
      <c r="AQ92" s="30"/>
      <c r="AR92" s="47"/>
      <c r="AS92" s="30"/>
      <c r="AT92" s="47"/>
      <c r="AU92" s="30"/>
      <c r="AW92" s="30"/>
      <c r="AZ92" s="30"/>
      <c r="BA92" s="30"/>
      <c r="BE92" s="30"/>
      <c r="BH92" s="30"/>
      <c r="BI92" s="30"/>
      <c r="BL92" s="30"/>
      <c r="BN92" s="30"/>
      <c r="BP92" s="30"/>
      <c r="BS92" s="30"/>
      <c r="BT92" s="30"/>
      <c r="BW92" s="30"/>
      <c r="BX92" s="30"/>
      <c r="BZ92" s="30"/>
      <c r="CC92" s="30"/>
      <c r="CD92" s="30"/>
      <c r="CG92" s="30"/>
      <c r="CK92" s="30"/>
      <c r="CN92" s="30"/>
      <c r="CQ92" s="30"/>
      <c r="CU92" s="30"/>
      <c r="CX92" s="30"/>
    </row>
    <row r="93" spans="1:102" s="63" customFormat="1" x14ac:dyDescent="0.3">
      <c r="A93" s="47" t="s">
        <v>10</v>
      </c>
      <c r="B93" s="47">
        <v>1</v>
      </c>
      <c r="C93" s="30" t="s">
        <v>43</v>
      </c>
      <c r="D93" s="65">
        <v>175</v>
      </c>
      <c r="E93" s="36" t="s">
        <v>100</v>
      </c>
      <c r="F93" s="65">
        <f>D93/D69</f>
        <v>1.5625</v>
      </c>
      <c r="G93" s="30" t="s">
        <v>17</v>
      </c>
      <c r="I93" s="30"/>
      <c r="J93" s="30"/>
      <c r="K93" s="30"/>
      <c r="O93" s="30"/>
      <c r="P93" s="30"/>
      <c r="Q93" s="30"/>
      <c r="S93" s="69"/>
      <c r="T93" s="69"/>
      <c r="U93" s="30"/>
      <c r="V93" s="30"/>
      <c r="W93" s="30"/>
      <c r="X93" s="69"/>
      <c r="Y93" s="69"/>
      <c r="Z93" s="51"/>
      <c r="AA93" s="51"/>
      <c r="AB93" s="30"/>
      <c r="AC93" s="30"/>
      <c r="AD93" s="51"/>
      <c r="AE93" s="70"/>
      <c r="AF93" s="30"/>
      <c r="AG93" s="30"/>
      <c r="AH93" s="70"/>
      <c r="AI93" s="30"/>
      <c r="AJ93" s="70"/>
      <c r="AK93" s="30"/>
      <c r="AL93" s="30"/>
      <c r="AM93" s="51"/>
      <c r="AN93" s="47"/>
      <c r="AO93" s="47"/>
      <c r="AP93" s="30"/>
      <c r="AQ93" s="30"/>
      <c r="AR93" s="47"/>
      <c r="AS93" s="30"/>
      <c r="AT93" s="47"/>
      <c r="AU93" s="30"/>
      <c r="AW93" s="30"/>
      <c r="AZ93" s="30"/>
      <c r="BA93" s="30"/>
      <c r="BE93" s="30"/>
      <c r="BH93" s="30"/>
      <c r="BI93" s="30"/>
      <c r="BL93" s="30"/>
      <c r="BN93" s="30"/>
      <c r="BP93" s="30"/>
      <c r="BS93" s="30"/>
      <c r="BT93" s="30"/>
      <c r="BW93" s="30"/>
      <c r="BX93" s="30"/>
      <c r="BZ93" s="30"/>
      <c r="CC93" s="30"/>
      <c r="CD93" s="30"/>
      <c r="CG93" s="30"/>
      <c r="CK93" s="30"/>
      <c r="CN93" s="30"/>
      <c r="CQ93" s="30"/>
      <c r="CU93" s="30"/>
      <c r="CX93" s="30"/>
    </row>
    <row r="94" spans="1:102" s="63" customFormat="1" x14ac:dyDescent="0.3">
      <c r="A94" s="47" t="s">
        <v>20</v>
      </c>
      <c r="B94" s="47">
        <v>1</v>
      </c>
      <c r="C94" s="30" t="s">
        <v>117</v>
      </c>
      <c r="D94" s="65">
        <v>0.15175</v>
      </c>
      <c r="E94" s="36" t="s">
        <v>105</v>
      </c>
      <c r="F94" s="65">
        <v>16.997</v>
      </c>
      <c r="G94" s="30" t="s">
        <v>100</v>
      </c>
      <c r="I94" s="30"/>
      <c r="J94" s="30"/>
      <c r="K94" s="30"/>
      <c r="O94" s="30"/>
      <c r="P94" s="30"/>
      <c r="Q94" s="30"/>
      <c r="S94" s="69"/>
      <c r="T94" s="69"/>
      <c r="U94" s="30"/>
      <c r="V94" s="30"/>
      <c r="W94" s="30"/>
      <c r="X94" s="69"/>
      <c r="Y94" s="69"/>
      <c r="Z94" s="51"/>
      <c r="AA94" s="51"/>
      <c r="AB94" s="30"/>
      <c r="AC94" s="30"/>
      <c r="AD94" s="51"/>
      <c r="AE94" s="70"/>
      <c r="AF94" s="30"/>
      <c r="AG94" s="30"/>
      <c r="AH94" s="70"/>
      <c r="AI94" s="30"/>
      <c r="AJ94" s="70"/>
      <c r="AK94" s="30"/>
      <c r="AL94" s="30"/>
      <c r="AM94" s="51"/>
      <c r="AN94" s="47"/>
      <c r="AO94" s="47"/>
      <c r="AP94" s="30"/>
      <c r="AQ94" s="30"/>
      <c r="AR94" s="47"/>
      <c r="AS94" s="30"/>
      <c r="AT94" s="47"/>
      <c r="AU94" s="30"/>
      <c r="AW94" s="30"/>
      <c r="AZ94" s="30"/>
      <c r="BA94" s="30"/>
      <c r="BE94" s="30"/>
      <c r="BH94" s="30"/>
      <c r="BI94" s="30"/>
      <c r="BL94" s="30"/>
      <c r="BN94" s="30"/>
      <c r="BP94" s="30"/>
      <c r="BS94" s="30"/>
      <c r="BT94" s="30"/>
      <c r="BW94" s="30"/>
      <c r="BX94" s="30"/>
      <c r="BZ94" s="30"/>
      <c r="CC94" s="30"/>
      <c r="CD94" s="30"/>
      <c r="CG94" s="30"/>
      <c r="CK94" s="30"/>
      <c r="CN94" s="30"/>
      <c r="CQ94" s="30"/>
      <c r="CU94" s="30"/>
      <c r="CX94" s="30"/>
    </row>
    <row r="95" spans="1:102" s="63" customFormat="1" x14ac:dyDescent="0.3">
      <c r="A95" s="47" t="s">
        <v>38</v>
      </c>
      <c r="B95" s="47">
        <v>1</v>
      </c>
      <c r="C95" s="30" t="s">
        <v>111</v>
      </c>
      <c r="D95" s="65">
        <v>1.5</v>
      </c>
      <c r="E95" s="36" t="s">
        <v>105</v>
      </c>
      <c r="G95" s="30"/>
      <c r="I95" s="30"/>
      <c r="J95" s="30"/>
      <c r="K95" s="30"/>
      <c r="O95" s="30"/>
      <c r="P95" s="30"/>
      <c r="Q95" s="30"/>
      <c r="S95" s="69"/>
      <c r="T95" s="69"/>
      <c r="U95" s="30"/>
      <c r="V95" s="30"/>
      <c r="W95" s="30"/>
      <c r="X95" s="69"/>
      <c r="Y95" s="69"/>
      <c r="Z95" s="51"/>
      <c r="AA95" s="51"/>
      <c r="AB95" s="30"/>
      <c r="AC95" s="30"/>
      <c r="AD95" s="51"/>
      <c r="AE95" s="70"/>
      <c r="AF95" s="30"/>
      <c r="AG95" s="30"/>
      <c r="AH95" s="70"/>
      <c r="AI95" s="30"/>
      <c r="AJ95" s="70"/>
      <c r="AK95" s="30"/>
      <c r="AL95" s="30"/>
      <c r="AM95" s="51"/>
      <c r="AN95" s="47"/>
      <c r="AO95" s="47"/>
      <c r="AP95" s="30"/>
      <c r="AQ95" s="30"/>
      <c r="AR95" s="47"/>
      <c r="AS95" s="30"/>
      <c r="AT95" s="47"/>
      <c r="AU95" s="30"/>
      <c r="AW95" s="30"/>
      <c r="AZ95" s="30"/>
      <c r="BA95" s="30"/>
      <c r="BE95" s="30"/>
      <c r="BH95" s="30"/>
      <c r="BI95" s="30"/>
      <c r="BL95" s="30"/>
      <c r="BN95" s="30"/>
      <c r="BP95" s="30"/>
      <c r="BS95" s="30"/>
      <c r="BT95" s="30"/>
      <c r="BW95" s="30"/>
      <c r="BX95" s="30"/>
      <c r="BZ95" s="30"/>
      <c r="CC95" s="30"/>
      <c r="CD95" s="30"/>
      <c r="CG95" s="30"/>
      <c r="CK95" s="30"/>
      <c r="CN95" s="30"/>
      <c r="CQ95" s="30"/>
      <c r="CU95" s="30"/>
      <c r="CX95" s="30"/>
    </row>
    <row r="96" spans="1:102" s="63" customFormat="1" x14ac:dyDescent="0.3">
      <c r="A96" s="47" t="s">
        <v>118</v>
      </c>
      <c r="B96" s="47">
        <v>1</v>
      </c>
      <c r="C96" s="30" t="s">
        <v>111</v>
      </c>
      <c r="D96" s="65">
        <v>1.625</v>
      </c>
      <c r="E96" s="36" t="s">
        <v>105</v>
      </c>
      <c r="G96" s="30"/>
      <c r="I96" s="30"/>
      <c r="J96" s="30"/>
      <c r="K96" s="30"/>
      <c r="O96" s="30"/>
      <c r="P96" s="30"/>
      <c r="Q96" s="30"/>
      <c r="S96" s="69"/>
      <c r="T96" s="69"/>
      <c r="U96" s="30"/>
      <c r="V96" s="30"/>
      <c r="W96" s="30"/>
      <c r="X96" s="69"/>
      <c r="Y96" s="69"/>
      <c r="Z96" s="51"/>
      <c r="AA96" s="51"/>
      <c r="AB96" s="30"/>
      <c r="AC96" s="30"/>
      <c r="AD96" s="51"/>
      <c r="AE96" s="70"/>
      <c r="AF96" s="30"/>
      <c r="AG96" s="30"/>
      <c r="AH96" s="70"/>
      <c r="AI96" s="30"/>
      <c r="AJ96" s="70"/>
      <c r="AK96" s="30"/>
      <c r="AL96" s="30"/>
      <c r="AM96" s="51"/>
      <c r="AN96" s="47"/>
      <c r="AO96" s="47"/>
      <c r="AP96" s="30"/>
      <c r="AQ96" s="30"/>
      <c r="AR96" s="47"/>
      <c r="AS96" s="30"/>
      <c r="AT96" s="47"/>
      <c r="AU96" s="30"/>
      <c r="AW96" s="30"/>
      <c r="AZ96" s="30"/>
      <c r="BA96" s="30"/>
      <c r="BE96" s="30"/>
      <c r="BH96" s="30"/>
      <c r="BI96" s="30"/>
      <c r="BL96" s="30"/>
      <c r="BN96" s="30"/>
      <c r="BP96" s="30"/>
      <c r="BS96" s="30"/>
      <c r="BT96" s="30"/>
      <c r="BW96" s="30"/>
      <c r="BX96" s="30"/>
      <c r="BZ96" s="30"/>
      <c r="CC96" s="30"/>
      <c r="CD96" s="30"/>
      <c r="CG96" s="30"/>
      <c r="CK96" s="30"/>
      <c r="CN96" s="30"/>
      <c r="CQ96" s="30"/>
      <c r="CU96" s="30"/>
      <c r="CX96" s="30"/>
    </row>
    <row r="97" spans="1:102" s="63" customFormat="1" x14ac:dyDescent="0.3">
      <c r="A97" s="47" t="s">
        <v>4</v>
      </c>
      <c r="B97" s="47">
        <v>1</v>
      </c>
      <c r="C97" s="30" t="s">
        <v>111</v>
      </c>
      <c r="D97" s="65">
        <v>1.5</v>
      </c>
      <c r="E97" s="36" t="s">
        <v>105</v>
      </c>
      <c r="G97" s="30"/>
      <c r="I97" s="30"/>
      <c r="J97" s="30"/>
      <c r="K97" s="30"/>
      <c r="O97" s="30"/>
      <c r="P97" s="30"/>
      <c r="Q97" s="30"/>
      <c r="S97" s="69"/>
      <c r="T97" s="69"/>
      <c r="U97" s="30"/>
      <c r="V97" s="30"/>
      <c r="W97" s="30"/>
      <c r="X97" s="69"/>
      <c r="Y97" s="69"/>
      <c r="Z97" s="51"/>
      <c r="AA97" s="51"/>
      <c r="AB97" s="30"/>
      <c r="AC97" s="30"/>
      <c r="AD97" s="51"/>
      <c r="AE97" s="70"/>
      <c r="AF97" s="30"/>
      <c r="AG97" s="30"/>
      <c r="AH97" s="70"/>
      <c r="AI97" s="30"/>
      <c r="AJ97" s="70"/>
      <c r="AK97" s="30"/>
      <c r="AL97" s="30"/>
      <c r="AM97" s="51"/>
      <c r="AN97" s="47"/>
      <c r="AO97" s="47"/>
      <c r="AP97" s="30"/>
      <c r="AQ97" s="30"/>
      <c r="AR97" s="47"/>
      <c r="AS97" s="30"/>
      <c r="AT97" s="47"/>
      <c r="AU97" s="30"/>
      <c r="AW97" s="30"/>
      <c r="AZ97" s="30"/>
      <c r="BA97" s="30"/>
      <c r="BE97" s="30"/>
      <c r="BH97" s="30"/>
      <c r="BI97" s="30"/>
      <c r="BL97" s="30"/>
      <c r="BN97" s="30"/>
      <c r="BP97" s="30"/>
      <c r="BS97" s="30"/>
      <c r="BT97" s="30"/>
      <c r="BW97" s="30"/>
      <c r="BX97" s="30"/>
      <c r="BZ97" s="30"/>
      <c r="CC97" s="30"/>
      <c r="CD97" s="30"/>
      <c r="CG97" s="30"/>
      <c r="CK97" s="30"/>
      <c r="CN97" s="30"/>
      <c r="CQ97" s="30"/>
      <c r="CU97" s="30"/>
      <c r="CX97" s="30"/>
    </row>
    <row r="98" spans="1:102" s="63" customFormat="1" x14ac:dyDescent="0.3">
      <c r="A98" s="47" t="s">
        <v>119</v>
      </c>
      <c r="B98" s="47">
        <v>1</v>
      </c>
      <c r="C98" s="30" t="s">
        <v>111</v>
      </c>
      <c r="D98" s="65">
        <v>1.5</v>
      </c>
      <c r="E98" s="36" t="s">
        <v>105</v>
      </c>
      <c r="G98" s="30"/>
      <c r="I98" s="30"/>
      <c r="J98" s="30"/>
      <c r="K98" s="30"/>
      <c r="O98" s="30"/>
      <c r="P98" s="30"/>
      <c r="Q98" s="30"/>
      <c r="S98" s="69"/>
      <c r="T98" s="69"/>
      <c r="U98" s="30"/>
      <c r="V98" s="30"/>
      <c r="W98" s="30"/>
      <c r="X98" s="69"/>
      <c r="Y98" s="69"/>
      <c r="Z98" s="51"/>
      <c r="AA98" s="51"/>
      <c r="AB98" s="30"/>
      <c r="AC98" s="30"/>
      <c r="AD98" s="51"/>
      <c r="AE98" s="70"/>
      <c r="AF98" s="30"/>
      <c r="AG98" s="30"/>
      <c r="AH98" s="70"/>
      <c r="AI98" s="30"/>
      <c r="AJ98" s="70"/>
      <c r="AK98" s="30"/>
      <c r="AL98" s="30"/>
      <c r="AM98" s="51"/>
      <c r="AN98" s="47"/>
      <c r="AO98" s="47"/>
      <c r="AP98" s="30"/>
      <c r="AQ98" s="30"/>
      <c r="AR98" s="47"/>
      <c r="AS98" s="30"/>
      <c r="AT98" s="47"/>
      <c r="AU98" s="30"/>
      <c r="AW98" s="30"/>
      <c r="AZ98" s="30"/>
      <c r="BA98" s="30"/>
      <c r="BE98" s="30"/>
      <c r="BH98" s="30"/>
      <c r="BI98" s="30"/>
      <c r="BL98" s="30"/>
      <c r="BN98" s="30"/>
      <c r="BP98" s="30"/>
      <c r="BS98" s="30"/>
      <c r="BT98" s="30"/>
      <c r="BW98" s="30"/>
      <c r="BX98" s="30"/>
      <c r="BZ98" s="30"/>
      <c r="CC98" s="30"/>
      <c r="CD98" s="30"/>
      <c r="CG98" s="30"/>
      <c r="CK98" s="30"/>
      <c r="CN98" s="30"/>
      <c r="CQ98" s="30"/>
      <c r="CU98" s="30"/>
      <c r="CX98" s="30"/>
    </row>
    <row r="99" spans="1:102" s="63" customFormat="1" x14ac:dyDescent="0.3">
      <c r="A99" s="107" t="s">
        <v>48</v>
      </c>
      <c r="B99" s="47">
        <v>1</v>
      </c>
      <c r="C99" s="30" t="s">
        <v>120</v>
      </c>
      <c r="D99" s="65">
        <v>18.559999999999999</v>
      </c>
      <c r="E99" s="36" t="s">
        <v>18</v>
      </c>
      <c r="G99" s="30"/>
      <c r="I99" s="30"/>
      <c r="J99" s="30"/>
      <c r="K99" s="30"/>
      <c r="O99" s="30"/>
      <c r="P99" s="30"/>
      <c r="Q99" s="30"/>
      <c r="S99" s="69"/>
      <c r="T99" s="69"/>
      <c r="U99" s="30"/>
      <c r="V99" s="30"/>
      <c r="W99" s="30"/>
      <c r="X99" s="69"/>
      <c r="Y99" s="69"/>
      <c r="Z99" s="51"/>
      <c r="AA99" s="51"/>
      <c r="AB99" s="30"/>
      <c r="AC99" s="30"/>
      <c r="AD99" s="51"/>
      <c r="AE99" s="70"/>
      <c r="AF99" s="30"/>
      <c r="AG99" s="30"/>
      <c r="AH99" s="70"/>
      <c r="AI99" s="30"/>
      <c r="AJ99" s="70"/>
      <c r="AK99" s="30"/>
      <c r="AL99" s="30"/>
      <c r="AM99" s="51"/>
      <c r="AN99" s="47"/>
      <c r="AO99" s="47"/>
      <c r="AP99" s="30"/>
      <c r="AQ99" s="30"/>
      <c r="AR99" s="47"/>
      <c r="AS99" s="30"/>
      <c r="AT99" s="47"/>
      <c r="AU99" s="30"/>
      <c r="AW99" s="30"/>
      <c r="AZ99" s="30"/>
      <c r="BA99" s="30"/>
      <c r="BE99" s="30"/>
      <c r="BH99" s="30"/>
      <c r="BI99" s="30"/>
      <c r="BL99" s="30"/>
      <c r="BN99" s="30"/>
      <c r="BP99" s="30"/>
      <c r="BS99" s="30"/>
      <c r="BT99" s="30"/>
      <c r="BW99" s="30"/>
      <c r="BX99" s="30"/>
      <c r="BZ99" s="30"/>
      <c r="CC99" s="30"/>
      <c r="CD99" s="30"/>
      <c r="CG99" s="30"/>
      <c r="CK99" s="30"/>
      <c r="CN99" s="30"/>
      <c r="CQ99" s="30"/>
      <c r="CU99" s="30"/>
      <c r="CX99" s="30"/>
    </row>
    <row r="100" spans="1:102" s="63" customFormat="1" x14ac:dyDescent="0.3">
      <c r="A100" s="107"/>
      <c r="B100" s="47">
        <v>1</v>
      </c>
      <c r="C100" s="30" t="s">
        <v>42</v>
      </c>
      <c r="D100" s="65">
        <v>164</v>
      </c>
      <c r="E100" s="36" t="s">
        <v>100</v>
      </c>
      <c r="F100" s="65">
        <f>D100/D54</f>
        <v>1.4642857142857142</v>
      </c>
      <c r="G100" s="30" t="s">
        <v>105</v>
      </c>
      <c r="I100" s="31"/>
      <c r="J100" s="31"/>
      <c r="K100" s="30"/>
      <c r="O100" s="31"/>
      <c r="P100" s="31"/>
      <c r="Q100" s="30"/>
      <c r="S100" s="69"/>
      <c r="T100" s="69"/>
      <c r="U100" s="31"/>
      <c r="V100" s="31"/>
      <c r="W100" s="30"/>
      <c r="X100" s="69"/>
      <c r="Y100" s="69"/>
      <c r="Z100" s="51"/>
      <c r="AA100" s="51"/>
      <c r="AB100" s="30"/>
      <c r="AC100" s="31"/>
      <c r="AD100" s="51"/>
      <c r="AE100" s="70"/>
      <c r="AF100" s="30"/>
      <c r="AG100" s="31"/>
      <c r="AH100" s="70"/>
      <c r="AI100" s="30"/>
      <c r="AJ100" s="70"/>
      <c r="AK100" s="31"/>
      <c r="AL100" s="30"/>
      <c r="AM100" s="51"/>
      <c r="AN100" s="47"/>
      <c r="AO100" s="47"/>
      <c r="AP100" s="30"/>
      <c r="AQ100" s="31"/>
      <c r="AR100" s="47"/>
      <c r="AS100" s="30"/>
      <c r="AT100" s="47"/>
      <c r="AU100" s="31"/>
      <c r="AW100" s="30"/>
      <c r="AZ100" s="31"/>
      <c r="BA100" s="30"/>
      <c r="BE100" s="30"/>
      <c r="BH100" s="31"/>
      <c r="BI100" s="30"/>
      <c r="BL100" s="30"/>
      <c r="BN100" s="31"/>
      <c r="BP100" s="30"/>
      <c r="BS100" s="30"/>
      <c r="BT100" s="31"/>
      <c r="BW100" s="30"/>
      <c r="BX100" s="31"/>
      <c r="BZ100" s="30"/>
      <c r="CC100" s="30"/>
      <c r="CD100" s="31"/>
      <c r="CG100" s="31"/>
      <c r="CK100" s="31"/>
      <c r="CN100" s="31"/>
      <c r="CQ100" s="31"/>
      <c r="CU100" s="31"/>
      <c r="CX100" s="31"/>
    </row>
    <row r="101" spans="1:102" s="63" customFormat="1" x14ac:dyDescent="0.3">
      <c r="A101" s="107" t="s">
        <v>121</v>
      </c>
      <c r="B101" s="47">
        <v>1</v>
      </c>
      <c r="C101" s="30" t="s">
        <v>45</v>
      </c>
      <c r="D101" s="65">
        <v>336</v>
      </c>
      <c r="E101" s="36" t="s">
        <v>100</v>
      </c>
      <c r="F101" s="65">
        <v>3</v>
      </c>
      <c r="G101" s="30" t="s">
        <v>105</v>
      </c>
      <c r="I101" s="30"/>
      <c r="J101" s="30"/>
      <c r="K101" s="30"/>
      <c r="O101" s="30"/>
      <c r="P101" s="30"/>
      <c r="Q101" s="30"/>
      <c r="S101" s="69"/>
      <c r="T101" s="69"/>
      <c r="U101" s="30"/>
      <c r="V101" s="30"/>
      <c r="W101" s="30"/>
      <c r="X101" s="69"/>
      <c r="Y101" s="69"/>
      <c r="Z101" s="51"/>
      <c r="AA101" s="51"/>
      <c r="AB101" s="30"/>
      <c r="AC101" s="30"/>
      <c r="AD101" s="51"/>
      <c r="AE101" s="70"/>
      <c r="AF101" s="30"/>
      <c r="AG101" s="30"/>
      <c r="AH101" s="70"/>
      <c r="AI101" s="30"/>
      <c r="AJ101" s="70"/>
      <c r="AK101" s="30"/>
      <c r="AL101" s="30"/>
      <c r="AM101" s="51"/>
      <c r="AN101" s="47"/>
      <c r="AO101" s="47"/>
      <c r="AP101" s="30"/>
      <c r="AQ101" s="30"/>
      <c r="AR101" s="47"/>
      <c r="AS101" s="30"/>
      <c r="AT101" s="47"/>
      <c r="AU101" s="30"/>
      <c r="AW101" s="30"/>
      <c r="AZ101" s="30"/>
      <c r="BA101" s="30"/>
      <c r="BE101" s="30"/>
      <c r="BH101" s="30"/>
      <c r="BI101" s="30"/>
      <c r="BL101" s="30"/>
      <c r="BN101" s="30"/>
      <c r="BP101" s="30"/>
      <c r="BS101" s="30"/>
      <c r="BT101" s="30"/>
      <c r="BW101" s="30"/>
      <c r="BX101" s="30"/>
      <c r="BZ101" s="30"/>
      <c r="CC101" s="30"/>
      <c r="CD101" s="30"/>
      <c r="CG101" s="30"/>
      <c r="CK101" s="30"/>
      <c r="CN101" s="30"/>
      <c r="CQ101" s="30"/>
      <c r="CU101" s="30"/>
      <c r="CX101" s="30"/>
    </row>
    <row r="102" spans="1:102" s="63" customFormat="1" x14ac:dyDescent="0.3">
      <c r="A102" s="107"/>
      <c r="B102" s="47">
        <v>1</v>
      </c>
      <c r="C102" s="30" t="s">
        <v>122</v>
      </c>
      <c r="D102" s="65">
        <v>240</v>
      </c>
      <c r="E102" s="36" t="s">
        <v>100</v>
      </c>
      <c r="F102" s="65">
        <f>D102/D69</f>
        <v>2.1428571428571428</v>
      </c>
      <c r="G102" s="30" t="s">
        <v>105</v>
      </c>
      <c r="I102" s="30"/>
      <c r="J102" s="30"/>
      <c r="K102" s="30"/>
      <c r="O102" s="30"/>
      <c r="P102" s="30"/>
      <c r="Q102" s="30"/>
      <c r="S102" s="69"/>
      <c r="T102" s="69"/>
      <c r="U102" s="30"/>
      <c r="V102" s="30"/>
      <c r="W102" s="30"/>
      <c r="X102" s="69"/>
      <c r="Y102" s="69"/>
      <c r="Z102" s="51"/>
      <c r="AA102" s="51"/>
      <c r="AB102" s="30"/>
      <c r="AC102" s="30"/>
      <c r="AD102" s="51"/>
      <c r="AE102" s="70"/>
      <c r="AF102" s="30"/>
      <c r="AG102" s="30"/>
      <c r="AH102" s="70"/>
      <c r="AI102" s="30"/>
      <c r="AJ102" s="70"/>
      <c r="AK102" s="30"/>
      <c r="AL102" s="30"/>
      <c r="AM102" s="51"/>
      <c r="AN102" s="47"/>
      <c r="AO102" s="47"/>
      <c r="AP102" s="30"/>
      <c r="AQ102" s="30"/>
      <c r="AR102" s="47"/>
      <c r="AS102" s="30"/>
      <c r="AT102" s="47"/>
      <c r="AU102" s="30"/>
      <c r="AW102" s="30"/>
      <c r="AZ102" s="30"/>
      <c r="BA102" s="30"/>
      <c r="BE102" s="30"/>
      <c r="BH102" s="30"/>
      <c r="BI102" s="30"/>
      <c r="BL102" s="30"/>
      <c r="BN102" s="30"/>
      <c r="BP102" s="30"/>
      <c r="BS102" s="30"/>
      <c r="BT102" s="30"/>
      <c r="BW102" s="30"/>
      <c r="BX102" s="30"/>
      <c r="BZ102" s="30"/>
      <c r="CC102" s="30"/>
      <c r="CD102" s="30"/>
      <c r="CG102" s="30"/>
      <c r="CK102" s="30"/>
      <c r="CN102" s="30"/>
      <c r="CQ102" s="30"/>
      <c r="CU102" s="30"/>
      <c r="CX102" s="30"/>
    </row>
    <row r="103" spans="1:102" s="63" customFormat="1" x14ac:dyDescent="0.3">
      <c r="A103" s="107" t="s">
        <v>41</v>
      </c>
      <c r="B103" s="47">
        <v>1</v>
      </c>
      <c r="C103" s="30" t="s">
        <v>27</v>
      </c>
      <c r="D103" s="65">
        <v>3.40835</v>
      </c>
      <c r="E103" s="36" t="s">
        <v>111</v>
      </c>
      <c r="F103" s="65">
        <f>D103*D104/D69</f>
        <v>5.9646125000000003</v>
      </c>
      <c r="G103" s="30" t="s">
        <v>105</v>
      </c>
      <c r="I103" s="30"/>
      <c r="J103" s="30"/>
      <c r="K103" s="30"/>
      <c r="O103" s="30"/>
      <c r="P103" s="30"/>
      <c r="Q103" s="30"/>
      <c r="S103" s="69"/>
      <c r="T103" s="69"/>
      <c r="U103" s="30"/>
      <c r="V103" s="30"/>
      <c r="W103" s="30"/>
      <c r="X103" s="69"/>
      <c r="Y103" s="69"/>
      <c r="Z103" s="51"/>
      <c r="AA103" s="51"/>
      <c r="AB103" s="30"/>
      <c r="AC103" s="30"/>
      <c r="AD103" s="51"/>
      <c r="AE103" s="70"/>
      <c r="AF103" s="30"/>
      <c r="AG103" s="30"/>
      <c r="AH103" s="70"/>
      <c r="AI103" s="30"/>
      <c r="AJ103" s="70"/>
      <c r="AK103" s="30"/>
      <c r="AL103" s="30"/>
      <c r="AM103" s="51"/>
      <c r="AN103" s="47"/>
      <c r="AO103" s="47"/>
      <c r="AP103" s="30"/>
      <c r="AQ103" s="30"/>
      <c r="AR103" s="47"/>
      <c r="AS103" s="30"/>
      <c r="AT103" s="47"/>
      <c r="AU103" s="30"/>
      <c r="AW103" s="30"/>
      <c r="AZ103" s="30"/>
      <c r="BA103" s="30"/>
      <c r="BE103" s="30"/>
      <c r="BH103" s="30"/>
      <c r="BI103" s="30"/>
      <c r="BL103" s="30"/>
      <c r="BN103" s="30"/>
      <c r="BP103" s="30"/>
      <c r="BS103" s="30"/>
      <c r="BT103" s="30"/>
      <c r="BW103" s="30"/>
      <c r="BX103" s="30"/>
      <c r="BZ103" s="30"/>
      <c r="CC103" s="30"/>
      <c r="CD103" s="30"/>
      <c r="CG103" s="30"/>
      <c r="CK103" s="30"/>
      <c r="CN103" s="30"/>
      <c r="CQ103" s="30"/>
      <c r="CU103" s="30"/>
      <c r="CX103" s="30"/>
    </row>
    <row r="104" spans="1:102" s="63" customFormat="1" x14ac:dyDescent="0.3">
      <c r="A104" s="107"/>
      <c r="B104" s="47">
        <v>1</v>
      </c>
      <c r="C104" s="30" t="s">
        <v>111</v>
      </c>
      <c r="D104" s="48">
        <v>196</v>
      </c>
      <c r="E104" s="36" t="s">
        <v>100</v>
      </c>
      <c r="F104" s="65"/>
      <c r="G104" s="47"/>
      <c r="I104" s="30"/>
      <c r="J104" s="30"/>
      <c r="K104" s="30"/>
      <c r="O104" s="30"/>
      <c r="P104" s="30"/>
      <c r="Q104" s="30"/>
      <c r="S104" s="69"/>
      <c r="T104" s="69"/>
      <c r="U104" s="30"/>
      <c r="V104" s="30"/>
      <c r="W104" s="30"/>
      <c r="X104" s="69"/>
      <c r="Y104" s="69"/>
      <c r="Z104" s="51"/>
      <c r="AA104" s="51"/>
      <c r="AB104" s="30"/>
      <c r="AC104" s="30"/>
      <c r="AD104" s="51"/>
      <c r="AE104" s="70"/>
      <c r="AF104" s="30"/>
      <c r="AG104" s="30"/>
      <c r="AH104" s="70"/>
      <c r="AI104" s="30"/>
      <c r="AJ104" s="70"/>
      <c r="AK104" s="30"/>
      <c r="AL104" s="30"/>
      <c r="AM104" s="51"/>
      <c r="AN104" s="47"/>
      <c r="AO104" s="47"/>
      <c r="AP104" s="30"/>
      <c r="AQ104" s="30"/>
      <c r="AR104" s="47"/>
      <c r="AS104" s="30"/>
      <c r="AT104" s="47"/>
      <c r="AU104" s="30"/>
      <c r="AW104" s="30"/>
      <c r="AZ104" s="30"/>
      <c r="BA104" s="30"/>
      <c r="BE104" s="30"/>
      <c r="BH104" s="30"/>
      <c r="BI104" s="30"/>
      <c r="BL104" s="30"/>
      <c r="BN104" s="30"/>
      <c r="BP104" s="30"/>
      <c r="BS104" s="30"/>
      <c r="BT104" s="30"/>
      <c r="BW104" s="30"/>
      <c r="BX104" s="30"/>
      <c r="BZ104" s="30"/>
      <c r="CC104" s="30"/>
      <c r="CD104" s="30"/>
      <c r="CG104" s="30"/>
      <c r="CK104" s="30"/>
      <c r="CN104" s="30"/>
      <c r="CQ104" s="30"/>
      <c r="CU104" s="30"/>
      <c r="CX104" s="30"/>
    </row>
    <row r="105" spans="1:102" s="63" customFormat="1" x14ac:dyDescent="0.3">
      <c r="A105" s="107" t="s">
        <v>33</v>
      </c>
      <c r="B105" s="47">
        <v>1</v>
      </c>
      <c r="C105" s="30" t="s">
        <v>28</v>
      </c>
      <c r="D105" s="48">
        <v>1</v>
      </c>
      <c r="E105" s="36" t="s">
        <v>46</v>
      </c>
      <c r="F105" s="65">
        <f>F106</f>
        <v>3.0446428571428572</v>
      </c>
      <c r="G105" s="30" t="s">
        <v>105</v>
      </c>
      <c r="I105" s="30"/>
      <c r="J105" s="30"/>
      <c r="K105" s="30"/>
      <c r="O105" s="30"/>
      <c r="P105" s="30"/>
      <c r="Q105" s="30"/>
      <c r="S105" s="69"/>
      <c r="T105" s="69"/>
      <c r="U105" s="30"/>
      <c r="V105" s="30"/>
      <c r="W105" s="30"/>
      <c r="X105" s="69"/>
      <c r="Y105" s="69"/>
      <c r="Z105" s="51"/>
      <c r="AA105" s="51"/>
      <c r="AB105" s="30"/>
      <c r="AC105" s="30"/>
      <c r="AD105" s="51"/>
      <c r="AE105" s="70"/>
      <c r="AF105" s="30"/>
      <c r="AG105" s="30"/>
      <c r="AH105" s="70"/>
      <c r="AI105" s="30"/>
      <c r="AJ105" s="70"/>
      <c r="AK105" s="30"/>
      <c r="AL105" s="30"/>
      <c r="AM105" s="51"/>
      <c r="AN105" s="47"/>
      <c r="AO105" s="47"/>
      <c r="AP105" s="30"/>
      <c r="AQ105" s="30"/>
      <c r="AR105" s="47"/>
      <c r="AS105" s="30"/>
      <c r="AT105" s="47"/>
      <c r="AU105" s="30"/>
      <c r="AW105" s="30"/>
      <c r="AZ105" s="30"/>
      <c r="BA105" s="30"/>
      <c r="BE105" s="30"/>
      <c r="BH105" s="30"/>
      <c r="BI105" s="30"/>
      <c r="BL105" s="30"/>
      <c r="BN105" s="30"/>
      <c r="BP105" s="30"/>
      <c r="BS105" s="30"/>
      <c r="BT105" s="30"/>
      <c r="BW105" s="30"/>
      <c r="BX105" s="30"/>
      <c r="BZ105" s="30"/>
      <c r="CC105" s="30"/>
      <c r="CD105" s="30"/>
      <c r="CG105" s="30"/>
      <c r="CK105" s="30"/>
      <c r="CN105" s="30"/>
      <c r="CQ105" s="30"/>
      <c r="CU105" s="30"/>
      <c r="CX105" s="30"/>
    </row>
    <row r="106" spans="1:102" s="63" customFormat="1" x14ac:dyDescent="0.3">
      <c r="A106" s="107"/>
      <c r="B106" s="47">
        <v>1</v>
      </c>
      <c r="C106" s="30" t="s">
        <v>46</v>
      </c>
      <c r="D106" s="48">
        <f>(355+327)/2</f>
        <v>341</v>
      </c>
      <c r="E106" s="36" t="s">
        <v>100</v>
      </c>
      <c r="F106" s="65">
        <f>D106/D69</f>
        <v>3.0446428571428572</v>
      </c>
      <c r="G106" s="30" t="s">
        <v>105</v>
      </c>
      <c r="I106" s="30"/>
      <c r="J106" s="30"/>
      <c r="K106" s="30"/>
      <c r="O106" s="30"/>
      <c r="P106" s="30"/>
      <c r="Q106" s="30"/>
      <c r="S106" s="69"/>
      <c r="T106" s="69"/>
      <c r="U106" s="30"/>
      <c r="V106" s="30"/>
      <c r="W106" s="30"/>
      <c r="X106" s="69"/>
      <c r="Y106" s="69"/>
      <c r="Z106" s="51"/>
      <c r="AA106" s="51"/>
      <c r="AB106" s="30"/>
      <c r="AC106" s="30"/>
      <c r="AD106" s="51"/>
      <c r="AE106" s="70"/>
      <c r="AF106" s="30"/>
      <c r="AG106" s="30"/>
      <c r="AH106" s="70"/>
      <c r="AI106" s="30"/>
      <c r="AJ106" s="70"/>
      <c r="AK106" s="30"/>
      <c r="AL106" s="30"/>
      <c r="AM106" s="51"/>
      <c r="AN106" s="47"/>
      <c r="AO106" s="47"/>
      <c r="AP106" s="30"/>
      <c r="AQ106" s="30"/>
      <c r="AR106" s="47"/>
      <c r="AS106" s="30"/>
      <c r="AT106" s="47"/>
      <c r="AU106" s="30"/>
      <c r="AW106" s="30"/>
      <c r="AZ106" s="30"/>
      <c r="BA106" s="30"/>
      <c r="BE106" s="30"/>
      <c r="BH106" s="30"/>
      <c r="BI106" s="30"/>
      <c r="BL106" s="30"/>
      <c r="BN106" s="30"/>
      <c r="BP106" s="30"/>
      <c r="BS106" s="30"/>
      <c r="BT106" s="30"/>
      <c r="BW106" s="30"/>
      <c r="BX106" s="30"/>
      <c r="BZ106" s="30"/>
      <c r="CC106" s="30"/>
      <c r="CD106" s="30"/>
      <c r="CG106" s="30"/>
      <c r="CK106" s="30"/>
      <c r="CN106" s="30"/>
      <c r="CQ106" s="30"/>
      <c r="CU106" s="30"/>
      <c r="CX106" s="30"/>
    </row>
    <row r="107" spans="1:102" s="63" customFormat="1" x14ac:dyDescent="0.3">
      <c r="A107" s="107" t="s">
        <v>44</v>
      </c>
      <c r="B107" s="47">
        <v>1</v>
      </c>
      <c r="C107" s="31" t="s">
        <v>43</v>
      </c>
      <c r="D107" s="48">
        <v>140.63</v>
      </c>
      <c r="E107" s="36" t="s">
        <v>100</v>
      </c>
      <c r="F107" s="65">
        <f>D107/D69</f>
        <v>1.255625</v>
      </c>
      <c r="G107" s="30" t="s">
        <v>105</v>
      </c>
      <c r="I107" s="30"/>
      <c r="J107" s="30"/>
      <c r="K107" s="30"/>
      <c r="O107" s="30"/>
      <c r="P107" s="30"/>
      <c r="Q107" s="30"/>
      <c r="S107" s="69"/>
      <c r="T107" s="69"/>
      <c r="U107" s="30"/>
      <c r="V107" s="30"/>
      <c r="W107" s="30"/>
      <c r="X107" s="69"/>
      <c r="Y107" s="69"/>
      <c r="Z107" s="51"/>
      <c r="AA107" s="51"/>
      <c r="AB107" s="30"/>
      <c r="AC107" s="30"/>
      <c r="AD107" s="51"/>
      <c r="AE107" s="70"/>
      <c r="AF107" s="30"/>
      <c r="AG107" s="30"/>
      <c r="AH107" s="70"/>
      <c r="AI107" s="30"/>
      <c r="AJ107" s="70"/>
      <c r="AK107" s="30"/>
      <c r="AL107" s="30"/>
      <c r="AM107" s="51"/>
      <c r="AN107" s="47"/>
      <c r="AO107" s="47"/>
      <c r="AP107" s="30"/>
      <c r="AQ107" s="30"/>
      <c r="AR107" s="47"/>
      <c r="AS107" s="30"/>
      <c r="AT107" s="47"/>
      <c r="AU107" s="30"/>
      <c r="AW107" s="30"/>
      <c r="AZ107" s="30"/>
      <c r="BA107" s="30"/>
      <c r="BE107" s="30"/>
      <c r="BH107" s="30"/>
      <c r="BI107" s="30"/>
      <c r="BL107" s="30"/>
      <c r="BN107" s="30"/>
      <c r="BP107" s="30"/>
      <c r="BS107" s="30"/>
      <c r="BT107" s="30"/>
      <c r="BW107" s="30"/>
      <c r="BX107" s="30"/>
      <c r="BZ107" s="30"/>
      <c r="CC107" s="30"/>
      <c r="CD107" s="30"/>
      <c r="CG107" s="30"/>
      <c r="CK107" s="30"/>
      <c r="CN107" s="30"/>
      <c r="CQ107" s="30"/>
      <c r="CU107" s="30"/>
      <c r="CX107" s="30"/>
    </row>
    <row r="108" spans="1:102" s="63" customFormat="1" x14ac:dyDescent="0.3">
      <c r="A108" s="107"/>
      <c r="B108" s="47">
        <v>1</v>
      </c>
      <c r="C108" s="31" t="s">
        <v>123</v>
      </c>
      <c r="D108" s="48">
        <v>0.91576999999999997</v>
      </c>
      <c r="E108" s="36" t="s">
        <v>43</v>
      </c>
      <c r="F108" s="65">
        <f>F107*D108</f>
        <v>1.1498637062499999</v>
      </c>
      <c r="G108" s="30" t="s">
        <v>105</v>
      </c>
      <c r="I108" s="30"/>
      <c r="J108" s="30"/>
      <c r="K108" s="30"/>
      <c r="O108" s="30"/>
      <c r="P108" s="30"/>
      <c r="Q108" s="30"/>
      <c r="S108" s="69"/>
      <c r="T108" s="69"/>
      <c r="U108" s="30"/>
      <c r="V108" s="30"/>
      <c r="W108" s="30"/>
      <c r="X108" s="69"/>
      <c r="Y108" s="69"/>
      <c r="Z108" s="51"/>
      <c r="AA108" s="51"/>
      <c r="AB108" s="30"/>
      <c r="AC108" s="30"/>
      <c r="AD108" s="51"/>
      <c r="AE108" s="70"/>
      <c r="AF108" s="30"/>
      <c r="AG108" s="30"/>
      <c r="AH108" s="70"/>
      <c r="AI108" s="30"/>
      <c r="AJ108" s="70"/>
      <c r="AK108" s="30"/>
      <c r="AL108" s="30"/>
      <c r="AM108" s="51"/>
      <c r="AN108" s="47"/>
      <c r="AO108" s="47"/>
      <c r="AP108" s="30"/>
      <c r="AQ108" s="30"/>
      <c r="AR108" s="47"/>
      <c r="AS108" s="30"/>
      <c r="AT108" s="47"/>
      <c r="AU108" s="30"/>
      <c r="AW108" s="30"/>
      <c r="AZ108" s="30"/>
      <c r="BA108" s="30"/>
      <c r="BE108" s="30"/>
      <c r="BH108" s="30"/>
      <c r="BI108" s="30"/>
      <c r="BL108" s="30"/>
      <c r="BN108" s="30"/>
      <c r="BP108" s="30"/>
      <c r="BS108" s="30"/>
      <c r="BT108" s="30"/>
      <c r="BW108" s="30"/>
      <c r="BX108" s="30"/>
      <c r="BZ108" s="30"/>
      <c r="CC108" s="30"/>
      <c r="CD108" s="30"/>
      <c r="CG108" s="30"/>
      <c r="CK108" s="30"/>
      <c r="CN108" s="30"/>
      <c r="CQ108" s="30"/>
      <c r="CU108" s="30"/>
      <c r="CX108" s="30"/>
    </row>
    <row r="109" spans="1:102" s="63" customFormat="1" x14ac:dyDescent="0.3">
      <c r="A109" s="107" t="s">
        <v>97</v>
      </c>
      <c r="B109" s="47">
        <v>1</v>
      </c>
      <c r="C109" s="31" t="s">
        <v>46</v>
      </c>
      <c r="D109" s="48">
        <v>2.37609</v>
      </c>
      <c r="E109" s="37" t="s">
        <v>111</v>
      </c>
      <c r="F109" s="65">
        <f>D109*D110</f>
        <v>4.1366063637000003</v>
      </c>
      <c r="G109" s="30" t="s">
        <v>105</v>
      </c>
      <c r="I109" s="30"/>
      <c r="J109" s="30"/>
      <c r="K109" s="31"/>
      <c r="O109" s="30"/>
      <c r="P109" s="30"/>
      <c r="Q109" s="31"/>
      <c r="S109" s="69"/>
      <c r="T109" s="69"/>
      <c r="U109" s="30"/>
      <c r="V109" s="30"/>
      <c r="W109" s="31"/>
      <c r="X109" s="69"/>
      <c r="Y109" s="69"/>
      <c r="Z109" s="51"/>
      <c r="AA109" s="51"/>
      <c r="AB109" s="31"/>
      <c r="AC109" s="30"/>
      <c r="AD109" s="51"/>
      <c r="AE109" s="70"/>
      <c r="AF109" s="31"/>
      <c r="AG109" s="30"/>
      <c r="AH109" s="70"/>
      <c r="AI109" s="31"/>
      <c r="AJ109" s="70"/>
      <c r="AK109" s="30"/>
      <c r="AL109" s="31"/>
      <c r="AM109" s="51"/>
      <c r="AN109" s="47"/>
      <c r="AO109" s="47"/>
      <c r="AP109" s="31"/>
      <c r="AQ109" s="30"/>
      <c r="AR109" s="47"/>
      <c r="AS109" s="31"/>
      <c r="AT109" s="47"/>
      <c r="AU109" s="30"/>
      <c r="AW109" s="31"/>
      <c r="AZ109" s="30"/>
      <c r="BA109" s="31"/>
      <c r="BE109" s="31"/>
      <c r="BH109" s="30"/>
      <c r="BI109" s="31"/>
      <c r="BL109" s="31"/>
      <c r="BN109" s="30"/>
      <c r="BP109" s="31"/>
      <c r="BS109" s="31"/>
      <c r="BT109" s="30"/>
      <c r="BW109" s="31"/>
      <c r="BX109" s="30"/>
      <c r="BZ109" s="31"/>
      <c r="CC109" s="31"/>
      <c r="CD109" s="30"/>
      <c r="CG109" s="30"/>
      <c r="CK109" s="30"/>
      <c r="CN109" s="30"/>
      <c r="CQ109" s="30"/>
      <c r="CU109" s="30"/>
      <c r="CX109" s="30"/>
    </row>
    <row r="110" spans="1:102" s="63" customFormat="1" x14ac:dyDescent="0.3">
      <c r="A110" s="107"/>
      <c r="B110" s="47">
        <v>1</v>
      </c>
      <c r="C110" s="31" t="s">
        <v>111</v>
      </c>
      <c r="D110" s="48">
        <v>1.7409300000000001</v>
      </c>
      <c r="E110" s="36" t="s">
        <v>105</v>
      </c>
      <c r="F110" s="65"/>
      <c r="G110" s="30"/>
      <c r="I110" s="30"/>
      <c r="J110" s="30"/>
      <c r="K110" s="30"/>
      <c r="O110" s="30"/>
      <c r="P110" s="30"/>
      <c r="Q110" s="30"/>
      <c r="S110" s="69"/>
      <c r="T110" s="69"/>
      <c r="U110" s="30"/>
      <c r="V110" s="30"/>
      <c r="W110" s="30"/>
      <c r="X110" s="69"/>
      <c r="Y110" s="69"/>
      <c r="Z110" s="51"/>
      <c r="AA110" s="51"/>
      <c r="AB110" s="30"/>
      <c r="AC110" s="30"/>
      <c r="AD110" s="51"/>
      <c r="AE110" s="70"/>
      <c r="AF110" s="30"/>
      <c r="AG110" s="30"/>
      <c r="AH110" s="70"/>
      <c r="AI110" s="30"/>
      <c r="AJ110" s="70"/>
      <c r="AK110" s="30"/>
      <c r="AL110" s="30"/>
      <c r="AM110" s="51"/>
      <c r="AN110" s="47"/>
      <c r="AO110" s="47"/>
      <c r="AP110" s="30"/>
      <c r="AQ110" s="30"/>
      <c r="AR110" s="47"/>
      <c r="AS110" s="30"/>
      <c r="AT110" s="47"/>
      <c r="AU110" s="30"/>
      <c r="AW110" s="30"/>
      <c r="AZ110" s="30"/>
      <c r="BA110" s="30"/>
      <c r="BE110" s="30"/>
      <c r="BH110" s="30"/>
      <c r="BI110" s="30"/>
      <c r="BL110" s="30"/>
      <c r="BN110" s="30"/>
      <c r="BP110" s="30"/>
      <c r="BS110" s="30"/>
      <c r="BT110" s="30"/>
      <c r="BW110" s="30"/>
      <c r="BX110" s="30"/>
      <c r="BZ110" s="30"/>
      <c r="CC110" s="30"/>
      <c r="CD110" s="30"/>
      <c r="CG110" s="30"/>
      <c r="CK110" s="30"/>
      <c r="CN110" s="30"/>
      <c r="CQ110" s="30"/>
      <c r="CU110" s="30"/>
      <c r="CX110" s="30"/>
    </row>
    <row r="111" spans="1:102" s="63" customFormat="1" x14ac:dyDescent="0.3">
      <c r="A111" s="107" t="s">
        <v>124</v>
      </c>
      <c r="B111" s="47">
        <v>1</v>
      </c>
      <c r="C111" s="31" t="s">
        <v>46</v>
      </c>
      <c r="D111" s="48">
        <v>242</v>
      </c>
      <c r="E111" s="36" t="s">
        <v>100</v>
      </c>
      <c r="F111" s="65">
        <f>D111/D69</f>
        <v>2.1607142857142856</v>
      </c>
      <c r="G111" s="30" t="s">
        <v>105</v>
      </c>
      <c r="I111" s="30"/>
      <c r="J111" s="30"/>
      <c r="K111" s="30"/>
      <c r="O111" s="30"/>
      <c r="P111" s="30"/>
      <c r="Q111" s="30"/>
      <c r="S111" s="69"/>
      <c r="T111" s="69"/>
      <c r="U111" s="30"/>
      <c r="V111" s="30"/>
      <c r="W111" s="30"/>
      <c r="X111" s="69"/>
      <c r="Y111" s="69"/>
      <c r="Z111" s="51"/>
      <c r="AA111" s="51"/>
      <c r="AB111" s="30"/>
      <c r="AC111" s="30"/>
      <c r="AD111" s="51"/>
      <c r="AE111" s="70"/>
      <c r="AF111" s="30"/>
      <c r="AG111" s="30"/>
      <c r="AH111" s="70"/>
      <c r="AI111" s="30"/>
      <c r="AJ111" s="70"/>
      <c r="AK111" s="30"/>
      <c r="AL111" s="30"/>
      <c r="AM111" s="51"/>
      <c r="AN111" s="47"/>
      <c r="AO111" s="47"/>
      <c r="AP111" s="30"/>
      <c r="AQ111" s="30"/>
      <c r="AR111" s="47"/>
      <c r="AS111" s="30"/>
      <c r="AT111" s="47"/>
      <c r="AU111" s="30"/>
      <c r="AW111" s="30"/>
      <c r="AZ111" s="30"/>
      <c r="BA111" s="30"/>
      <c r="BE111" s="30"/>
      <c r="BH111" s="30"/>
      <c r="BI111" s="30"/>
      <c r="BL111" s="30"/>
      <c r="BN111" s="30"/>
      <c r="BP111" s="30"/>
      <c r="BS111" s="30"/>
      <c r="BT111" s="30"/>
      <c r="BW111" s="30"/>
      <c r="BX111" s="30"/>
      <c r="BZ111" s="30"/>
      <c r="CC111" s="30"/>
      <c r="CD111" s="30"/>
      <c r="CG111" s="30"/>
      <c r="CK111" s="30"/>
      <c r="CN111" s="30"/>
      <c r="CQ111" s="30"/>
      <c r="CU111" s="30"/>
      <c r="CX111" s="30"/>
    </row>
    <row r="112" spans="1:102" s="63" customFormat="1" x14ac:dyDescent="0.3">
      <c r="A112" s="107"/>
      <c r="B112" s="47">
        <v>1</v>
      </c>
      <c r="C112" s="31" t="s">
        <v>43</v>
      </c>
      <c r="D112" s="65">
        <f>F114/D113</f>
        <v>4.400227973715972</v>
      </c>
      <c r="E112" s="36" t="s">
        <v>105</v>
      </c>
      <c r="F112" s="65">
        <f>D112/D61</f>
        <v>0.22001139868579861</v>
      </c>
      <c r="G112" s="30" t="s">
        <v>31</v>
      </c>
      <c r="I112" s="30"/>
      <c r="J112" s="30"/>
      <c r="K112" s="30"/>
      <c r="O112" s="30"/>
      <c r="P112" s="30"/>
      <c r="Q112" s="30"/>
      <c r="S112" s="69"/>
      <c r="T112" s="69"/>
      <c r="U112" s="30"/>
      <c r="V112" s="30"/>
      <c r="W112" s="30"/>
      <c r="X112" s="69"/>
      <c r="Y112" s="69"/>
      <c r="Z112" s="51"/>
      <c r="AA112" s="51"/>
      <c r="AB112" s="30"/>
      <c r="AC112" s="30"/>
      <c r="AD112" s="51"/>
      <c r="AE112" s="70"/>
      <c r="AF112" s="30"/>
      <c r="AG112" s="30"/>
      <c r="AH112" s="70"/>
      <c r="AI112" s="30"/>
      <c r="AJ112" s="70"/>
      <c r="AK112" s="30"/>
      <c r="AL112" s="30"/>
      <c r="AM112" s="51"/>
      <c r="AN112" s="47"/>
      <c r="AO112" s="47"/>
      <c r="AP112" s="30"/>
      <c r="AQ112" s="30"/>
      <c r="AR112" s="47"/>
      <c r="AS112" s="30"/>
      <c r="AT112" s="47"/>
      <c r="AU112" s="30"/>
      <c r="AW112" s="30"/>
      <c r="AZ112" s="30"/>
      <c r="BA112" s="30"/>
      <c r="BE112" s="30"/>
      <c r="BH112" s="30"/>
      <c r="BI112" s="30"/>
      <c r="BL112" s="30"/>
      <c r="BN112" s="30"/>
      <c r="BP112" s="30"/>
      <c r="BS112" s="30"/>
      <c r="BT112" s="30"/>
      <c r="BW112" s="30"/>
      <c r="BX112" s="30"/>
      <c r="BZ112" s="30"/>
      <c r="CC112" s="30"/>
      <c r="CD112" s="30"/>
      <c r="CG112" s="30"/>
      <c r="CK112" s="30"/>
      <c r="CN112" s="30"/>
      <c r="CQ112" s="30"/>
      <c r="CU112" s="30"/>
      <c r="CX112" s="30"/>
    </row>
    <row r="113" spans="1:102" s="63" customFormat="1" x14ac:dyDescent="0.3">
      <c r="A113" s="107"/>
      <c r="B113" s="47">
        <v>1</v>
      </c>
      <c r="C113" s="31" t="s">
        <v>125</v>
      </c>
      <c r="D113" s="48">
        <v>0.59655999999999998</v>
      </c>
      <c r="E113" s="36" t="s">
        <v>43</v>
      </c>
      <c r="I113" s="30"/>
      <c r="J113" s="30"/>
      <c r="K113" s="30"/>
      <c r="O113" s="30"/>
      <c r="P113" s="30"/>
      <c r="Q113" s="30"/>
      <c r="S113" s="69"/>
      <c r="T113" s="69"/>
      <c r="U113" s="30"/>
      <c r="V113" s="30"/>
      <c r="W113" s="30"/>
      <c r="X113" s="69"/>
      <c r="Y113" s="69"/>
      <c r="Z113" s="51"/>
      <c r="AA113" s="51"/>
      <c r="AB113" s="30"/>
      <c r="AC113" s="30"/>
      <c r="AD113" s="51"/>
      <c r="AE113" s="70"/>
      <c r="AF113" s="30"/>
      <c r="AG113" s="30"/>
      <c r="AH113" s="70"/>
      <c r="AI113" s="30"/>
      <c r="AJ113" s="70"/>
      <c r="AK113" s="30"/>
      <c r="AL113" s="30"/>
      <c r="AM113" s="51"/>
      <c r="AN113" s="47"/>
      <c r="AO113" s="47"/>
      <c r="AP113" s="30"/>
      <c r="AQ113" s="30"/>
      <c r="AR113" s="47"/>
      <c r="AS113" s="30"/>
      <c r="AT113" s="47"/>
      <c r="AU113" s="30"/>
      <c r="AW113" s="30"/>
      <c r="AZ113" s="30"/>
      <c r="BA113" s="30"/>
      <c r="BE113" s="30"/>
      <c r="BH113" s="30"/>
      <c r="BI113" s="30"/>
      <c r="BL113" s="30"/>
      <c r="BN113" s="30"/>
      <c r="BP113" s="30"/>
      <c r="BS113" s="30"/>
      <c r="BT113" s="30"/>
      <c r="BW113" s="30"/>
      <c r="BX113" s="30"/>
      <c r="BZ113" s="30"/>
      <c r="CC113" s="30"/>
      <c r="CD113" s="30"/>
      <c r="CG113" s="30"/>
      <c r="CK113" s="30"/>
      <c r="CN113" s="30"/>
      <c r="CQ113" s="30"/>
      <c r="CU113" s="30"/>
      <c r="CX113" s="30"/>
    </row>
    <row r="114" spans="1:102" s="63" customFormat="1" x14ac:dyDescent="0.3">
      <c r="A114" s="47" t="s">
        <v>94</v>
      </c>
      <c r="B114" s="47">
        <v>1</v>
      </c>
      <c r="C114" s="31" t="s">
        <v>125</v>
      </c>
      <c r="D114" s="48">
        <v>294</v>
      </c>
      <c r="E114" s="36" t="s">
        <v>100</v>
      </c>
      <c r="F114" s="65">
        <f>D114/D69</f>
        <v>2.625</v>
      </c>
      <c r="G114" s="30" t="s">
        <v>105</v>
      </c>
      <c r="H114" s="63">
        <f>F114/D61</f>
        <v>0.13125000000000001</v>
      </c>
      <c r="I114" s="30" t="s">
        <v>31</v>
      </c>
      <c r="J114" s="30"/>
      <c r="K114" s="30"/>
      <c r="O114" s="30"/>
      <c r="P114" s="30"/>
      <c r="Q114" s="30"/>
      <c r="S114" s="69"/>
      <c r="T114" s="69"/>
      <c r="U114" s="30"/>
      <c r="V114" s="30"/>
      <c r="W114" s="30"/>
      <c r="X114" s="69"/>
      <c r="Y114" s="69"/>
      <c r="Z114" s="51"/>
      <c r="AA114" s="51"/>
      <c r="AB114" s="30"/>
      <c r="AC114" s="30"/>
      <c r="AD114" s="51"/>
      <c r="AE114" s="70"/>
      <c r="AF114" s="30"/>
      <c r="AG114" s="30"/>
      <c r="AH114" s="70"/>
      <c r="AI114" s="30"/>
      <c r="AJ114" s="70"/>
      <c r="AK114" s="30"/>
      <c r="AL114" s="30"/>
      <c r="AM114" s="51"/>
      <c r="AN114" s="47"/>
      <c r="AO114" s="47"/>
      <c r="AP114" s="30"/>
      <c r="AQ114" s="30"/>
      <c r="AR114" s="47"/>
      <c r="AS114" s="30"/>
      <c r="AT114" s="47"/>
      <c r="AU114" s="30"/>
      <c r="AW114" s="30"/>
      <c r="AZ114" s="30"/>
      <c r="BA114" s="30"/>
      <c r="BE114" s="30"/>
      <c r="BH114" s="30"/>
      <c r="BI114" s="30"/>
      <c r="BL114" s="30"/>
      <c r="BN114" s="30"/>
      <c r="BP114" s="30"/>
      <c r="BS114" s="30"/>
      <c r="BT114" s="30"/>
      <c r="BW114" s="30"/>
      <c r="BX114" s="30"/>
      <c r="BZ114" s="30"/>
      <c r="CC114" s="30"/>
      <c r="CD114" s="30"/>
      <c r="CG114" s="30"/>
      <c r="CK114" s="30"/>
      <c r="CN114" s="30"/>
      <c r="CQ114" s="30"/>
      <c r="CU114" s="30"/>
      <c r="CX114" s="30"/>
    </row>
    <row r="115" spans="1:102" s="63" customFormat="1" x14ac:dyDescent="0.3">
      <c r="A115" s="47" t="s">
        <v>24</v>
      </c>
      <c r="B115" s="47">
        <v>1</v>
      </c>
      <c r="C115" s="31" t="s">
        <v>43</v>
      </c>
      <c r="D115" s="65">
        <v>0.88400000000000001</v>
      </c>
      <c r="E115" s="36" t="s">
        <v>105</v>
      </c>
      <c r="I115" s="30"/>
      <c r="J115" s="30"/>
      <c r="K115" s="30"/>
      <c r="O115" s="30"/>
      <c r="P115" s="30"/>
      <c r="Q115" s="30"/>
      <c r="S115" s="69"/>
      <c r="T115" s="69"/>
      <c r="U115" s="30"/>
      <c r="V115" s="30"/>
      <c r="W115" s="30"/>
      <c r="X115" s="69"/>
      <c r="Y115" s="69"/>
      <c r="Z115" s="51"/>
      <c r="AA115" s="51"/>
      <c r="AB115" s="30"/>
      <c r="AC115" s="30"/>
      <c r="AD115" s="51"/>
      <c r="AE115" s="70"/>
      <c r="AF115" s="30"/>
      <c r="AG115" s="30"/>
      <c r="AH115" s="70"/>
      <c r="AI115" s="30"/>
      <c r="AJ115" s="70"/>
      <c r="AK115" s="30"/>
      <c r="AL115" s="30"/>
      <c r="AM115" s="51"/>
      <c r="AN115" s="47"/>
      <c r="AO115" s="47"/>
      <c r="AP115" s="30"/>
      <c r="AQ115" s="30"/>
      <c r="AR115" s="47"/>
      <c r="AS115" s="30"/>
      <c r="AT115" s="47"/>
      <c r="AU115" s="30"/>
      <c r="AW115" s="30"/>
      <c r="AZ115" s="30"/>
      <c r="BA115" s="30"/>
      <c r="BE115" s="30"/>
      <c r="BH115" s="30"/>
      <c r="BI115" s="30"/>
      <c r="BL115" s="30"/>
      <c r="BN115" s="30"/>
      <c r="BP115" s="30"/>
      <c r="BS115" s="30"/>
      <c r="BT115" s="30"/>
      <c r="BW115" s="30"/>
      <c r="BX115" s="30"/>
      <c r="BZ115" s="30"/>
      <c r="CC115" s="30"/>
      <c r="CD115" s="30"/>
      <c r="CG115" s="30"/>
      <c r="CK115" s="30"/>
      <c r="CN115" s="30"/>
      <c r="CQ115" s="30"/>
      <c r="CU115" s="30"/>
      <c r="CX115" s="30"/>
    </row>
    <row r="116" spans="1:102" s="63" customFormat="1" x14ac:dyDescent="0.3">
      <c r="A116" s="47" t="s">
        <v>47</v>
      </c>
      <c r="B116" s="47">
        <v>1</v>
      </c>
      <c r="C116" s="31" t="s">
        <v>111</v>
      </c>
      <c r="D116" s="48">
        <v>149</v>
      </c>
      <c r="E116" s="36" t="s">
        <v>100</v>
      </c>
      <c r="F116" s="65">
        <f>D116/D69</f>
        <v>1.3303571428571428</v>
      </c>
      <c r="G116" s="30" t="s">
        <v>105</v>
      </c>
      <c r="I116" s="30"/>
      <c r="J116" s="30"/>
      <c r="K116" s="30"/>
      <c r="O116" s="30"/>
      <c r="P116" s="30"/>
      <c r="Q116" s="30"/>
      <c r="S116" s="69"/>
      <c r="T116" s="69"/>
      <c r="U116" s="30"/>
      <c r="V116" s="30"/>
      <c r="W116" s="30"/>
      <c r="X116" s="69"/>
      <c r="Y116" s="69"/>
      <c r="Z116" s="51"/>
      <c r="AA116" s="51"/>
      <c r="AB116" s="30"/>
      <c r="AC116" s="30"/>
      <c r="AD116" s="51"/>
      <c r="AE116" s="70"/>
      <c r="AF116" s="30"/>
      <c r="AG116" s="30"/>
      <c r="AH116" s="70"/>
      <c r="AI116" s="30"/>
      <c r="AJ116" s="70"/>
      <c r="AK116" s="30"/>
      <c r="AL116" s="30"/>
      <c r="AM116" s="51"/>
      <c r="AN116" s="47"/>
      <c r="AO116" s="47"/>
      <c r="AP116" s="30"/>
      <c r="AQ116" s="30"/>
      <c r="AR116" s="47"/>
      <c r="AS116" s="30"/>
      <c r="AT116" s="47"/>
      <c r="AU116" s="30"/>
      <c r="AW116" s="30"/>
      <c r="AZ116" s="30"/>
      <c r="BA116" s="30"/>
      <c r="BE116" s="30"/>
      <c r="BH116" s="30"/>
      <c r="BI116" s="30"/>
      <c r="BL116" s="30"/>
      <c r="BN116" s="30"/>
      <c r="BP116" s="30"/>
      <c r="BS116" s="30"/>
      <c r="BT116" s="30"/>
      <c r="BW116" s="30"/>
      <c r="BX116" s="30"/>
      <c r="BZ116" s="30"/>
      <c r="CC116" s="30"/>
      <c r="CD116" s="30"/>
      <c r="CG116" s="30"/>
      <c r="CK116" s="30"/>
      <c r="CN116" s="30"/>
      <c r="CQ116" s="30"/>
      <c r="CU116" s="30"/>
      <c r="CX116" s="30"/>
    </row>
    <row r="117" spans="1:102" s="63" customFormat="1" x14ac:dyDescent="0.3">
      <c r="A117" s="47" t="s">
        <v>48</v>
      </c>
      <c r="B117" s="47">
        <v>1</v>
      </c>
      <c r="C117" s="31" t="s">
        <v>43</v>
      </c>
      <c r="D117" s="48">
        <v>164</v>
      </c>
      <c r="E117" s="36" t="s">
        <v>100</v>
      </c>
      <c r="F117" s="65">
        <f>D117/D69</f>
        <v>1.4642857142857142</v>
      </c>
      <c r="G117" s="30" t="s">
        <v>105</v>
      </c>
      <c r="I117" s="30"/>
      <c r="J117" s="30"/>
      <c r="K117" s="30"/>
      <c r="O117" s="30"/>
      <c r="P117" s="30"/>
      <c r="Q117" s="30"/>
      <c r="S117" s="69"/>
      <c r="T117" s="69"/>
      <c r="U117" s="30"/>
      <c r="V117" s="30"/>
      <c r="W117" s="30"/>
      <c r="X117" s="69"/>
      <c r="Y117" s="69"/>
      <c r="Z117" s="51"/>
      <c r="AA117" s="51"/>
      <c r="AB117" s="30"/>
      <c r="AC117" s="30"/>
      <c r="AD117" s="51"/>
      <c r="AE117" s="70"/>
      <c r="AF117" s="30"/>
      <c r="AG117" s="30"/>
      <c r="AH117" s="70"/>
      <c r="AI117" s="30"/>
      <c r="AJ117" s="70"/>
      <c r="AK117" s="30"/>
      <c r="AL117" s="30"/>
      <c r="AM117" s="51"/>
      <c r="AN117" s="47"/>
      <c r="AO117" s="47"/>
      <c r="AP117" s="30"/>
      <c r="AQ117" s="30"/>
      <c r="AR117" s="47"/>
      <c r="AS117" s="30"/>
      <c r="AT117" s="47"/>
      <c r="AU117" s="30"/>
      <c r="AW117" s="30"/>
      <c r="AZ117" s="30"/>
      <c r="BA117" s="30"/>
      <c r="BE117" s="30"/>
      <c r="BH117" s="30"/>
      <c r="BI117" s="30"/>
      <c r="BL117" s="30"/>
      <c r="BN117" s="30"/>
      <c r="BP117" s="30"/>
      <c r="BS117" s="30"/>
      <c r="BT117" s="30"/>
      <c r="BW117" s="30"/>
      <c r="BX117" s="30"/>
      <c r="BZ117" s="30"/>
      <c r="CC117" s="30"/>
      <c r="CD117" s="30"/>
      <c r="CG117" s="30"/>
      <c r="CK117" s="30"/>
      <c r="CN117" s="30"/>
      <c r="CQ117" s="30"/>
      <c r="CU117" s="30"/>
      <c r="CX117" s="30"/>
    </row>
    <row r="118" spans="1:102" s="63" customFormat="1" x14ac:dyDescent="0.3">
      <c r="A118" s="107" t="s">
        <v>59</v>
      </c>
      <c r="B118" s="47">
        <v>1</v>
      </c>
      <c r="C118" s="31" t="s">
        <v>125</v>
      </c>
      <c r="D118" s="48">
        <v>2.0271699999999999</v>
      </c>
      <c r="E118" s="36" t="s">
        <v>46</v>
      </c>
      <c r="F118" s="65">
        <f>D119*D118/D69</f>
        <v>6.0815099999999997</v>
      </c>
      <c r="G118" s="30" t="s">
        <v>105</v>
      </c>
      <c r="I118" s="30"/>
      <c r="J118" s="30"/>
      <c r="K118" s="30"/>
      <c r="O118" s="30"/>
      <c r="P118" s="30"/>
      <c r="Q118" s="30"/>
      <c r="S118" s="69"/>
      <c r="T118" s="69"/>
      <c r="U118" s="30"/>
      <c r="V118" s="30"/>
      <c r="W118" s="30"/>
      <c r="X118" s="69"/>
      <c r="Y118" s="69"/>
      <c r="Z118" s="51"/>
      <c r="AA118" s="51"/>
      <c r="AB118" s="30"/>
      <c r="AC118" s="30"/>
      <c r="AD118" s="51"/>
      <c r="AE118" s="70"/>
      <c r="AF118" s="30"/>
      <c r="AG118" s="30"/>
      <c r="AH118" s="70"/>
      <c r="AI118" s="30"/>
      <c r="AJ118" s="70"/>
      <c r="AK118" s="30"/>
      <c r="AL118" s="30"/>
      <c r="AM118" s="51"/>
      <c r="AN118" s="47"/>
      <c r="AO118" s="47"/>
      <c r="AP118" s="30"/>
      <c r="AQ118" s="30"/>
      <c r="AR118" s="47"/>
      <c r="AS118" s="30"/>
      <c r="AT118" s="47"/>
      <c r="AU118" s="30"/>
      <c r="AW118" s="30"/>
      <c r="AZ118" s="30"/>
      <c r="BA118" s="30"/>
      <c r="BE118" s="30"/>
      <c r="BH118" s="30"/>
      <c r="BI118" s="30"/>
      <c r="BL118" s="30"/>
      <c r="BN118" s="30"/>
      <c r="BP118" s="30"/>
      <c r="BS118" s="30"/>
      <c r="BT118" s="30"/>
      <c r="BW118" s="30"/>
      <c r="BX118" s="30"/>
      <c r="BZ118" s="30"/>
      <c r="CC118" s="30"/>
      <c r="CD118" s="30"/>
      <c r="CG118" s="30"/>
      <c r="CK118" s="30"/>
      <c r="CN118" s="30"/>
      <c r="CQ118" s="30"/>
      <c r="CU118" s="30"/>
      <c r="CX118" s="30"/>
    </row>
    <row r="119" spans="1:102" s="63" customFormat="1" x14ac:dyDescent="0.3">
      <c r="A119" s="107"/>
      <c r="B119" s="47">
        <v>1</v>
      </c>
      <c r="C119" s="31" t="s">
        <v>46</v>
      </c>
      <c r="D119" s="48">
        <v>336</v>
      </c>
      <c r="E119" s="36" t="s">
        <v>100</v>
      </c>
      <c r="F119" s="65">
        <f>D119/D69</f>
        <v>3</v>
      </c>
      <c r="G119" s="30" t="s">
        <v>105</v>
      </c>
      <c r="H119" s="65">
        <f>F119/D61</f>
        <v>0.15</v>
      </c>
      <c r="I119" s="30" t="s">
        <v>31</v>
      </c>
      <c r="J119" s="30"/>
      <c r="K119" s="30"/>
      <c r="O119" s="30"/>
      <c r="P119" s="30"/>
      <c r="Q119" s="30"/>
      <c r="S119" s="69"/>
      <c r="T119" s="69"/>
      <c r="U119" s="30"/>
      <c r="V119" s="30"/>
      <c r="W119" s="30"/>
      <c r="X119" s="69"/>
      <c r="Y119" s="69"/>
      <c r="Z119" s="51"/>
      <c r="AA119" s="51"/>
      <c r="AB119" s="30"/>
      <c r="AC119" s="30"/>
      <c r="AD119" s="51"/>
      <c r="AE119" s="70"/>
      <c r="AF119" s="30"/>
      <c r="AG119" s="30"/>
      <c r="AH119" s="70"/>
      <c r="AI119" s="30"/>
      <c r="AJ119" s="70"/>
      <c r="AK119" s="30"/>
      <c r="AL119" s="30"/>
      <c r="AM119" s="51"/>
      <c r="AN119" s="47"/>
      <c r="AO119" s="47"/>
      <c r="AP119" s="30"/>
      <c r="AQ119" s="30"/>
      <c r="AR119" s="47"/>
      <c r="AS119" s="30"/>
      <c r="AT119" s="47"/>
      <c r="AU119" s="30"/>
      <c r="AW119" s="30"/>
      <c r="AZ119" s="30"/>
      <c r="BA119" s="30"/>
      <c r="BE119" s="30"/>
      <c r="BH119" s="30"/>
      <c r="BI119" s="30"/>
      <c r="BL119" s="30"/>
      <c r="BN119" s="30"/>
      <c r="BP119" s="30"/>
      <c r="BS119" s="30"/>
      <c r="BT119" s="30"/>
      <c r="BW119" s="30"/>
      <c r="BX119" s="30"/>
      <c r="BZ119" s="30"/>
      <c r="CC119" s="30"/>
      <c r="CD119" s="30"/>
      <c r="CG119" s="30"/>
      <c r="CK119" s="30"/>
      <c r="CN119" s="30"/>
      <c r="CQ119" s="30"/>
      <c r="CU119" s="30"/>
      <c r="CX119" s="30"/>
    </row>
    <row r="120" spans="1:102" s="63" customFormat="1" x14ac:dyDescent="0.3">
      <c r="A120" s="73" t="s">
        <v>126</v>
      </c>
      <c r="B120" s="47">
        <v>1</v>
      </c>
      <c r="C120" s="31" t="s">
        <v>43</v>
      </c>
      <c r="D120" s="48">
        <v>746.66700000000003</v>
      </c>
      <c r="E120" s="36" t="s">
        <v>100</v>
      </c>
      <c r="F120" s="65">
        <f>D120/D69</f>
        <v>6.6666696428571433</v>
      </c>
      <c r="G120" s="30" t="s">
        <v>105</v>
      </c>
      <c r="H120" s="65">
        <f>F120/D61</f>
        <v>0.33333348214285718</v>
      </c>
      <c r="I120" s="30" t="s">
        <v>31</v>
      </c>
      <c r="J120" s="30"/>
      <c r="K120" s="30"/>
      <c r="O120" s="30"/>
      <c r="P120" s="30"/>
      <c r="Q120" s="30"/>
      <c r="S120" s="69"/>
      <c r="T120" s="69"/>
      <c r="U120" s="30"/>
      <c r="V120" s="30"/>
      <c r="W120" s="30"/>
      <c r="X120" s="69"/>
      <c r="Y120" s="69"/>
      <c r="Z120" s="51"/>
      <c r="AA120" s="51"/>
      <c r="AB120" s="30"/>
      <c r="AC120" s="30"/>
      <c r="AD120" s="51"/>
      <c r="AE120" s="70"/>
      <c r="AF120" s="30"/>
      <c r="AG120" s="30"/>
      <c r="AH120" s="70"/>
      <c r="AI120" s="30"/>
      <c r="AJ120" s="70"/>
      <c r="AK120" s="30"/>
      <c r="AL120" s="30"/>
      <c r="AM120" s="51"/>
      <c r="AN120" s="47"/>
      <c r="AO120" s="47"/>
      <c r="AP120" s="30"/>
      <c r="AQ120" s="30"/>
      <c r="AR120" s="47"/>
      <c r="AS120" s="30"/>
      <c r="AT120" s="47"/>
      <c r="AU120" s="30"/>
      <c r="AW120" s="30"/>
      <c r="AZ120" s="30"/>
      <c r="BA120" s="30"/>
      <c r="BE120" s="30"/>
      <c r="BH120" s="30"/>
      <c r="BI120" s="30"/>
      <c r="BL120" s="30"/>
      <c r="BN120" s="30"/>
      <c r="BP120" s="30"/>
      <c r="BS120" s="30"/>
      <c r="BT120" s="30"/>
      <c r="BW120" s="30"/>
      <c r="BX120" s="30"/>
      <c r="BZ120" s="30"/>
      <c r="CC120" s="30"/>
      <c r="CD120" s="30"/>
      <c r="CG120" s="30"/>
      <c r="CK120" s="30"/>
      <c r="CN120" s="30"/>
      <c r="CQ120" s="30"/>
      <c r="CU120" s="30"/>
      <c r="CX120" s="30"/>
    </row>
    <row r="121" spans="1:102" s="63" customFormat="1" x14ac:dyDescent="0.3">
      <c r="A121" s="107" t="s">
        <v>6</v>
      </c>
      <c r="B121" s="47">
        <v>1</v>
      </c>
      <c r="C121" s="31" t="s">
        <v>123</v>
      </c>
      <c r="D121" s="48">
        <v>260</v>
      </c>
      <c r="E121" s="36" t="s">
        <v>100</v>
      </c>
      <c r="F121" s="65">
        <f>D121/D69</f>
        <v>2.3214285714285716</v>
      </c>
      <c r="G121" s="30" t="s">
        <v>105</v>
      </c>
      <c r="I121" s="30"/>
      <c r="J121" s="30"/>
      <c r="K121" s="30"/>
      <c r="O121" s="30"/>
      <c r="P121" s="30"/>
      <c r="Q121" s="30"/>
      <c r="U121" s="30"/>
      <c r="V121" s="30"/>
      <c r="W121" s="30"/>
      <c r="Z121" s="51"/>
      <c r="AA121" s="51"/>
      <c r="AB121" s="30"/>
      <c r="AC121" s="30"/>
      <c r="AD121" s="51"/>
      <c r="AE121" s="47"/>
      <c r="AF121" s="30"/>
      <c r="AG121" s="30"/>
      <c r="AH121" s="47"/>
      <c r="AI121" s="30"/>
      <c r="AJ121" s="47"/>
      <c r="AK121" s="30"/>
      <c r="AL121" s="30"/>
      <c r="AM121" s="51"/>
      <c r="AN121" s="47"/>
      <c r="AO121" s="47"/>
      <c r="AP121" s="30"/>
      <c r="AQ121" s="30"/>
      <c r="AR121" s="47"/>
      <c r="AS121" s="30"/>
      <c r="AT121" s="47"/>
      <c r="AU121" s="30"/>
      <c r="AW121" s="30"/>
      <c r="AZ121" s="30"/>
      <c r="BA121" s="30"/>
      <c r="BE121" s="30"/>
      <c r="BH121" s="30"/>
      <c r="BI121" s="30"/>
      <c r="BL121" s="30"/>
      <c r="BN121" s="30"/>
      <c r="BP121" s="30"/>
      <c r="BS121" s="30"/>
      <c r="BT121" s="30"/>
      <c r="BW121" s="30"/>
      <c r="BX121" s="30"/>
      <c r="BZ121" s="30"/>
      <c r="CC121" s="30"/>
      <c r="CD121" s="30"/>
      <c r="CG121" s="30"/>
      <c r="CK121" s="30"/>
      <c r="CN121" s="30"/>
      <c r="CQ121" s="30"/>
      <c r="CU121" s="30"/>
      <c r="CX121" s="30"/>
    </row>
    <row r="122" spans="1:102" s="63" customFormat="1" x14ac:dyDescent="0.3">
      <c r="A122" s="107"/>
      <c r="B122" s="47">
        <v>1</v>
      </c>
      <c r="C122" s="31" t="s">
        <v>43</v>
      </c>
      <c r="D122" s="48">
        <v>1.5662799999999999</v>
      </c>
      <c r="E122" s="36" t="s">
        <v>105</v>
      </c>
      <c r="F122" s="65">
        <f>D122/D61</f>
        <v>7.8313999999999995E-2</v>
      </c>
      <c r="G122" s="30" t="s">
        <v>31</v>
      </c>
      <c r="I122" s="30"/>
      <c r="J122" s="30"/>
      <c r="K122" s="30"/>
      <c r="O122" s="30"/>
      <c r="P122" s="30"/>
      <c r="Q122" s="30"/>
      <c r="U122" s="30"/>
      <c r="V122" s="30"/>
      <c r="W122" s="30"/>
      <c r="Z122" s="51"/>
      <c r="AA122" s="51"/>
      <c r="AB122" s="30"/>
      <c r="AC122" s="30"/>
      <c r="AD122" s="51"/>
      <c r="AE122" s="47"/>
      <c r="AF122" s="30"/>
      <c r="AG122" s="30"/>
      <c r="AH122" s="47"/>
      <c r="AI122" s="30"/>
      <c r="AJ122" s="47"/>
      <c r="AK122" s="30"/>
      <c r="AL122" s="30"/>
      <c r="AM122" s="51"/>
      <c r="AN122" s="47"/>
      <c r="AO122" s="47"/>
      <c r="AP122" s="30"/>
      <c r="AQ122" s="30"/>
      <c r="AR122" s="47"/>
      <c r="AS122" s="30"/>
      <c r="AT122" s="47"/>
      <c r="AU122" s="30"/>
      <c r="AW122" s="30"/>
      <c r="AZ122" s="30"/>
      <c r="BA122" s="30"/>
      <c r="BE122" s="30"/>
      <c r="BH122" s="30"/>
      <c r="BI122" s="30"/>
      <c r="BL122" s="30"/>
      <c r="BN122" s="30"/>
      <c r="BP122" s="30"/>
      <c r="BS122" s="30"/>
      <c r="BT122" s="30"/>
      <c r="BW122" s="30"/>
      <c r="BX122" s="30"/>
      <c r="BZ122" s="30"/>
      <c r="CC122" s="30"/>
      <c r="CD122" s="30"/>
      <c r="CG122" s="30"/>
      <c r="CK122" s="30"/>
      <c r="CN122" s="30"/>
      <c r="CQ122" s="30"/>
      <c r="CU122" s="30"/>
      <c r="CX122" s="30"/>
    </row>
    <row r="123" spans="1:102" s="63" customFormat="1" x14ac:dyDescent="0.3">
      <c r="A123" s="107"/>
      <c r="B123" s="47">
        <v>1</v>
      </c>
      <c r="C123" s="31" t="s">
        <v>26</v>
      </c>
      <c r="D123" s="48">
        <v>560</v>
      </c>
      <c r="E123" s="36" t="s">
        <v>100</v>
      </c>
      <c r="F123" s="65">
        <f>D123/D69</f>
        <v>5</v>
      </c>
      <c r="G123" s="30" t="s">
        <v>105</v>
      </c>
      <c r="H123" s="51"/>
      <c r="I123" s="30"/>
      <c r="J123" s="30"/>
      <c r="K123" s="30"/>
      <c r="M123" s="51"/>
      <c r="N123" s="51"/>
      <c r="O123" s="30"/>
      <c r="P123" s="30"/>
      <c r="Q123" s="30"/>
      <c r="U123" s="30"/>
      <c r="V123" s="30"/>
      <c r="W123" s="30"/>
      <c r="AB123" s="30"/>
      <c r="AC123" s="30"/>
      <c r="AF123" s="30"/>
      <c r="AG123" s="30"/>
      <c r="AH123" s="47"/>
      <c r="AI123" s="30"/>
      <c r="AK123" s="30"/>
      <c r="AL123" s="30"/>
      <c r="AN123" s="51"/>
      <c r="AO123" s="51"/>
      <c r="AP123" s="30"/>
      <c r="AQ123" s="30"/>
      <c r="AS123" s="30"/>
      <c r="AU123" s="30"/>
      <c r="AW123" s="30"/>
      <c r="AZ123" s="30"/>
      <c r="BA123" s="30"/>
      <c r="BE123" s="30"/>
      <c r="BH123" s="30"/>
      <c r="BI123" s="30"/>
      <c r="BK123" s="51"/>
      <c r="BL123" s="30"/>
      <c r="BN123" s="30"/>
      <c r="BP123" s="30"/>
      <c r="BS123" s="30"/>
      <c r="BT123" s="30"/>
      <c r="BW123" s="30"/>
      <c r="BX123" s="30"/>
      <c r="BZ123" s="30"/>
      <c r="CC123" s="30"/>
      <c r="CD123" s="30"/>
      <c r="CG123" s="30"/>
      <c r="CK123" s="30"/>
      <c r="CN123" s="30"/>
      <c r="CQ123" s="30"/>
      <c r="CU123" s="30"/>
      <c r="CX123" s="30"/>
    </row>
    <row r="124" spans="1:102" s="47" customFormat="1" x14ac:dyDescent="0.3">
      <c r="A124" s="107" t="s">
        <v>86</v>
      </c>
      <c r="B124" s="47">
        <v>1</v>
      </c>
      <c r="C124" s="30" t="s">
        <v>46</v>
      </c>
      <c r="D124" s="74">
        <v>80</v>
      </c>
      <c r="E124" s="36" t="s">
        <v>100</v>
      </c>
      <c r="F124" s="75">
        <f>D124/D125</f>
        <v>0.7142857142857143</v>
      </c>
      <c r="G124" s="30" t="s">
        <v>105</v>
      </c>
      <c r="H124" s="74"/>
      <c r="I124" s="30"/>
      <c r="J124" s="30"/>
      <c r="K124" s="30"/>
      <c r="L124" s="74"/>
      <c r="M124" s="74"/>
      <c r="N124" s="74"/>
      <c r="O124" s="30"/>
      <c r="P124" s="30"/>
      <c r="Q124" s="30"/>
      <c r="R124" s="74"/>
      <c r="S124" s="74"/>
      <c r="U124" s="30"/>
      <c r="V124" s="30"/>
      <c r="W124" s="30"/>
      <c r="AB124" s="30"/>
      <c r="AC124" s="30"/>
      <c r="AF124" s="30"/>
      <c r="AG124" s="30"/>
      <c r="AI124" s="30"/>
      <c r="AK124" s="30"/>
      <c r="AL124" s="30"/>
      <c r="AP124" s="30"/>
      <c r="AQ124" s="30"/>
      <c r="AS124" s="30"/>
      <c r="AU124" s="30"/>
      <c r="AW124" s="30"/>
      <c r="AZ124" s="30"/>
      <c r="BA124" s="30"/>
      <c r="BE124" s="30"/>
      <c r="BH124" s="30"/>
      <c r="BI124" s="30"/>
      <c r="BL124" s="30"/>
      <c r="BN124" s="30"/>
      <c r="BP124" s="30"/>
      <c r="BS124" s="30"/>
      <c r="BT124" s="30"/>
      <c r="BW124" s="30"/>
      <c r="BX124" s="30"/>
      <c r="BZ124" s="30"/>
      <c r="CC124" s="30"/>
      <c r="CD124" s="30"/>
      <c r="CG124" s="30"/>
      <c r="CK124" s="30"/>
      <c r="CN124" s="30"/>
      <c r="CQ124" s="30"/>
      <c r="CU124" s="30"/>
      <c r="CX124" s="30"/>
    </row>
    <row r="125" spans="1:102" s="47" customFormat="1" x14ac:dyDescent="0.3">
      <c r="A125" s="107"/>
      <c r="B125" s="47">
        <v>1</v>
      </c>
      <c r="C125" s="30" t="s">
        <v>105</v>
      </c>
      <c r="D125" s="74">
        <v>112</v>
      </c>
      <c r="E125" s="36" t="s">
        <v>100</v>
      </c>
      <c r="F125" s="74"/>
      <c r="G125" s="74"/>
      <c r="H125" s="74"/>
      <c r="I125" s="30"/>
      <c r="J125" s="30"/>
      <c r="K125" s="30"/>
      <c r="L125" s="74"/>
      <c r="M125" s="74"/>
      <c r="N125" s="74"/>
      <c r="O125" s="30"/>
      <c r="P125" s="30"/>
      <c r="Q125" s="30"/>
      <c r="R125" s="74"/>
      <c r="S125" s="74"/>
      <c r="U125" s="30"/>
      <c r="V125" s="30"/>
      <c r="W125" s="30"/>
      <c r="AB125" s="30"/>
      <c r="AC125" s="30"/>
      <c r="AF125" s="30"/>
      <c r="AG125" s="30"/>
      <c r="AI125" s="30"/>
      <c r="AK125" s="30"/>
      <c r="AL125" s="30"/>
      <c r="AP125" s="30"/>
      <c r="AQ125" s="30"/>
      <c r="AS125" s="30"/>
      <c r="AU125" s="30"/>
      <c r="AW125" s="30"/>
      <c r="AZ125" s="30"/>
      <c r="BA125" s="30"/>
      <c r="BE125" s="30"/>
      <c r="BH125" s="30"/>
      <c r="BI125" s="30"/>
      <c r="BL125" s="30"/>
      <c r="BN125" s="30"/>
      <c r="BP125" s="30"/>
      <c r="BS125" s="30"/>
      <c r="BT125" s="30"/>
      <c r="BW125" s="30"/>
      <c r="BX125" s="30"/>
      <c r="BZ125" s="30"/>
      <c r="CC125" s="30"/>
      <c r="CD125" s="30"/>
      <c r="CG125" s="30"/>
      <c r="CK125" s="30"/>
      <c r="CN125" s="30"/>
      <c r="CQ125" s="30"/>
      <c r="CU125" s="30"/>
      <c r="CX125" s="30"/>
    </row>
    <row r="126" spans="1:102" s="47" customFormat="1" x14ac:dyDescent="0.3">
      <c r="A126" s="73" t="s">
        <v>127</v>
      </c>
      <c r="B126" s="47">
        <v>1</v>
      </c>
      <c r="C126" s="31" t="s">
        <v>46</v>
      </c>
      <c r="D126" s="48">
        <v>336</v>
      </c>
      <c r="E126" s="36" t="s">
        <v>100</v>
      </c>
      <c r="F126" s="65">
        <f>D126/D125</f>
        <v>3</v>
      </c>
      <c r="G126" s="30" t="s">
        <v>105</v>
      </c>
      <c r="H126" s="74"/>
      <c r="I126" s="30"/>
      <c r="J126" s="30"/>
      <c r="K126" s="30"/>
      <c r="L126" s="74"/>
      <c r="M126" s="74"/>
      <c r="N126" s="74"/>
      <c r="O126" s="30"/>
      <c r="P126" s="30"/>
      <c r="Q126" s="30"/>
      <c r="R126" s="74"/>
      <c r="S126" s="74"/>
      <c r="U126" s="30"/>
      <c r="V126" s="30"/>
      <c r="W126" s="30"/>
      <c r="AB126" s="30"/>
      <c r="AC126" s="30"/>
      <c r="AF126" s="30"/>
      <c r="AG126" s="30"/>
      <c r="AI126" s="30"/>
      <c r="AK126" s="30"/>
      <c r="AL126" s="30"/>
      <c r="AP126" s="30"/>
      <c r="AQ126" s="30"/>
      <c r="AS126" s="30"/>
      <c r="AU126" s="30"/>
      <c r="AW126" s="30"/>
      <c r="AZ126" s="30"/>
      <c r="BA126" s="30"/>
      <c r="BE126" s="30"/>
      <c r="BH126" s="30"/>
      <c r="BI126" s="30"/>
      <c r="BL126" s="30"/>
      <c r="BN126" s="30"/>
      <c r="BP126" s="30"/>
      <c r="BS126" s="30"/>
      <c r="BT126" s="30"/>
      <c r="BW126" s="30"/>
      <c r="BX126" s="30"/>
      <c r="BZ126" s="30"/>
      <c r="CC126" s="30"/>
      <c r="CD126" s="30"/>
      <c r="CG126" s="30"/>
      <c r="CK126" s="30"/>
      <c r="CN126" s="30"/>
      <c r="CQ126" s="30"/>
      <c r="CU126" s="30"/>
      <c r="CX126" s="30"/>
    </row>
    <row r="127" spans="1:102" s="47" customFormat="1" x14ac:dyDescent="0.3">
      <c r="A127" s="47" t="s">
        <v>128</v>
      </c>
      <c r="B127" s="47">
        <v>1</v>
      </c>
      <c r="C127" s="31" t="s">
        <v>129</v>
      </c>
      <c r="D127" s="48">
        <v>9</v>
      </c>
      <c r="E127" s="36" t="s">
        <v>18</v>
      </c>
      <c r="F127" s="74"/>
      <c r="G127" s="74"/>
      <c r="H127" s="74"/>
      <c r="I127" s="30"/>
      <c r="J127" s="30"/>
      <c r="K127" s="30"/>
      <c r="L127" s="74"/>
      <c r="M127" s="74"/>
      <c r="N127" s="74"/>
      <c r="O127" s="30"/>
      <c r="P127" s="30"/>
      <c r="Q127" s="30"/>
      <c r="R127" s="74"/>
      <c r="S127" s="74"/>
      <c r="U127" s="30"/>
      <c r="V127" s="30"/>
      <c r="W127" s="30"/>
      <c r="AB127" s="30"/>
      <c r="AC127" s="30"/>
      <c r="AF127" s="30"/>
      <c r="AG127" s="30"/>
      <c r="AI127" s="30"/>
      <c r="AK127" s="30"/>
      <c r="AL127" s="30"/>
      <c r="AP127" s="30"/>
      <c r="AQ127" s="30"/>
      <c r="AS127" s="30"/>
      <c r="AU127" s="30"/>
      <c r="AW127" s="30"/>
      <c r="AZ127" s="30"/>
      <c r="BA127" s="30"/>
      <c r="BE127" s="30"/>
      <c r="BH127" s="30"/>
      <c r="BI127" s="30"/>
      <c r="BL127" s="30"/>
      <c r="BN127" s="30"/>
      <c r="BP127" s="30"/>
      <c r="BS127" s="30"/>
      <c r="BT127" s="30"/>
      <c r="BW127" s="30"/>
      <c r="BX127" s="30"/>
      <c r="BZ127" s="30"/>
      <c r="CC127" s="30"/>
      <c r="CD127" s="30"/>
      <c r="CG127" s="30"/>
      <c r="CK127" s="30"/>
      <c r="CN127" s="30"/>
      <c r="CQ127" s="30"/>
      <c r="CU127" s="30"/>
      <c r="CX127" s="30"/>
    </row>
    <row r="128" spans="1:102" s="47" customFormat="1" x14ac:dyDescent="0.3">
      <c r="A128" s="47" t="s">
        <v>87</v>
      </c>
      <c r="B128" s="47">
        <v>1</v>
      </c>
      <c r="C128" s="31" t="s">
        <v>43</v>
      </c>
      <c r="D128" s="48">
        <f>756/3720</f>
        <v>0.20322580645161289</v>
      </c>
      <c r="E128" s="36" t="s">
        <v>105</v>
      </c>
      <c r="F128" s="75">
        <f>D128/D61</f>
        <v>1.0161290322580644E-2</v>
      </c>
      <c r="G128" s="34" t="s">
        <v>31</v>
      </c>
      <c r="H128" s="74"/>
      <c r="I128" s="30"/>
      <c r="J128" s="30"/>
      <c r="K128" s="30"/>
      <c r="L128" s="74"/>
      <c r="M128" s="74"/>
      <c r="N128" s="74"/>
      <c r="O128" s="30"/>
      <c r="P128" s="30"/>
      <c r="Q128" s="30"/>
      <c r="R128" s="74"/>
      <c r="S128" s="74"/>
      <c r="U128" s="30"/>
      <c r="V128" s="30"/>
      <c r="W128" s="30"/>
      <c r="AB128" s="30"/>
      <c r="AC128" s="30"/>
      <c r="AF128" s="30"/>
      <c r="AG128" s="30"/>
      <c r="AI128" s="30"/>
      <c r="AK128" s="30"/>
      <c r="AL128" s="30"/>
      <c r="AP128" s="30"/>
      <c r="AQ128" s="30"/>
      <c r="AS128" s="30"/>
      <c r="AU128" s="30"/>
      <c r="AW128" s="30"/>
      <c r="AZ128" s="30"/>
      <c r="BA128" s="30"/>
      <c r="BE128" s="30"/>
      <c r="BH128" s="30"/>
      <c r="BI128" s="30"/>
      <c r="BL128" s="30"/>
      <c r="BN128" s="30"/>
      <c r="BP128" s="30"/>
      <c r="BS128" s="30"/>
      <c r="BT128" s="30"/>
      <c r="BW128" s="30"/>
      <c r="BX128" s="30"/>
      <c r="BZ128" s="30"/>
      <c r="CC128" s="30"/>
      <c r="CD128" s="30"/>
      <c r="CG128" s="30"/>
      <c r="CK128" s="30"/>
      <c r="CN128" s="30"/>
      <c r="CQ128" s="30"/>
      <c r="CU128" s="30"/>
      <c r="CX128" s="30"/>
    </row>
    <row r="129" spans="1:102" s="47" customFormat="1" x14ac:dyDescent="0.3">
      <c r="A129" s="47" t="s">
        <v>9</v>
      </c>
      <c r="B129" s="47">
        <v>1</v>
      </c>
      <c r="C129" s="31" t="s">
        <v>111</v>
      </c>
      <c r="D129" s="48">
        <f>600/400</f>
        <v>1.5</v>
      </c>
      <c r="E129" s="36" t="s">
        <v>105</v>
      </c>
      <c r="F129" s="74"/>
      <c r="G129" s="74"/>
      <c r="H129" s="74"/>
      <c r="I129" s="30"/>
      <c r="J129" s="30"/>
      <c r="K129" s="30"/>
      <c r="L129" s="74"/>
      <c r="M129" s="74"/>
      <c r="N129" s="74"/>
      <c r="O129" s="30"/>
      <c r="P129" s="30"/>
      <c r="Q129" s="30"/>
      <c r="R129" s="74"/>
      <c r="S129" s="74"/>
      <c r="U129" s="30"/>
      <c r="V129" s="30"/>
      <c r="W129" s="30"/>
      <c r="AB129" s="30"/>
      <c r="AC129" s="30"/>
      <c r="AF129" s="30"/>
      <c r="AG129" s="30"/>
      <c r="AI129" s="30"/>
      <c r="AK129" s="30"/>
      <c r="AL129" s="30"/>
      <c r="AP129" s="30"/>
      <c r="AQ129" s="30"/>
      <c r="AS129" s="30"/>
      <c r="AU129" s="30"/>
      <c r="AW129" s="30"/>
      <c r="AZ129" s="30"/>
      <c r="BA129" s="30"/>
      <c r="BE129" s="30"/>
      <c r="BH129" s="30"/>
      <c r="BI129" s="30"/>
      <c r="BL129" s="30"/>
      <c r="BN129" s="30"/>
      <c r="BP129" s="30"/>
      <c r="BS129" s="30"/>
      <c r="BT129" s="30"/>
      <c r="BW129" s="30"/>
      <c r="BX129" s="30"/>
      <c r="BZ129" s="30"/>
      <c r="CC129" s="30"/>
      <c r="CD129" s="30"/>
      <c r="CG129" s="30"/>
      <c r="CK129" s="30"/>
      <c r="CN129" s="30"/>
      <c r="CQ129" s="30"/>
      <c r="CU129" s="30"/>
      <c r="CX129" s="30"/>
    </row>
    <row r="130" spans="1:102" s="47" customFormat="1" x14ac:dyDescent="0.3">
      <c r="A130" s="47" t="s">
        <v>130</v>
      </c>
      <c r="B130" s="47">
        <v>1</v>
      </c>
      <c r="C130" s="31" t="s">
        <v>46</v>
      </c>
      <c r="D130" s="48">
        <f>600/400</f>
        <v>1.5</v>
      </c>
      <c r="E130" s="36" t="s">
        <v>105</v>
      </c>
      <c r="F130" s="74"/>
      <c r="G130" s="74"/>
      <c r="H130" s="74"/>
      <c r="I130" s="30"/>
      <c r="J130" s="30"/>
      <c r="K130" s="30"/>
      <c r="L130" s="74"/>
      <c r="M130" s="74"/>
      <c r="N130" s="74"/>
      <c r="O130" s="30"/>
      <c r="P130" s="30"/>
      <c r="Q130" s="30"/>
      <c r="R130" s="74"/>
      <c r="S130" s="74"/>
      <c r="U130" s="30"/>
      <c r="V130" s="30"/>
      <c r="W130" s="30"/>
      <c r="AB130" s="30"/>
      <c r="AC130" s="30"/>
      <c r="AF130" s="30"/>
      <c r="AG130" s="30"/>
      <c r="AI130" s="30"/>
      <c r="AK130" s="30"/>
      <c r="AL130" s="30"/>
      <c r="AP130" s="30"/>
      <c r="AQ130" s="30"/>
      <c r="AS130" s="30"/>
      <c r="AU130" s="30"/>
      <c r="AW130" s="30"/>
      <c r="AZ130" s="30"/>
      <c r="BA130" s="30"/>
      <c r="BE130" s="30"/>
      <c r="BH130" s="30"/>
      <c r="BI130" s="30"/>
      <c r="BL130" s="30"/>
      <c r="BN130" s="30"/>
      <c r="BP130" s="30"/>
      <c r="BS130" s="30"/>
      <c r="BT130" s="30"/>
      <c r="BW130" s="30"/>
      <c r="BX130" s="30"/>
      <c r="BZ130" s="30"/>
      <c r="CC130" s="30"/>
      <c r="CD130" s="30"/>
      <c r="CG130" s="30"/>
      <c r="CK130" s="30"/>
      <c r="CN130" s="30"/>
      <c r="CQ130" s="30"/>
      <c r="CU130" s="30"/>
      <c r="CX130" s="30"/>
    </row>
    <row r="131" spans="1:102" s="47" customFormat="1" x14ac:dyDescent="0.3">
      <c r="A131" s="47" t="s">
        <v>37</v>
      </c>
      <c r="B131" s="47">
        <v>1</v>
      </c>
      <c r="C131" s="31" t="s">
        <v>43</v>
      </c>
      <c r="D131" s="48">
        <f>3600/2400</f>
        <v>1.5</v>
      </c>
      <c r="E131" s="36" t="s">
        <v>105</v>
      </c>
      <c r="F131" s="75">
        <f>D131/D61</f>
        <v>7.4999999999999997E-2</v>
      </c>
      <c r="G131" s="34" t="s">
        <v>31</v>
      </c>
      <c r="H131" s="74"/>
      <c r="I131" s="30"/>
      <c r="J131" s="30"/>
      <c r="K131" s="30"/>
      <c r="L131" s="74"/>
      <c r="M131" s="74"/>
      <c r="N131" s="74"/>
      <c r="O131" s="30"/>
      <c r="P131" s="30"/>
      <c r="Q131" s="30"/>
      <c r="R131" s="74"/>
      <c r="S131" s="74"/>
      <c r="U131" s="30"/>
      <c r="V131" s="30"/>
      <c r="W131" s="30"/>
      <c r="AB131" s="30"/>
      <c r="AC131" s="30"/>
      <c r="AF131" s="30"/>
      <c r="AG131" s="30"/>
      <c r="AI131" s="30"/>
      <c r="AK131" s="30"/>
      <c r="AL131" s="30"/>
      <c r="AP131" s="30"/>
      <c r="AQ131" s="30"/>
      <c r="AS131" s="30"/>
      <c r="AU131" s="30"/>
      <c r="AW131" s="30"/>
      <c r="AZ131" s="30"/>
      <c r="BA131" s="30"/>
      <c r="BE131" s="30"/>
      <c r="BH131" s="30"/>
      <c r="BI131" s="30"/>
      <c r="BL131" s="30"/>
      <c r="BN131" s="30"/>
      <c r="BP131" s="30"/>
      <c r="BS131" s="30"/>
      <c r="BT131" s="30"/>
      <c r="BW131" s="30"/>
      <c r="BX131" s="30"/>
      <c r="BZ131" s="30"/>
      <c r="CC131" s="30"/>
      <c r="CD131" s="30"/>
      <c r="CG131" s="30"/>
      <c r="CK131" s="30"/>
      <c r="CN131" s="30"/>
      <c r="CQ131" s="30"/>
      <c r="CU131" s="30"/>
      <c r="CX131" s="30"/>
    </row>
    <row r="132" spans="1:102" s="63" customFormat="1" x14ac:dyDescent="0.3">
      <c r="A132" s="47" t="s">
        <v>25</v>
      </c>
      <c r="B132" s="47">
        <v>1</v>
      </c>
      <c r="C132" s="31" t="s">
        <v>43</v>
      </c>
      <c r="D132" s="63">
        <v>153.125</v>
      </c>
      <c r="E132" s="36" t="s">
        <v>100</v>
      </c>
      <c r="F132" s="65">
        <f>D132/D69</f>
        <v>1.3671875</v>
      </c>
      <c r="G132" s="30" t="s">
        <v>105</v>
      </c>
      <c r="H132" s="51"/>
      <c r="K132" s="30"/>
      <c r="M132" s="51"/>
      <c r="N132" s="51"/>
      <c r="Q132" s="30"/>
      <c r="W132" s="30"/>
      <c r="AB132" s="30"/>
      <c r="AF132" s="30"/>
      <c r="AH132" s="47"/>
      <c r="AI132" s="30"/>
      <c r="AL132" s="30"/>
      <c r="AN132" s="51"/>
      <c r="AO132" s="51"/>
      <c r="AP132" s="30"/>
      <c r="AS132" s="30"/>
      <c r="AW132" s="30"/>
      <c r="BA132" s="30"/>
      <c r="BE132" s="30"/>
      <c r="BI132" s="30"/>
      <c r="BK132" s="51"/>
      <c r="BL132" s="30"/>
      <c r="BP132" s="30"/>
      <c r="BS132" s="30"/>
      <c r="BW132" s="30"/>
      <c r="BZ132" s="30"/>
      <c r="CC132" s="30"/>
    </row>
    <row r="133" spans="1:102" s="47" customFormat="1" x14ac:dyDescent="0.3">
      <c r="A133" s="107" t="s">
        <v>33</v>
      </c>
      <c r="B133" s="47">
        <v>1</v>
      </c>
      <c r="C133" s="30" t="s">
        <v>28</v>
      </c>
      <c r="D133" s="48">
        <v>1</v>
      </c>
      <c r="E133" s="36" t="s">
        <v>46</v>
      </c>
      <c r="F133" s="65">
        <f>F134</f>
        <v>3.0446428571428572</v>
      </c>
      <c r="G133" s="30" t="s">
        <v>105</v>
      </c>
      <c r="I133" s="63"/>
      <c r="J133" s="63"/>
      <c r="K133" s="30"/>
      <c r="O133" s="63"/>
      <c r="P133" s="63"/>
      <c r="Q133" s="30"/>
      <c r="U133" s="63"/>
      <c r="V133" s="63"/>
      <c r="W133" s="30"/>
      <c r="AB133" s="30"/>
      <c r="AC133" s="63"/>
      <c r="AF133" s="30"/>
      <c r="AG133" s="63"/>
      <c r="AI133" s="30"/>
      <c r="AK133" s="63"/>
      <c r="AL133" s="30"/>
      <c r="AP133" s="30"/>
      <c r="AQ133" s="63"/>
      <c r="AS133" s="30"/>
      <c r="AU133" s="63"/>
      <c r="AW133" s="30"/>
      <c r="AZ133" s="63"/>
      <c r="BA133" s="30"/>
      <c r="BE133" s="30"/>
      <c r="BH133" s="63"/>
      <c r="BI133" s="30"/>
      <c r="BL133" s="30"/>
      <c r="BN133" s="63"/>
      <c r="BP133" s="30"/>
      <c r="BS133" s="30"/>
      <c r="BT133" s="63"/>
      <c r="BW133" s="30"/>
      <c r="BX133" s="63"/>
      <c r="BZ133" s="30"/>
      <c r="CC133" s="30"/>
      <c r="CD133" s="63"/>
      <c r="CG133" s="63"/>
      <c r="CK133" s="63"/>
      <c r="CN133" s="63"/>
      <c r="CQ133" s="63"/>
      <c r="CU133" s="63"/>
      <c r="CX133" s="63"/>
    </row>
    <row r="134" spans="1:102" s="47" customFormat="1" x14ac:dyDescent="0.3">
      <c r="A134" s="107"/>
      <c r="B134" s="47">
        <v>1</v>
      </c>
      <c r="C134" s="30" t="s">
        <v>46</v>
      </c>
      <c r="D134" s="48">
        <f>(355+327)/2</f>
        <v>341</v>
      </c>
      <c r="E134" s="36" t="s">
        <v>100</v>
      </c>
      <c r="F134" s="65">
        <f>D134/D69</f>
        <v>3.0446428571428572</v>
      </c>
      <c r="G134" s="30" t="s">
        <v>105</v>
      </c>
      <c r="I134" s="63"/>
      <c r="J134" s="63"/>
      <c r="K134" s="30"/>
      <c r="O134" s="63"/>
      <c r="P134" s="63"/>
      <c r="Q134" s="30"/>
      <c r="U134" s="63"/>
      <c r="V134" s="63"/>
      <c r="W134" s="30"/>
      <c r="AB134" s="30"/>
      <c r="AC134" s="63"/>
      <c r="AF134" s="30"/>
      <c r="AG134" s="63"/>
      <c r="AI134" s="30"/>
      <c r="AK134" s="63"/>
      <c r="AL134" s="30"/>
      <c r="AP134" s="30"/>
      <c r="AQ134" s="63"/>
      <c r="AS134" s="30"/>
      <c r="AU134" s="63"/>
      <c r="AW134" s="30"/>
      <c r="AZ134" s="63"/>
      <c r="BA134" s="30"/>
      <c r="BE134" s="30"/>
      <c r="BH134" s="63"/>
      <c r="BI134" s="30"/>
      <c r="BL134" s="30"/>
      <c r="BN134" s="63"/>
      <c r="BP134" s="30"/>
      <c r="BS134" s="30"/>
      <c r="BT134" s="63"/>
      <c r="BW134" s="30"/>
      <c r="BX134" s="63"/>
      <c r="BZ134" s="30"/>
      <c r="CC134" s="30"/>
      <c r="CD134" s="63"/>
      <c r="CG134" s="63"/>
      <c r="CK134" s="63"/>
      <c r="CN134" s="63"/>
      <c r="CQ134" s="63"/>
      <c r="CU134" s="63"/>
      <c r="CX134" s="63"/>
    </row>
    <row r="135" spans="1:102" s="47" customFormat="1" x14ac:dyDescent="0.3">
      <c r="A135" s="107"/>
      <c r="B135" s="47">
        <v>1</v>
      </c>
      <c r="C135" s="31" t="s">
        <v>19</v>
      </c>
      <c r="D135" s="48">
        <f>(2.2+2.5)/2</f>
        <v>2.35</v>
      </c>
      <c r="E135" s="36" t="s">
        <v>100</v>
      </c>
      <c r="F135" s="65">
        <f>D135/D69</f>
        <v>2.0982142857142859E-2</v>
      </c>
      <c r="G135" s="30" t="s">
        <v>105</v>
      </c>
      <c r="I135" s="63"/>
      <c r="J135" s="63"/>
      <c r="K135" s="30"/>
      <c r="O135" s="63"/>
      <c r="P135" s="63"/>
      <c r="Q135" s="30"/>
      <c r="U135" s="63"/>
      <c r="V135" s="63"/>
      <c r="W135" s="30"/>
      <c r="AB135" s="30"/>
      <c r="AC135" s="63"/>
      <c r="AF135" s="30"/>
      <c r="AG135" s="63"/>
      <c r="AI135" s="30"/>
      <c r="AK135" s="63"/>
      <c r="AL135" s="30"/>
      <c r="AP135" s="30"/>
      <c r="AQ135" s="63"/>
      <c r="AS135" s="30"/>
      <c r="AU135" s="63"/>
      <c r="AW135" s="30"/>
      <c r="AZ135" s="63"/>
      <c r="BA135" s="30"/>
      <c r="BE135" s="30"/>
      <c r="BH135" s="63"/>
      <c r="BI135" s="30"/>
      <c r="BL135" s="30"/>
      <c r="BN135" s="63"/>
      <c r="BP135" s="30"/>
      <c r="BS135" s="30"/>
      <c r="BT135" s="63"/>
      <c r="BW135" s="30"/>
      <c r="BX135" s="63"/>
      <c r="BZ135" s="30"/>
      <c r="CC135" s="30"/>
      <c r="CD135" s="63"/>
      <c r="CG135" s="63"/>
      <c r="CK135" s="63"/>
      <c r="CN135" s="63"/>
      <c r="CQ135" s="63"/>
      <c r="CU135" s="63"/>
      <c r="CX135" s="63"/>
    </row>
    <row r="136" spans="1:102" s="80" customFormat="1" x14ac:dyDescent="0.3">
      <c r="A136" s="47" t="s">
        <v>95</v>
      </c>
      <c r="B136" s="47">
        <v>1</v>
      </c>
      <c r="C136" s="31" t="s">
        <v>28</v>
      </c>
      <c r="D136" s="48">
        <v>640</v>
      </c>
      <c r="E136" s="36" t="s">
        <v>100</v>
      </c>
      <c r="F136" s="65">
        <f>D136/D69</f>
        <v>5.7142857142857144</v>
      </c>
      <c r="G136" s="30" t="s">
        <v>105</v>
      </c>
      <c r="H136" s="76"/>
      <c r="I136" s="63"/>
      <c r="J136" s="63"/>
      <c r="K136" s="30"/>
      <c r="L136" s="77"/>
      <c r="M136" s="76"/>
      <c r="N136" s="76"/>
      <c r="O136" s="63"/>
      <c r="P136" s="63"/>
      <c r="Q136" s="30"/>
      <c r="R136" s="77"/>
      <c r="S136" s="76"/>
      <c r="T136" s="76"/>
      <c r="U136" s="63"/>
      <c r="V136" s="63"/>
      <c r="W136" s="30"/>
      <c r="X136" s="76"/>
      <c r="Y136" s="77"/>
      <c r="Z136" s="76"/>
      <c r="AA136" s="76"/>
      <c r="AB136" s="30"/>
      <c r="AC136" s="63"/>
      <c r="AD136" s="76"/>
      <c r="AE136" s="76"/>
      <c r="AF136" s="30"/>
      <c r="AG136" s="63"/>
      <c r="AH136" s="77"/>
      <c r="AI136" s="30"/>
      <c r="AJ136" s="76"/>
      <c r="AK136" s="63"/>
      <c r="AL136" s="30"/>
      <c r="AM136" s="78"/>
      <c r="AN136" s="76"/>
      <c r="AO136" s="79"/>
      <c r="AP136" s="30"/>
      <c r="AQ136" s="63"/>
      <c r="AR136" s="76"/>
      <c r="AS136" s="30"/>
      <c r="AT136" s="77"/>
      <c r="AU136" s="63"/>
      <c r="AV136" s="76"/>
      <c r="AW136" s="30"/>
      <c r="AX136" s="76"/>
      <c r="AY136" s="76"/>
      <c r="AZ136" s="63"/>
      <c r="BA136" s="30"/>
      <c r="BB136" s="77"/>
      <c r="BC136" s="76"/>
      <c r="BD136" s="76"/>
      <c r="BE136" s="30"/>
      <c r="BF136" s="77"/>
      <c r="BG136" s="76"/>
      <c r="BH136" s="63"/>
      <c r="BI136" s="30"/>
      <c r="BJ136" s="77"/>
      <c r="BK136" s="76"/>
      <c r="BL136" s="30"/>
      <c r="BM136" s="77"/>
      <c r="BN136" s="63"/>
      <c r="BO136" s="76"/>
      <c r="BP136" s="30"/>
      <c r="BQ136" s="79"/>
      <c r="BR136" s="76"/>
      <c r="BS136" s="30"/>
      <c r="BT136" s="63"/>
      <c r="BW136" s="30"/>
      <c r="BX136" s="63"/>
      <c r="BZ136" s="30"/>
      <c r="CC136" s="30"/>
      <c r="CD136" s="63"/>
      <c r="CG136" s="63"/>
      <c r="CK136" s="63"/>
      <c r="CN136" s="63"/>
      <c r="CQ136" s="63"/>
      <c r="CU136" s="63"/>
      <c r="CX136" s="63"/>
    </row>
    <row r="137" spans="1:102" s="80" customFormat="1" x14ac:dyDescent="0.3">
      <c r="A137" s="107" t="s">
        <v>5</v>
      </c>
      <c r="B137" s="47">
        <v>1</v>
      </c>
      <c r="C137" s="31" t="s">
        <v>21</v>
      </c>
      <c r="D137" s="48">
        <v>196</v>
      </c>
      <c r="E137" s="36" t="s">
        <v>100</v>
      </c>
      <c r="F137" s="65">
        <f>D137/D69</f>
        <v>1.75</v>
      </c>
      <c r="G137" s="30" t="s">
        <v>105</v>
      </c>
      <c r="H137" s="76"/>
      <c r="I137" s="63"/>
      <c r="J137" s="63"/>
      <c r="K137" s="30"/>
      <c r="L137" s="76"/>
      <c r="M137" s="79"/>
      <c r="N137" s="76"/>
      <c r="O137" s="63"/>
      <c r="P137" s="63"/>
      <c r="Q137" s="30"/>
      <c r="R137" s="76"/>
      <c r="S137" s="79"/>
      <c r="T137" s="76"/>
      <c r="U137" s="63"/>
      <c r="V137" s="63"/>
      <c r="W137" s="30"/>
      <c r="X137" s="76"/>
      <c r="Y137" s="76"/>
      <c r="Z137" s="79"/>
      <c r="AA137" s="79"/>
      <c r="AB137" s="30"/>
      <c r="AC137" s="63"/>
      <c r="AD137" s="76"/>
      <c r="AE137" s="76"/>
      <c r="AF137" s="30"/>
      <c r="AG137" s="63"/>
      <c r="AH137" s="76"/>
      <c r="AI137" s="30"/>
      <c r="AJ137" s="79"/>
      <c r="AK137" s="63"/>
      <c r="AL137" s="30"/>
      <c r="AM137" s="76"/>
      <c r="AO137" s="76"/>
      <c r="AP137" s="30"/>
      <c r="AQ137" s="63"/>
      <c r="AR137" s="79"/>
      <c r="AS137" s="30"/>
      <c r="AT137" s="76"/>
      <c r="AU137" s="63"/>
      <c r="AV137" s="79"/>
      <c r="AW137" s="30"/>
      <c r="AX137" s="76"/>
      <c r="AY137" s="76"/>
      <c r="AZ137" s="63"/>
      <c r="BA137" s="30"/>
      <c r="BB137" s="76"/>
      <c r="BC137" s="79"/>
      <c r="BD137" s="79"/>
      <c r="BE137" s="30"/>
      <c r="BF137" s="76"/>
      <c r="BG137" s="79"/>
      <c r="BH137" s="63"/>
      <c r="BI137" s="30"/>
      <c r="BJ137" s="76"/>
      <c r="BK137" s="77"/>
      <c r="BL137" s="30"/>
      <c r="BM137" s="76"/>
      <c r="BN137" s="63"/>
      <c r="BO137" s="79"/>
      <c r="BP137" s="30"/>
      <c r="BQ137" s="76"/>
      <c r="BR137" s="79"/>
      <c r="BS137" s="30"/>
      <c r="BT137" s="63"/>
      <c r="BU137" s="76"/>
      <c r="BW137" s="30"/>
      <c r="BX137" s="63"/>
      <c r="BZ137" s="30"/>
      <c r="CC137" s="30"/>
      <c r="CD137" s="63"/>
      <c r="CG137" s="63"/>
      <c r="CK137" s="63"/>
      <c r="CN137" s="63"/>
      <c r="CQ137" s="63"/>
      <c r="CU137" s="63"/>
      <c r="CX137" s="63"/>
    </row>
    <row r="138" spans="1:102" s="63" customFormat="1" ht="13.8" customHeight="1" x14ac:dyDescent="0.3">
      <c r="A138" s="107"/>
      <c r="B138" s="47">
        <v>1</v>
      </c>
      <c r="C138" s="31" t="s">
        <v>131</v>
      </c>
      <c r="D138" s="48">
        <v>280</v>
      </c>
      <c r="E138" s="36" t="s">
        <v>100</v>
      </c>
      <c r="F138" s="65">
        <f>D138/D69</f>
        <v>2.5</v>
      </c>
      <c r="G138" s="30" t="s">
        <v>105</v>
      </c>
      <c r="K138" s="30"/>
      <c r="Q138" s="30"/>
      <c r="W138" s="30"/>
      <c r="AB138" s="30"/>
      <c r="AF138" s="30"/>
      <c r="AI138" s="30"/>
      <c r="AL138" s="30"/>
      <c r="AP138" s="30"/>
      <c r="AS138" s="30"/>
      <c r="AW138" s="30"/>
      <c r="BA138" s="30"/>
      <c r="BE138" s="30"/>
      <c r="BI138" s="30"/>
      <c r="BL138" s="30"/>
      <c r="BP138" s="30"/>
      <c r="BS138" s="30"/>
      <c r="BW138" s="30"/>
      <c r="BZ138" s="30"/>
      <c r="CC138" s="30"/>
    </row>
    <row r="139" spans="1:102" s="63" customFormat="1" x14ac:dyDescent="0.3">
      <c r="A139" s="68" t="s">
        <v>23</v>
      </c>
      <c r="B139" s="47">
        <v>1</v>
      </c>
      <c r="C139" s="31" t="s">
        <v>111</v>
      </c>
      <c r="D139" s="48">
        <v>112</v>
      </c>
      <c r="E139" s="36" t="s">
        <v>100</v>
      </c>
      <c r="F139" s="65">
        <f>D139/D69</f>
        <v>1</v>
      </c>
      <c r="G139" s="30" t="s">
        <v>105</v>
      </c>
      <c r="K139" s="30"/>
      <c r="Q139" s="30"/>
      <c r="W139" s="30"/>
      <c r="AB139" s="30"/>
      <c r="AF139" s="30"/>
      <c r="AI139" s="30"/>
      <c r="AL139" s="30"/>
      <c r="AP139" s="30"/>
      <c r="AS139" s="30"/>
      <c r="AW139" s="30"/>
      <c r="BA139" s="30"/>
      <c r="BE139" s="30"/>
      <c r="BI139" s="30"/>
      <c r="BL139" s="30"/>
      <c r="BP139" s="30"/>
      <c r="BS139" s="30"/>
      <c r="BW139" s="30"/>
      <c r="BZ139" s="30"/>
      <c r="CC139" s="30"/>
    </row>
    <row r="140" spans="1:102" s="63" customFormat="1" x14ac:dyDescent="0.3">
      <c r="A140" s="68" t="s">
        <v>83</v>
      </c>
      <c r="B140" s="47">
        <v>1</v>
      </c>
      <c r="C140" s="31" t="s">
        <v>46</v>
      </c>
      <c r="D140" s="48">
        <v>0.67513000000000001</v>
      </c>
      <c r="E140" s="36" t="s">
        <v>105</v>
      </c>
      <c r="F140" s="65">
        <f>D140/D61</f>
        <v>3.3756500000000002E-2</v>
      </c>
      <c r="G140" s="30" t="s">
        <v>31</v>
      </c>
      <c r="K140" s="30"/>
      <c r="Q140" s="30"/>
      <c r="W140" s="30"/>
      <c r="AB140" s="30"/>
      <c r="AF140" s="30"/>
      <c r="AI140" s="30"/>
      <c r="AL140" s="30"/>
      <c r="AP140" s="30"/>
      <c r="AS140" s="30"/>
      <c r="AW140" s="30"/>
      <c r="BA140" s="30"/>
      <c r="BE140" s="30"/>
      <c r="BI140" s="30"/>
      <c r="BL140" s="30"/>
      <c r="BP140" s="30"/>
      <c r="BS140" s="30"/>
      <c r="BW140" s="30"/>
      <c r="BZ140" s="30"/>
      <c r="CC140" s="30"/>
    </row>
    <row r="141" spans="1:102" s="63" customFormat="1" x14ac:dyDescent="0.3">
      <c r="A141" s="72" t="s">
        <v>85</v>
      </c>
      <c r="B141" s="47">
        <v>1</v>
      </c>
      <c r="C141" s="31" t="s">
        <v>125</v>
      </c>
      <c r="D141" s="48">
        <v>2.39975</v>
      </c>
      <c r="E141" s="36" t="s">
        <v>105</v>
      </c>
      <c r="F141" s="65"/>
      <c r="G141" s="30"/>
      <c r="K141" s="30"/>
      <c r="Q141" s="30"/>
      <c r="W141" s="30"/>
      <c r="AB141" s="30"/>
      <c r="AF141" s="30"/>
      <c r="AI141" s="30"/>
      <c r="AL141" s="30"/>
      <c r="AP141" s="30"/>
      <c r="AS141" s="30"/>
      <c r="AW141" s="30"/>
      <c r="BA141" s="30"/>
      <c r="BE141" s="30"/>
      <c r="BI141" s="30"/>
      <c r="BL141" s="30"/>
      <c r="BP141" s="30"/>
      <c r="BS141" s="30"/>
      <c r="BW141" s="30"/>
      <c r="BZ141" s="30"/>
      <c r="CC141" s="30"/>
    </row>
    <row r="142" spans="1:102" s="63" customFormat="1" x14ac:dyDescent="0.3">
      <c r="A142" s="68" t="s">
        <v>84</v>
      </c>
      <c r="B142" s="47">
        <v>1</v>
      </c>
      <c r="C142" s="31" t="s">
        <v>43</v>
      </c>
      <c r="D142" s="48">
        <v>746.66600000000005</v>
      </c>
      <c r="E142" s="36" t="s">
        <v>100</v>
      </c>
      <c r="F142" s="65">
        <f>D142/D69</f>
        <v>6.6666607142857144</v>
      </c>
      <c r="G142" s="30" t="s">
        <v>105</v>
      </c>
      <c r="K142" s="30"/>
      <c r="Q142" s="30"/>
      <c r="W142" s="30"/>
      <c r="AB142" s="30"/>
      <c r="AF142" s="30"/>
      <c r="AI142" s="30"/>
      <c r="AL142" s="30"/>
      <c r="AP142" s="30"/>
      <c r="AS142" s="30"/>
      <c r="AW142" s="30"/>
      <c r="BA142" s="30"/>
      <c r="BE142" s="30"/>
      <c r="BI142" s="30"/>
      <c r="BL142" s="30"/>
      <c r="BP142" s="30"/>
      <c r="BS142" s="30"/>
      <c r="BW142" s="30"/>
      <c r="BZ142" s="30"/>
      <c r="CC142" s="30"/>
    </row>
    <row r="143" spans="1:102" s="63" customFormat="1" x14ac:dyDescent="0.3">
      <c r="A143" s="68" t="s">
        <v>132</v>
      </c>
      <c r="B143" s="47">
        <v>1</v>
      </c>
      <c r="C143" s="31" t="s">
        <v>46</v>
      </c>
      <c r="D143" s="48">
        <v>250</v>
      </c>
      <c r="E143" s="36" t="s">
        <v>100</v>
      </c>
      <c r="F143" s="65">
        <f>D143/D69</f>
        <v>2.2321428571428572</v>
      </c>
      <c r="G143" s="30" t="s">
        <v>105</v>
      </c>
      <c r="K143" s="30"/>
      <c r="Q143" s="30"/>
      <c r="W143" s="30"/>
      <c r="AB143" s="30"/>
      <c r="AF143" s="30"/>
      <c r="AI143" s="30"/>
      <c r="AL143" s="30"/>
      <c r="AP143" s="30"/>
      <c r="AS143" s="30"/>
      <c r="AW143" s="30"/>
      <c r="BA143" s="30"/>
      <c r="BE143" s="30"/>
      <c r="BI143" s="30"/>
      <c r="BL143" s="30"/>
      <c r="BP143" s="30"/>
      <c r="BS143" s="30"/>
      <c r="BW143" s="30"/>
      <c r="BZ143" s="30"/>
      <c r="CC143" s="30"/>
    </row>
    <row r="144" spans="1:102" s="63" customFormat="1" x14ac:dyDescent="0.3">
      <c r="A144" s="68" t="s">
        <v>23</v>
      </c>
      <c r="B144" s="47">
        <v>1</v>
      </c>
      <c r="C144" s="31" t="s">
        <v>111</v>
      </c>
      <c r="D144" s="48">
        <v>112</v>
      </c>
      <c r="E144" s="36" t="s">
        <v>100</v>
      </c>
      <c r="F144" s="65">
        <f>D144/D69</f>
        <v>1</v>
      </c>
      <c r="G144" s="30" t="s">
        <v>105</v>
      </c>
      <c r="K144" s="30"/>
      <c r="Q144" s="30"/>
      <c r="W144" s="30"/>
      <c r="AB144" s="30"/>
      <c r="AF144" s="30"/>
      <c r="AI144" s="30"/>
      <c r="AL144" s="30"/>
      <c r="AP144" s="30"/>
      <c r="AS144" s="30"/>
      <c r="AW144" s="30"/>
      <c r="BA144" s="30"/>
      <c r="BE144" s="30"/>
      <c r="BI144" s="30"/>
      <c r="BL144" s="30"/>
      <c r="BP144" s="30"/>
      <c r="BS144" s="30"/>
      <c r="BW144" s="30"/>
      <c r="BZ144" s="30"/>
      <c r="CC144" s="30"/>
    </row>
    <row r="145" spans="1:81" s="63" customFormat="1" x14ac:dyDescent="0.3">
      <c r="A145" s="108" t="s">
        <v>133</v>
      </c>
      <c r="B145" s="47">
        <v>1</v>
      </c>
      <c r="C145" s="31" t="s">
        <v>46</v>
      </c>
      <c r="D145" s="48">
        <v>227</v>
      </c>
      <c r="E145" s="36" t="s">
        <v>100</v>
      </c>
      <c r="F145" s="65">
        <f>D145/D69</f>
        <v>2.0267857142857144</v>
      </c>
      <c r="G145" s="30" t="s">
        <v>105</v>
      </c>
      <c r="K145" s="30"/>
      <c r="Q145" s="30"/>
      <c r="W145" s="30"/>
      <c r="AB145" s="30"/>
      <c r="AF145" s="30"/>
      <c r="AI145" s="30"/>
      <c r="AL145" s="30"/>
      <c r="AP145" s="30"/>
      <c r="AS145" s="30"/>
      <c r="AW145" s="30"/>
      <c r="BA145" s="30"/>
      <c r="BE145" s="30"/>
      <c r="BI145" s="30"/>
      <c r="BL145" s="30"/>
      <c r="BP145" s="30"/>
      <c r="BS145" s="30"/>
      <c r="BW145" s="30"/>
      <c r="BZ145" s="30"/>
      <c r="CC145" s="30"/>
    </row>
    <row r="146" spans="1:81" s="63" customFormat="1" x14ac:dyDescent="0.3">
      <c r="A146" s="108"/>
      <c r="B146" s="47">
        <v>1</v>
      </c>
      <c r="C146" s="30" t="s">
        <v>125</v>
      </c>
      <c r="D146" s="63">
        <v>746.66700000000003</v>
      </c>
      <c r="E146" s="36" t="s">
        <v>100</v>
      </c>
      <c r="F146" s="48">
        <f>D146/D69</f>
        <v>6.6666696428571433</v>
      </c>
      <c r="G146" s="30" t="s">
        <v>105</v>
      </c>
      <c r="H146" s="47"/>
      <c r="K146" s="51"/>
      <c r="L146" s="47"/>
      <c r="M146" s="47"/>
      <c r="N146" s="47"/>
      <c r="Q146" s="51"/>
      <c r="W146" s="51"/>
      <c r="AB146" s="51"/>
      <c r="AF146" s="51"/>
      <c r="AI146" s="51"/>
      <c r="AL146" s="51"/>
      <c r="AP146" s="51"/>
      <c r="AS146" s="51"/>
      <c r="AW146" s="51"/>
      <c r="BA146" s="51"/>
      <c r="BE146" s="51"/>
      <c r="BI146" s="51"/>
      <c r="BL146" s="51"/>
      <c r="BP146" s="51"/>
      <c r="BS146" s="51"/>
      <c r="BW146" s="51"/>
      <c r="BZ146" s="51"/>
      <c r="CC146" s="51"/>
    </row>
    <row r="147" spans="1:81" s="63" customFormat="1" x14ac:dyDescent="0.3">
      <c r="A147" s="108"/>
      <c r="B147" s="47">
        <v>1</v>
      </c>
      <c r="C147" s="30" t="s">
        <v>43</v>
      </c>
      <c r="D147" s="48">
        <v>0.75087000000000004</v>
      </c>
      <c r="E147" s="36" t="s">
        <v>32</v>
      </c>
      <c r="F147" s="48">
        <f>D147*F145</f>
        <v>1.5218525892857144</v>
      </c>
      <c r="G147" s="30" t="s">
        <v>105</v>
      </c>
      <c r="H147" s="47"/>
      <c r="K147" s="51"/>
      <c r="L147" s="47"/>
      <c r="M147" s="47"/>
      <c r="N147" s="47"/>
      <c r="Q147" s="51"/>
      <c r="W147" s="51"/>
      <c r="AB147" s="51"/>
      <c r="AF147" s="51"/>
      <c r="AI147" s="51"/>
      <c r="AL147" s="51"/>
      <c r="AP147" s="51"/>
      <c r="AS147" s="51"/>
      <c r="AW147" s="51"/>
      <c r="BA147" s="51"/>
      <c r="BE147" s="51"/>
      <c r="BI147" s="51"/>
      <c r="BL147" s="51"/>
      <c r="BP147" s="51"/>
      <c r="BS147" s="51"/>
      <c r="BW147" s="51"/>
      <c r="BZ147" s="51"/>
      <c r="CC147" s="51"/>
    </row>
    <row r="149" spans="1:81" x14ac:dyDescent="0.3">
      <c r="A149" s="35" t="s">
        <v>170</v>
      </c>
    </row>
    <row r="151" spans="1:81" x14ac:dyDescent="0.3">
      <c r="B151" s="47">
        <v>1</v>
      </c>
      <c r="C151" s="30" t="s">
        <v>171</v>
      </c>
      <c r="D151" s="48">
        <v>20</v>
      </c>
      <c r="E151" s="36" t="s">
        <v>14</v>
      </c>
      <c r="F151" s="48">
        <v>240</v>
      </c>
      <c r="G151" s="30" t="s">
        <v>15</v>
      </c>
    </row>
    <row r="152" spans="1:81" x14ac:dyDescent="0.3">
      <c r="A152" s="46" t="s">
        <v>183</v>
      </c>
      <c r="B152" s="38">
        <v>1</v>
      </c>
      <c r="C152" s="30" t="s">
        <v>171</v>
      </c>
      <c r="D152" s="38">
        <f>(108.5+110.5)/2</f>
        <v>109.5</v>
      </c>
      <c r="E152" s="81" t="s">
        <v>184</v>
      </c>
    </row>
    <row r="153" spans="1:81" x14ac:dyDescent="0.3">
      <c r="A153" s="46" t="s">
        <v>455</v>
      </c>
      <c r="B153" s="47">
        <v>1</v>
      </c>
      <c r="C153" s="30" t="s">
        <v>171</v>
      </c>
      <c r="D153" s="48">
        <v>110</v>
      </c>
      <c r="E153" s="30" t="s">
        <v>456</v>
      </c>
      <c r="F153" s="82"/>
      <c r="G153" s="49"/>
    </row>
    <row r="154" spans="1:81" x14ac:dyDescent="0.3">
      <c r="A154" s="46" t="s">
        <v>460</v>
      </c>
      <c r="B154" s="47">
        <v>1</v>
      </c>
      <c r="C154" s="30" t="s">
        <v>171</v>
      </c>
      <c r="D154" s="48">
        <v>116</v>
      </c>
      <c r="E154" s="30" t="s">
        <v>456</v>
      </c>
      <c r="F154" s="48">
        <v>25.305399999999999</v>
      </c>
      <c r="G154" s="82" t="s">
        <v>461</v>
      </c>
    </row>
    <row r="155" spans="1:81" x14ac:dyDescent="0.3">
      <c r="A155" s="46" t="s">
        <v>462</v>
      </c>
      <c r="B155" s="47">
        <v>1</v>
      </c>
      <c r="C155" s="30" t="s">
        <v>171</v>
      </c>
      <c r="D155" s="48">
        <v>112</v>
      </c>
      <c r="E155" s="30" t="s">
        <v>456</v>
      </c>
      <c r="F155" s="82"/>
      <c r="G155" s="82"/>
    </row>
    <row r="156" spans="1:81" x14ac:dyDescent="0.3">
      <c r="A156" s="46" t="s">
        <v>495</v>
      </c>
      <c r="B156" s="47">
        <v>1</v>
      </c>
      <c r="C156" s="30" t="s">
        <v>171</v>
      </c>
      <c r="D156" s="48">
        <f>849705324/7647347</f>
        <v>111.11112442001128</v>
      </c>
      <c r="E156" s="30" t="s">
        <v>456</v>
      </c>
    </row>
    <row r="157" spans="1:81" x14ac:dyDescent="0.3">
      <c r="A157" s="46" t="s">
        <v>511</v>
      </c>
      <c r="B157" s="47">
        <v>1</v>
      </c>
      <c r="C157" s="30" t="s">
        <v>171</v>
      </c>
      <c r="D157" s="48">
        <f>(109.25+110.25)/2</f>
        <v>109.75</v>
      </c>
      <c r="E157" s="30" t="s">
        <v>456</v>
      </c>
    </row>
  </sheetData>
  <mergeCells count="53">
    <mergeCell ref="H2:I2"/>
    <mergeCell ref="F2:G2"/>
    <mergeCell ref="D2:E2"/>
    <mergeCell ref="X2:Y2"/>
    <mergeCell ref="T2:U2"/>
    <mergeCell ref="J2:K2"/>
    <mergeCell ref="L2:M2"/>
    <mergeCell ref="N2:O2"/>
    <mergeCell ref="R2:S2"/>
    <mergeCell ref="V2:W2"/>
    <mergeCell ref="P2:Q2"/>
    <mergeCell ref="AH2:AI2"/>
    <mergeCell ref="AF2:AG2"/>
    <mergeCell ref="AD2:AE2"/>
    <mergeCell ref="Z2:AA2"/>
    <mergeCell ref="AB2:AC2"/>
    <mergeCell ref="A145:A147"/>
    <mergeCell ref="BF2:BG2"/>
    <mergeCell ref="BD2:BE2"/>
    <mergeCell ref="BB2:BC2"/>
    <mergeCell ref="AX2:AY2"/>
    <mergeCell ref="AV2:AW2"/>
    <mergeCell ref="A111:A113"/>
    <mergeCell ref="A118:A119"/>
    <mergeCell ref="A121:A123"/>
    <mergeCell ref="A124:A125"/>
    <mergeCell ref="A133:A135"/>
    <mergeCell ref="A137:A138"/>
    <mergeCell ref="A99:A100"/>
    <mergeCell ref="A101:A102"/>
    <mergeCell ref="A103:A104"/>
    <mergeCell ref="A105:A106"/>
    <mergeCell ref="A107:A108"/>
    <mergeCell ref="A109:A110"/>
    <mergeCell ref="B70:B71"/>
    <mergeCell ref="C70:C71"/>
    <mergeCell ref="D70:D71"/>
    <mergeCell ref="E70:E71"/>
    <mergeCell ref="A85:A86"/>
    <mergeCell ref="A88:A89"/>
    <mergeCell ref="BH2:BI2"/>
    <mergeCell ref="BJ2:BK2"/>
    <mergeCell ref="B56:B57"/>
    <mergeCell ref="C56:C57"/>
    <mergeCell ref="D56:D57"/>
    <mergeCell ref="E56:E57"/>
    <mergeCell ref="AT2:AU2"/>
    <mergeCell ref="AR2:AS2"/>
    <mergeCell ref="AN2:AO2"/>
    <mergeCell ref="AP2:AQ2"/>
    <mergeCell ref="AL2:AM2"/>
    <mergeCell ref="AZ2:BA2"/>
    <mergeCell ref="AJ2:AK2"/>
  </mergeCells>
  <pageMargins left="0.75" right="0.75" top="1" bottom="1" header="0.5" footer="0.5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2:CY124"/>
  <sheetViews>
    <sheetView topLeftCell="A2" zoomScale="70" zoomScaleNormal="70" workbookViewId="0">
      <pane xSplit="1" ySplit="2" topLeftCell="B4" activePane="bottomRight" state="frozenSplit"/>
      <selection pane="topRight" activeCell="A2" sqref="A2"/>
      <selection pane="bottomLeft" activeCell="A2" sqref="A2"/>
      <selection pane="bottomRight" activeCell="I4" sqref="I4"/>
    </sheetView>
  </sheetViews>
  <sheetFormatPr defaultRowHeight="14.4" x14ac:dyDescent="0.3"/>
  <cols>
    <col min="1" max="1" width="40.5546875" style="38" bestFit="1" customWidth="1"/>
    <col min="2" max="2" width="9.5546875" style="38" customWidth="1"/>
    <col min="3" max="4" width="10.77734375" style="38" customWidth="1"/>
    <col min="5" max="7" width="10.77734375" style="59" customWidth="1"/>
    <col min="8" max="8" width="11.77734375" style="59" customWidth="1"/>
    <col min="9" max="16384" width="8.88671875" style="59"/>
  </cols>
  <sheetData>
    <row r="2" spans="1:10" x14ac:dyDescent="0.3">
      <c r="A2" s="83" t="s">
        <v>90</v>
      </c>
      <c r="B2" s="83"/>
      <c r="C2" s="83"/>
      <c r="D2" s="83"/>
      <c r="E2" s="106" t="s">
        <v>193</v>
      </c>
      <c r="F2" s="106"/>
      <c r="G2" s="106"/>
      <c r="H2" s="106" t="s">
        <v>165</v>
      </c>
      <c r="I2" s="106"/>
      <c r="J2" s="38"/>
    </row>
    <row r="3" spans="1:10" s="54" customFormat="1" ht="28.8" customHeight="1" x14ac:dyDescent="0.3">
      <c r="A3" s="55" t="s">
        <v>0</v>
      </c>
      <c r="B3" s="95" t="s">
        <v>80</v>
      </c>
      <c r="C3" s="95" t="s">
        <v>98</v>
      </c>
      <c r="D3" s="53" t="s">
        <v>30</v>
      </c>
      <c r="E3" s="53" t="s">
        <v>29</v>
      </c>
      <c r="F3" s="53" t="s">
        <v>2</v>
      </c>
      <c r="G3" s="53" t="s">
        <v>433</v>
      </c>
      <c r="H3" s="53" t="s">
        <v>98</v>
      </c>
      <c r="I3" s="53" t="s">
        <v>166</v>
      </c>
      <c r="J3" s="53"/>
    </row>
    <row r="4" spans="1:10" x14ac:dyDescent="0.3">
      <c r="A4" s="38" t="s">
        <v>36</v>
      </c>
      <c r="C4" s="57" t="s">
        <v>574</v>
      </c>
      <c r="E4" s="38"/>
      <c r="F4" s="38"/>
      <c r="G4" s="94" t="str">
        <f>IFERROR(F4/E4,"")</f>
        <v/>
      </c>
      <c r="H4" s="57" t="s">
        <v>421</v>
      </c>
      <c r="I4" s="58">
        <f>12/50*$D$123</f>
        <v>2E-3</v>
      </c>
      <c r="J4" s="38"/>
    </row>
    <row r="5" spans="1:10" x14ac:dyDescent="0.3">
      <c r="A5" s="38" t="s">
        <v>148</v>
      </c>
      <c r="C5" s="57" t="s">
        <v>527</v>
      </c>
      <c r="D5" s="38" t="s">
        <v>1</v>
      </c>
      <c r="E5" s="57">
        <v>675757</v>
      </c>
      <c r="F5" s="57">
        <v>369000</v>
      </c>
      <c r="G5" s="94">
        <f t="shared" ref="G5:G18" si="0">IFERROR(F5/E5,"")</f>
        <v>0.54605427690723141</v>
      </c>
      <c r="H5" s="57"/>
    </row>
    <row r="6" spans="1:10" x14ac:dyDescent="0.3">
      <c r="A6" s="38" t="s">
        <v>195</v>
      </c>
      <c r="C6" s="57" t="s">
        <v>527</v>
      </c>
      <c r="D6" s="38" t="s">
        <v>1</v>
      </c>
      <c r="E6" s="57">
        <v>26965</v>
      </c>
      <c r="F6" s="57">
        <v>10000</v>
      </c>
      <c r="G6" s="94">
        <f t="shared" si="0"/>
        <v>0.37085110328203225</v>
      </c>
      <c r="H6" s="57"/>
    </row>
    <row r="7" spans="1:10" x14ac:dyDescent="0.3">
      <c r="A7" s="38" t="s">
        <v>196</v>
      </c>
      <c r="C7" s="57" t="s">
        <v>527</v>
      </c>
      <c r="D7" s="38" t="s">
        <v>1</v>
      </c>
      <c r="E7" s="57">
        <v>6039</v>
      </c>
      <c r="F7" s="57">
        <v>15000</v>
      </c>
      <c r="G7" s="94">
        <f t="shared" si="0"/>
        <v>2.4838549428713361</v>
      </c>
      <c r="H7" s="57"/>
    </row>
    <row r="8" spans="1:10" x14ac:dyDescent="0.3">
      <c r="A8" s="38" t="s">
        <v>50</v>
      </c>
      <c r="C8" s="57" t="s">
        <v>527</v>
      </c>
      <c r="D8" s="38" t="s">
        <v>1</v>
      </c>
      <c r="E8" s="57">
        <v>11546</v>
      </c>
      <c r="F8" s="57">
        <v>31000</v>
      </c>
      <c r="G8" s="94">
        <f t="shared" si="0"/>
        <v>2.6849125238177725</v>
      </c>
      <c r="H8" s="57"/>
    </row>
    <row r="9" spans="1:10" x14ac:dyDescent="0.3">
      <c r="A9" s="38" t="s">
        <v>163</v>
      </c>
      <c r="C9" s="57" t="s">
        <v>527</v>
      </c>
      <c r="D9" s="38" t="s">
        <v>1</v>
      </c>
      <c r="E9" s="57">
        <v>24475</v>
      </c>
      <c r="F9" s="57">
        <v>80000</v>
      </c>
      <c r="G9" s="94">
        <f t="shared" si="0"/>
        <v>3.268641470888662</v>
      </c>
      <c r="H9" s="57"/>
    </row>
    <row r="10" spans="1:10" x14ac:dyDescent="0.3">
      <c r="A10" s="38" t="s">
        <v>197</v>
      </c>
      <c r="C10" s="57" t="s">
        <v>527</v>
      </c>
      <c r="D10" s="38" t="s">
        <v>1</v>
      </c>
      <c r="E10" s="57">
        <v>11221</v>
      </c>
      <c r="F10" s="57">
        <v>76000</v>
      </c>
      <c r="G10" s="94">
        <f t="shared" si="0"/>
        <v>6.7730148828090186</v>
      </c>
      <c r="H10" s="57"/>
    </row>
    <row r="11" spans="1:10" x14ac:dyDescent="0.3">
      <c r="A11" s="38" t="s">
        <v>198</v>
      </c>
      <c r="C11" s="57" t="s">
        <v>527</v>
      </c>
      <c r="D11" s="38" t="s">
        <v>1</v>
      </c>
      <c r="E11" s="57">
        <v>11929</v>
      </c>
      <c r="F11" s="57">
        <v>183000</v>
      </c>
      <c r="G11" s="94">
        <f t="shared" si="0"/>
        <v>15.340766200016766</v>
      </c>
      <c r="H11" s="57"/>
    </row>
    <row r="12" spans="1:10" x14ac:dyDescent="0.3">
      <c r="A12" s="38" t="s">
        <v>11</v>
      </c>
      <c r="C12" s="57" t="s">
        <v>527</v>
      </c>
      <c r="D12" s="38" t="s">
        <v>1</v>
      </c>
      <c r="E12" s="57">
        <v>16830</v>
      </c>
      <c r="F12" s="57">
        <v>26000</v>
      </c>
      <c r="G12" s="94">
        <f t="shared" si="0"/>
        <v>1.5448603683897801</v>
      </c>
      <c r="H12" s="57"/>
    </row>
    <row r="13" spans="1:10" x14ac:dyDescent="0.3">
      <c r="A13" s="38" t="s">
        <v>199</v>
      </c>
      <c r="C13" s="57" t="s">
        <v>527</v>
      </c>
      <c r="D13" s="38" t="s">
        <v>1</v>
      </c>
      <c r="E13" s="57">
        <v>78640</v>
      </c>
      <c r="F13" s="57">
        <v>51000</v>
      </c>
      <c r="G13" s="94">
        <f t="shared" si="0"/>
        <v>0.64852492370295012</v>
      </c>
      <c r="H13" s="57"/>
    </row>
    <row r="14" spans="1:10" x14ac:dyDescent="0.3">
      <c r="A14" s="38" t="s">
        <v>3</v>
      </c>
      <c r="C14" s="57" t="s">
        <v>527</v>
      </c>
      <c r="D14" s="38" t="s">
        <v>1</v>
      </c>
      <c r="E14" s="57">
        <v>1313</v>
      </c>
      <c r="F14" s="57">
        <v>56000</v>
      </c>
      <c r="G14" s="94">
        <f t="shared" si="0"/>
        <v>42.650418888042651</v>
      </c>
      <c r="H14" s="57"/>
    </row>
    <row r="15" spans="1:10" x14ac:dyDescent="0.3">
      <c r="A15" s="38" t="s">
        <v>54</v>
      </c>
      <c r="C15" s="57" t="s">
        <v>527</v>
      </c>
      <c r="D15" s="38" t="s">
        <v>1</v>
      </c>
      <c r="E15" s="57">
        <v>7578</v>
      </c>
      <c r="F15" s="57">
        <v>10000</v>
      </c>
      <c r="G15" s="94">
        <f t="shared" si="0"/>
        <v>1.3196093956188968</v>
      </c>
      <c r="H15" s="57"/>
    </row>
    <row r="16" spans="1:10" x14ac:dyDescent="0.3">
      <c r="A16" s="38" t="s">
        <v>200</v>
      </c>
      <c r="C16" s="57" t="s">
        <v>527</v>
      </c>
      <c r="D16" s="38" t="s">
        <v>1</v>
      </c>
      <c r="E16" s="57">
        <v>142</v>
      </c>
      <c r="F16" s="57">
        <v>22000</v>
      </c>
      <c r="G16" s="94">
        <f t="shared" si="0"/>
        <v>154.92957746478874</v>
      </c>
      <c r="H16" s="57"/>
    </row>
    <row r="17" spans="1:103" x14ac:dyDescent="0.3">
      <c r="A17" s="38" t="s">
        <v>194</v>
      </c>
      <c r="C17" s="57" t="s">
        <v>527</v>
      </c>
      <c r="D17" s="38" t="s">
        <v>1</v>
      </c>
      <c r="E17" s="57">
        <v>5895</v>
      </c>
      <c r="F17" s="57">
        <v>40000</v>
      </c>
      <c r="G17" s="94">
        <f t="shared" si="0"/>
        <v>6.7854113655640376</v>
      </c>
      <c r="H17" s="57"/>
    </row>
    <row r="18" spans="1:103" x14ac:dyDescent="0.3">
      <c r="A18" s="38" t="s">
        <v>201</v>
      </c>
      <c r="C18" s="57" t="s">
        <v>527</v>
      </c>
      <c r="D18" s="38" t="s">
        <v>1</v>
      </c>
      <c r="E18" s="57">
        <v>5964</v>
      </c>
      <c r="F18" s="57">
        <v>10060</v>
      </c>
      <c r="G18" s="94">
        <f t="shared" si="0"/>
        <v>1.6867873910127431</v>
      </c>
      <c r="H18" s="57"/>
    </row>
    <row r="19" spans="1:103" x14ac:dyDescent="0.3">
      <c r="C19" s="57"/>
      <c r="D19" s="57"/>
    </row>
    <row r="20" spans="1:103" s="63" customFormat="1" x14ac:dyDescent="0.3">
      <c r="A20" s="29" t="s">
        <v>99</v>
      </c>
      <c r="B20" s="47"/>
      <c r="E20" s="64"/>
      <c r="F20" s="30"/>
      <c r="G20" s="47"/>
      <c r="L20" s="30"/>
      <c r="O20" s="47"/>
      <c r="P20" s="47"/>
      <c r="R20" s="30"/>
      <c r="X20" s="30"/>
      <c r="AD20" s="30"/>
      <c r="AH20" s="30"/>
      <c r="AJ20" s="47"/>
      <c r="AM20" s="30"/>
      <c r="AR20" s="30"/>
      <c r="AV20" s="30"/>
      <c r="BB20" s="30"/>
      <c r="BD20" s="30"/>
      <c r="BG20" s="47"/>
      <c r="BJ20" s="30"/>
      <c r="BO20" s="30"/>
      <c r="BU20" s="30"/>
      <c r="BY20" s="30"/>
      <c r="CE20" s="30"/>
      <c r="CH20" s="30"/>
      <c r="CL20" s="30"/>
      <c r="CO20" s="30"/>
      <c r="CR20" s="30"/>
      <c r="CV20" s="30"/>
      <c r="CY20" s="30"/>
    </row>
    <row r="21" spans="1:103" s="47" customFormat="1" x14ac:dyDescent="0.3">
      <c r="A21" s="47" t="s">
        <v>55</v>
      </c>
      <c r="B21" s="47">
        <v>1</v>
      </c>
      <c r="C21" s="30" t="s">
        <v>26</v>
      </c>
      <c r="D21" s="65">
        <v>108</v>
      </c>
      <c r="E21" s="36" t="s">
        <v>100</v>
      </c>
      <c r="F21" s="48">
        <f>D21/F31</f>
        <v>4.8214285714285716E-2</v>
      </c>
      <c r="G21" s="31" t="s">
        <v>31</v>
      </c>
      <c r="H21" s="65"/>
      <c r="I21" s="30"/>
      <c r="J21" s="30"/>
      <c r="K21" s="30"/>
      <c r="M21" s="66"/>
      <c r="O21" s="30"/>
      <c r="P21" s="30"/>
      <c r="Q21" s="30"/>
      <c r="S21" s="65"/>
      <c r="T21" s="39"/>
      <c r="U21" s="30"/>
      <c r="V21" s="30"/>
      <c r="W21" s="30"/>
      <c r="X21" s="51"/>
      <c r="Z21" s="65"/>
      <c r="AA21" s="65"/>
      <c r="AB21" s="30"/>
      <c r="AC21" s="30"/>
      <c r="AF21" s="30"/>
      <c r="AG21" s="30"/>
      <c r="AI21" s="30"/>
      <c r="AJ21" s="65"/>
      <c r="AK21" s="30"/>
      <c r="AL21" s="30"/>
      <c r="AP21" s="30"/>
      <c r="AQ21" s="30"/>
      <c r="AS21" s="30"/>
      <c r="AT21" s="65"/>
      <c r="AU21" s="30"/>
      <c r="AW21" s="30"/>
      <c r="AY21" s="65"/>
      <c r="AZ21" s="30"/>
      <c r="BA21" s="30"/>
      <c r="BE21" s="30"/>
      <c r="BG21" s="65"/>
      <c r="BH21" s="30"/>
      <c r="BI21" s="30"/>
      <c r="BL21" s="30"/>
      <c r="BM21" s="65"/>
      <c r="BN21" s="30"/>
      <c r="BP21" s="30"/>
      <c r="BR21" s="65"/>
      <c r="BS21" s="30"/>
      <c r="BT21" s="30"/>
      <c r="BW21" s="30"/>
      <c r="BX21" s="30"/>
      <c r="BZ21" s="30"/>
      <c r="CA21" s="65"/>
      <c r="CC21" s="30"/>
      <c r="CD21" s="30"/>
      <c r="CF21" s="65"/>
      <c r="CG21" s="30"/>
      <c r="CK21" s="30"/>
      <c r="CN21" s="30"/>
      <c r="CQ21" s="30"/>
      <c r="CU21" s="30"/>
      <c r="CX21" s="30"/>
    </row>
    <row r="22" spans="1:103" s="47" customFormat="1" x14ac:dyDescent="0.3">
      <c r="A22" s="47" t="s">
        <v>55</v>
      </c>
      <c r="B22" s="47">
        <v>1</v>
      </c>
      <c r="C22" s="30" t="s">
        <v>101</v>
      </c>
      <c r="D22" s="65">
        <v>32.5</v>
      </c>
      <c r="E22" s="36" t="s">
        <v>100</v>
      </c>
      <c r="H22" s="65"/>
      <c r="I22" s="30"/>
      <c r="J22" s="30"/>
      <c r="K22" s="30"/>
      <c r="O22" s="30"/>
      <c r="P22" s="30"/>
      <c r="Q22" s="30"/>
      <c r="R22" s="63"/>
      <c r="S22" s="65"/>
      <c r="U22" s="30"/>
      <c r="V22" s="30"/>
      <c r="W22" s="30"/>
      <c r="X22" s="51"/>
      <c r="Z22" s="65"/>
      <c r="AA22" s="65"/>
      <c r="AB22" s="30"/>
      <c r="AC22" s="30"/>
      <c r="AF22" s="30"/>
      <c r="AG22" s="30"/>
      <c r="AI22" s="30"/>
      <c r="AJ22" s="65"/>
      <c r="AK22" s="30"/>
      <c r="AL22" s="30"/>
      <c r="AP22" s="30"/>
      <c r="AQ22" s="30"/>
      <c r="AS22" s="30"/>
      <c r="AT22" s="65"/>
      <c r="AU22" s="30"/>
      <c r="AW22" s="30"/>
      <c r="AY22" s="65"/>
      <c r="AZ22" s="30"/>
      <c r="BA22" s="30"/>
      <c r="BE22" s="30"/>
      <c r="BG22" s="65"/>
      <c r="BH22" s="30"/>
      <c r="BI22" s="30"/>
      <c r="BL22" s="30"/>
      <c r="BM22" s="65"/>
      <c r="BN22" s="30"/>
      <c r="BP22" s="30"/>
      <c r="BR22" s="65"/>
      <c r="BS22" s="30"/>
      <c r="BT22" s="30"/>
      <c r="BW22" s="30"/>
      <c r="BX22" s="30"/>
      <c r="BZ22" s="30"/>
      <c r="CA22" s="65"/>
      <c r="CC22" s="30"/>
      <c r="CD22" s="30"/>
      <c r="CF22" s="65"/>
      <c r="CG22" s="30"/>
      <c r="CK22" s="30"/>
      <c r="CN22" s="30"/>
      <c r="CQ22" s="30"/>
      <c r="CU22" s="30"/>
      <c r="CX22" s="30"/>
    </row>
    <row r="23" spans="1:103" s="63" customFormat="1" x14ac:dyDescent="0.3">
      <c r="A23" s="47"/>
      <c r="B23" s="47">
        <v>1</v>
      </c>
      <c r="C23" s="30" t="s">
        <v>102</v>
      </c>
      <c r="D23" s="65">
        <v>6.5</v>
      </c>
      <c r="E23" s="37" t="s">
        <v>100</v>
      </c>
      <c r="F23" s="47"/>
      <c r="G23" s="30"/>
      <c r="H23" s="65"/>
      <c r="I23" s="30"/>
      <c r="J23" s="30"/>
      <c r="K23" s="31"/>
      <c r="L23" s="30"/>
      <c r="M23" s="65"/>
      <c r="N23" s="30"/>
      <c r="O23" s="30"/>
      <c r="P23" s="30"/>
      <c r="Q23" s="31"/>
      <c r="S23" s="65"/>
      <c r="U23" s="30"/>
      <c r="V23" s="30"/>
      <c r="W23" s="31"/>
      <c r="Z23" s="65"/>
      <c r="AA23" s="65"/>
      <c r="AB23" s="31"/>
      <c r="AC23" s="30"/>
      <c r="AE23" s="51"/>
      <c r="AF23" s="31"/>
      <c r="AG23" s="30"/>
      <c r="AI23" s="31"/>
      <c r="AJ23" s="65"/>
      <c r="AK23" s="30"/>
      <c r="AL23" s="31"/>
      <c r="AP23" s="31"/>
      <c r="AQ23" s="30"/>
      <c r="AS23" s="31"/>
      <c r="AT23" s="65"/>
      <c r="AU23" s="30"/>
      <c r="AW23" s="31"/>
      <c r="AY23" s="65"/>
      <c r="AZ23" s="30"/>
      <c r="BA23" s="31"/>
      <c r="BE23" s="31"/>
      <c r="BG23" s="65"/>
      <c r="BH23" s="30"/>
      <c r="BI23" s="31"/>
      <c r="BL23" s="31"/>
      <c r="BM23" s="65"/>
      <c r="BN23" s="30"/>
      <c r="BP23" s="31"/>
      <c r="BR23" s="65"/>
      <c r="BS23" s="31"/>
      <c r="BT23" s="30"/>
      <c r="BW23" s="31"/>
      <c r="BX23" s="30"/>
      <c r="BZ23" s="31"/>
      <c r="CA23" s="65"/>
      <c r="CC23" s="31"/>
      <c r="CD23" s="30"/>
      <c r="CF23" s="65"/>
      <c r="CG23" s="30"/>
      <c r="CK23" s="30"/>
      <c r="CN23" s="30"/>
      <c r="CQ23" s="30"/>
      <c r="CU23" s="30"/>
      <c r="CX23" s="30"/>
    </row>
    <row r="24" spans="1:103" s="63" customFormat="1" x14ac:dyDescent="0.3">
      <c r="A24" s="47"/>
      <c r="B24" s="47">
        <v>1</v>
      </c>
      <c r="C24" s="30" t="s">
        <v>17</v>
      </c>
      <c r="D24" s="65">
        <v>112</v>
      </c>
      <c r="E24" s="36" t="s">
        <v>56</v>
      </c>
      <c r="F24" s="47"/>
      <c r="G24" s="30"/>
      <c r="H24" s="65"/>
      <c r="I24" s="30"/>
      <c r="J24" s="30"/>
      <c r="K24" s="30"/>
      <c r="L24" s="30"/>
      <c r="M24" s="65"/>
      <c r="N24" s="30"/>
      <c r="O24" s="30"/>
      <c r="P24" s="30"/>
      <c r="Q24" s="30"/>
      <c r="S24" s="65"/>
      <c r="U24" s="30"/>
      <c r="V24" s="30"/>
      <c r="W24" s="30"/>
      <c r="Z24" s="65"/>
      <c r="AA24" s="65"/>
      <c r="AB24" s="30"/>
      <c r="AC24" s="30"/>
      <c r="AE24" s="51"/>
      <c r="AF24" s="30"/>
      <c r="AG24" s="30"/>
      <c r="AI24" s="30"/>
      <c r="AJ24" s="65"/>
      <c r="AK24" s="30"/>
      <c r="AL24" s="30"/>
      <c r="AP24" s="30"/>
      <c r="AQ24" s="30"/>
      <c r="AS24" s="30"/>
      <c r="AT24" s="65"/>
      <c r="AU24" s="30"/>
      <c r="AW24" s="30"/>
      <c r="AY24" s="65"/>
      <c r="AZ24" s="30"/>
      <c r="BA24" s="30"/>
      <c r="BE24" s="30"/>
      <c r="BG24" s="65"/>
      <c r="BH24" s="30"/>
      <c r="BI24" s="30"/>
      <c r="BL24" s="30"/>
      <c r="BM24" s="65"/>
      <c r="BN24" s="30"/>
      <c r="BP24" s="30"/>
      <c r="BR24" s="65"/>
      <c r="BS24" s="30"/>
      <c r="BT24" s="30"/>
      <c r="BW24" s="30"/>
      <c r="BX24" s="30"/>
      <c r="BZ24" s="30"/>
      <c r="CA24" s="65"/>
      <c r="CC24" s="30"/>
      <c r="CD24" s="30"/>
      <c r="CF24" s="65"/>
      <c r="CG24" s="30"/>
      <c r="CK24" s="30"/>
      <c r="CN24" s="30"/>
      <c r="CQ24" s="30"/>
      <c r="CU24" s="30"/>
      <c r="CX24" s="30"/>
    </row>
    <row r="25" spans="1:103" s="63" customFormat="1" x14ac:dyDescent="0.3">
      <c r="A25" s="47"/>
      <c r="B25" s="47">
        <v>1</v>
      </c>
      <c r="C25" s="30" t="s">
        <v>17</v>
      </c>
      <c r="D25" s="65">
        <f>D24/D23</f>
        <v>17.23076923076923</v>
      </c>
      <c r="E25" s="36" t="s">
        <v>102</v>
      </c>
      <c r="F25" s="47"/>
      <c r="G25" s="65"/>
      <c r="H25" s="65"/>
      <c r="I25" s="30"/>
      <c r="J25" s="30"/>
      <c r="K25" s="30"/>
      <c r="L25" s="65"/>
      <c r="N25" s="65"/>
      <c r="O25" s="30"/>
      <c r="P25" s="30"/>
      <c r="Q25" s="30"/>
      <c r="S25" s="65"/>
      <c r="T25" s="65"/>
      <c r="U25" s="30"/>
      <c r="V25" s="30"/>
      <c r="W25" s="30"/>
      <c r="Z25" s="65"/>
      <c r="AA25" s="65"/>
      <c r="AB25" s="30"/>
      <c r="AC25" s="30"/>
      <c r="AD25" s="51"/>
      <c r="AE25" s="47"/>
      <c r="AF25" s="30"/>
      <c r="AG25" s="30"/>
      <c r="AI25" s="30"/>
      <c r="AJ25" s="65"/>
      <c r="AK25" s="30"/>
      <c r="AL25" s="30"/>
      <c r="AP25" s="30"/>
      <c r="AQ25" s="30"/>
      <c r="AS25" s="30"/>
      <c r="AT25" s="65"/>
      <c r="AU25" s="30"/>
      <c r="AW25" s="30"/>
      <c r="AY25" s="65"/>
      <c r="AZ25" s="30"/>
      <c r="BA25" s="30"/>
      <c r="BC25" s="51"/>
      <c r="BE25" s="30"/>
      <c r="BG25" s="65"/>
      <c r="BH25" s="30"/>
      <c r="BI25" s="30"/>
      <c r="BL25" s="30"/>
      <c r="BM25" s="65"/>
      <c r="BN25" s="30"/>
      <c r="BP25" s="30"/>
      <c r="BR25" s="65"/>
      <c r="BS25" s="30"/>
      <c r="BT25" s="30"/>
      <c r="BW25" s="30"/>
      <c r="BX25" s="30"/>
      <c r="BZ25" s="30"/>
      <c r="CA25" s="65"/>
      <c r="CC25" s="30"/>
      <c r="CD25" s="30"/>
      <c r="CF25" s="65"/>
      <c r="CG25" s="30"/>
      <c r="CK25" s="30"/>
      <c r="CN25" s="30"/>
      <c r="CQ25" s="30"/>
      <c r="CU25" s="30"/>
      <c r="CX25" s="30"/>
    </row>
    <row r="26" spans="1:103" s="47" customFormat="1" ht="15" customHeight="1" x14ac:dyDescent="0.3">
      <c r="B26" s="109">
        <v>1</v>
      </c>
      <c r="C26" s="110" t="s">
        <v>103</v>
      </c>
      <c r="D26" s="111">
        <v>130</v>
      </c>
      <c r="E26" s="114" t="s">
        <v>100</v>
      </c>
      <c r="F26" s="32"/>
      <c r="G26" s="63"/>
      <c r="H26" s="67"/>
      <c r="I26" s="30"/>
      <c r="J26" s="30"/>
      <c r="K26" s="45"/>
      <c r="L26" s="63"/>
      <c r="M26" s="63"/>
      <c r="N26" s="63"/>
      <c r="O26" s="30"/>
      <c r="P26" s="30"/>
      <c r="Q26" s="45"/>
      <c r="R26" s="63"/>
      <c r="S26" s="67"/>
      <c r="T26" s="63"/>
      <c r="U26" s="30"/>
      <c r="V26" s="30"/>
      <c r="W26" s="45"/>
      <c r="X26" s="63"/>
      <c r="Y26" s="63"/>
      <c r="Z26" s="67"/>
      <c r="AA26" s="67"/>
      <c r="AB26" s="45"/>
      <c r="AC26" s="30"/>
      <c r="AD26" s="63"/>
      <c r="AF26" s="45"/>
      <c r="AG26" s="30"/>
      <c r="AI26" s="45"/>
      <c r="AJ26" s="67"/>
      <c r="AK26" s="30"/>
      <c r="AL26" s="45"/>
      <c r="AP26" s="45"/>
      <c r="AQ26" s="30"/>
      <c r="AS26" s="45"/>
      <c r="AT26" s="67"/>
      <c r="AU26" s="30"/>
      <c r="AW26" s="45"/>
      <c r="AY26" s="67"/>
      <c r="AZ26" s="30"/>
      <c r="BA26" s="45"/>
      <c r="BE26" s="45"/>
      <c r="BG26" s="67"/>
      <c r="BH26" s="30"/>
      <c r="BI26" s="45"/>
      <c r="BL26" s="45"/>
      <c r="BM26" s="67"/>
      <c r="BN26" s="30"/>
      <c r="BP26" s="45"/>
      <c r="BR26" s="67"/>
      <c r="BS26" s="45"/>
      <c r="BT26" s="30"/>
      <c r="BW26" s="45"/>
      <c r="BX26" s="30"/>
      <c r="BZ26" s="45"/>
      <c r="CA26" s="67"/>
      <c r="CC26" s="45"/>
      <c r="CD26" s="30"/>
      <c r="CF26" s="67"/>
      <c r="CG26" s="30"/>
      <c r="CK26" s="30"/>
      <c r="CN26" s="30"/>
      <c r="CQ26" s="30"/>
      <c r="CU26" s="30"/>
      <c r="CX26" s="30"/>
    </row>
    <row r="27" spans="1:103" s="47" customFormat="1" ht="28.8" customHeight="1" x14ac:dyDescent="0.3">
      <c r="B27" s="109"/>
      <c r="C27" s="110"/>
      <c r="D27" s="111"/>
      <c r="E27" s="114"/>
      <c r="H27" s="67"/>
      <c r="I27" s="63"/>
      <c r="J27" s="63"/>
      <c r="K27" s="45"/>
      <c r="O27" s="63"/>
      <c r="P27" s="63"/>
      <c r="Q27" s="45"/>
      <c r="S27" s="67"/>
      <c r="U27" s="63"/>
      <c r="V27" s="63"/>
      <c r="W27" s="45"/>
      <c r="Z27" s="67"/>
      <c r="AA27" s="67"/>
      <c r="AB27" s="45"/>
      <c r="AC27" s="63"/>
      <c r="AF27" s="45"/>
      <c r="AG27" s="63"/>
      <c r="AI27" s="45"/>
      <c r="AJ27" s="67"/>
      <c r="AK27" s="63"/>
      <c r="AL27" s="45"/>
      <c r="AP27" s="45"/>
      <c r="AQ27" s="63"/>
      <c r="AS27" s="45"/>
      <c r="AT27" s="67"/>
      <c r="AU27" s="63"/>
      <c r="AW27" s="45"/>
      <c r="AY27" s="67"/>
      <c r="AZ27" s="63"/>
      <c r="BA27" s="45"/>
      <c r="BE27" s="45"/>
      <c r="BG27" s="67"/>
      <c r="BH27" s="63"/>
      <c r="BI27" s="45"/>
      <c r="BL27" s="45"/>
      <c r="BM27" s="67"/>
      <c r="BN27" s="63"/>
      <c r="BP27" s="45"/>
      <c r="BR27" s="67"/>
      <c r="BS27" s="45"/>
      <c r="BT27" s="63"/>
      <c r="BW27" s="45"/>
      <c r="BX27" s="63"/>
      <c r="BZ27" s="45"/>
      <c r="CA27" s="67"/>
      <c r="CC27" s="45"/>
      <c r="CD27" s="63"/>
      <c r="CF27" s="67"/>
      <c r="CG27" s="63"/>
      <c r="CK27" s="63"/>
      <c r="CN27" s="63"/>
      <c r="CQ27" s="63"/>
      <c r="CU27" s="63"/>
      <c r="CX27" s="63"/>
    </row>
    <row r="28" spans="1:103" s="47" customFormat="1" x14ac:dyDescent="0.3">
      <c r="B28" s="68">
        <v>1</v>
      </c>
      <c r="C28" s="30" t="s">
        <v>104</v>
      </c>
      <c r="D28" s="65">
        <v>260</v>
      </c>
      <c r="E28" s="36" t="s">
        <v>100</v>
      </c>
      <c r="H28" s="65"/>
      <c r="I28" s="30"/>
      <c r="J28" s="30"/>
      <c r="K28" s="30"/>
      <c r="O28" s="30"/>
      <c r="P28" s="30"/>
      <c r="Q28" s="30"/>
      <c r="S28" s="65"/>
      <c r="U28" s="30"/>
      <c r="V28" s="30"/>
      <c r="W28" s="30"/>
      <c r="Z28" s="65"/>
      <c r="AA28" s="65"/>
      <c r="AB28" s="30"/>
      <c r="AC28" s="30"/>
      <c r="AF28" s="30"/>
      <c r="AG28" s="30"/>
      <c r="AI28" s="30"/>
      <c r="AJ28" s="65"/>
      <c r="AK28" s="30"/>
      <c r="AL28" s="30"/>
      <c r="AP28" s="30"/>
      <c r="AQ28" s="30"/>
      <c r="AS28" s="30"/>
      <c r="AT28" s="65"/>
      <c r="AU28" s="30"/>
      <c r="AW28" s="30"/>
      <c r="AY28" s="65"/>
      <c r="AZ28" s="30"/>
      <c r="BA28" s="30"/>
      <c r="BE28" s="30"/>
      <c r="BG28" s="65"/>
      <c r="BH28" s="30"/>
      <c r="BI28" s="30"/>
      <c r="BL28" s="30"/>
      <c r="BM28" s="65"/>
      <c r="BN28" s="30"/>
      <c r="BP28" s="30"/>
      <c r="BR28" s="65"/>
      <c r="BS28" s="30"/>
      <c r="BT28" s="30"/>
      <c r="BW28" s="30"/>
      <c r="BX28" s="30"/>
      <c r="BZ28" s="30"/>
      <c r="CA28" s="65"/>
      <c r="CC28" s="30"/>
      <c r="CD28" s="30"/>
      <c r="CF28" s="65"/>
      <c r="CG28" s="30"/>
      <c r="CK28" s="30"/>
      <c r="CN28" s="30"/>
      <c r="CQ28" s="30"/>
      <c r="CU28" s="30"/>
      <c r="CX28" s="30"/>
    </row>
    <row r="29" spans="1:103" s="47" customFormat="1" x14ac:dyDescent="0.3">
      <c r="B29" s="68">
        <v>1</v>
      </c>
      <c r="C29" s="30" t="s">
        <v>659</v>
      </c>
      <c r="D29" s="65">
        <f>D26/D24</f>
        <v>1.1607142857142858</v>
      </c>
      <c r="E29" s="36" t="s">
        <v>105</v>
      </c>
      <c r="H29" s="65"/>
      <c r="I29" s="30"/>
      <c r="J29" s="30"/>
      <c r="K29" s="30"/>
      <c r="O29" s="30"/>
      <c r="P29" s="30"/>
      <c r="Q29" s="30"/>
      <c r="S29" s="65"/>
      <c r="U29" s="30"/>
      <c r="V29" s="30"/>
      <c r="W29" s="30"/>
      <c r="Z29" s="65"/>
      <c r="AA29" s="65"/>
      <c r="AB29" s="30"/>
      <c r="AC29" s="30"/>
      <c r="AF29" s="30"/>
      <c r="AG29" s="30"/>
      <c r="AI29" s="30"/>
      <c r="AJ29" s="65"/>
      <c r="AK29" s="30"/>
      <c r="AL29" s="30"/>
      <c r="AP29" s="30"/>
      <c r="AQ29" s="30"/>
      <c r="AS29" s="30"/>
      <c r="AT29" s="65"/>
      <c r="AU29" s="30"/>
      <c r="AW29" s="30"/>
      <c r="AY29" s="65"/>
      <c r="AZ29" s="30"/>
      <c r="BA29" s="30"/>
      <c r="BE29" s="30"/>
      <c r="BG29" s="65"/>
      <c r="BH29" s="30"/>
      <c r="BI29" s="30"/>
      <c r="BL29" s="30"/>
      <c r="BM29" s="65"/>
      <c r="BN29" s="30"/>
      <c r="BP29" s="30"/>
      <c r="BR29" s="65"/>
      <c r="BS29" s="30"/>
      <c r="BT29" s="30"/>
      <c r="BW29" s="30"/>
      <c r="BX29" s="30"/>
      <c r="BZ29" s="30"/>
      <c r="CA29" s="65"/>
      <c r="CC29" s="30"/>
      <c r="CD29" s="30"/>
      <c r="CF29" s="65"/>
      <c r="CG29" s="30"/>
      <c r="CK29" s="30"/>
      <c r="CN29" s="30"/>
      <c r="CQ29" s="30"/>
      <c r="CU29" s="30"/>
      <c r="CX29" s="30"/>
    </row>
    <row r="30" spans="1:103" s="47" customFormat="1" x14ac:dyDescent="0.3">
      <c r="B30" s="68">
        <v>1</v>
      </c>
      <c r="C30" s="30" t="s">
        <v>104</v>
      </c>
      <c r="D30" s="65">
        <f>D28/D24</f>
        <v>2.3214285714285716</v>
      </c>
      <c r="E30" s="36" t="s">
        <v>105</v>
      </c>
      <c r="H30" s="65"/>
      <c r="I30" s="30"/>
      <c r="J30" s="30"/>
      <c r="K30" s="30"/>
      <c r="O30" s="30"/>
      <c r="P30" s="30"/>
      <c r="Q30" s="30"/>
      <c r="S30" s="65"/>
      <c r="U30" s="30"/>
      <c r="V30" s="30"/>
      <c r="W30" s="30"/>
      <c r="Z30" s="65"/>
      <c r="AA30" s="65"/>
      <c r="AB30" s="30"/>
      <c r="AC30" s="30"/>
      <c r="AF30" s="30"/>
      <c r="AG30" s="30"/>
      <c r="AI30" s="30"/>
      <c r="AJ30" s="65"/>
      <c r="AK30" s="30"/>
      <c r="AL30" s="30"/>
      <c r="AP30" s="30"/>
      <c r="AQ30" s="30"/>
      <c r="AS30" s="30"/>
      <c r="AT30" s="65"/>
      <c r="AU30" s="30"/>
      <c r="AW30" s="30"/>
      <c r="AY30" s="65"/>
      <c r="AZ30" s="30"/>
      <c r="BA30" s="30"/>
      <c r="BE30" s="30"/>
      <c r="BG30" s="65"/>
      <c r="BH30" s="30"/>
      <c r="BI30" s="30"/>
      <c r="BL30" s="30"/>
      <c r="BM30" s="65"/>
      <c r="BN30" s="30"/>
      <c r="BP30" s="30"/>
      <c r="BR30" s="65"/>
      <c r="BS30" s="30"/>
      <c r="BT30" s="30"/>
      <c r="BW30" s="30"/>
      <c r="BX30" s="30"/>
      <c r="BZ30" s="30"/>
      <c r="CA30" s="65"/>
      <c r="CC30" s="30"/>
      <c r="CD30" s="30"/>
      <c r="CF30" s="65"/>
      <c r="CG30" s="30"/>
      <c r="CK30" s="30"/>
      <c r="CN30" s="30"/>
      <c r="CQ30" s="30"/>
      <c r="CU30" s="30"/>
      <c r="CX30" s="30"/>
    </row>
    <row r="31" spans="1:103" s="63" customFormat="1" x14ac:dyDescent="0.3">
      <c r="A31" s="47"/>
      <c r="B31" s="68">
        <v>1</v>
      </c>
      <c r="C31" s="30" t="s">
        <v>106</v>
      </c>
      <c r="D31" s="65">
        <v>20</v>
      </c>
      <c r="E31" s="36" t="s">
        <v>105</v>
      </c>
      <c r="F31" s="48">
        <f>D31*D24</f>
        <v>2240</v>
      </c>
      <c r="G31" s="30" t="s">
        <v>100</v>
      </c>
      <c r="H31" s="48">
        <f>F31/D33</f>
        <v>420</v>
      </c>
      <c r="I31" s="33" t="s">
        <v>107</v>
      </c>
      <c r="J31" s="48">
        <f>F31/D32</f>
        <v>1016.048117135833</v>
      </c>
      <c r="K31" s="30" t="s">
        <v>661</v>
      </c>
      <c r="L31" s="45"/>
      <c r="O31" s="30"/>
      <c r="R31" s="45"/>
      <c r="U31" s="30"/>
      <c r="X31" s="45"/>
      <c r="Y31" s="45"/>
      <c r="Z31" s="30"/>
      <c r="AB31" s="47"/>
      <c r="AC31" s="45"/>
      <c r="AD31" s="30"/>
      <c r="AG31" s="30"/>
      <c r="AH31" s="45"/>
      <c r="AI31" s="51"/>
      <c r="AJ31" s="30"/>
      <c r="AK31" s="51"/>
      <c r="AM31" s="45"/>
      <c r="AN31" s="30"/>
      <c r="AQ31" s="30"/>
      <c r="AR31" s="45"/>
      <c r="AU31" s="30"/>
      <c r="AW31" s="45"/>
      <c r="AY31" s="30"/>
      <c r="BC31" s="30"/>
      <c r="BE31" s="45"/>
      <c r="BF31" s="51"/>
      <c r="BG31" s="30"/>
      <c r="BJ31" s="30"/>
      <c r="BK31" s="45"/>
      <c r="BN31" s="30"/>
      <c r="BP31" s="45"/>
      <c r="BQ31" s="30"/>
      <c r="BT31" s="45"/>
      <c r="BU31" s="30"/>
      <c r="BX31" s="30"/>
      <c r="BZ31" s="45"/>
      <c r="CA31" s="30"/>
      <c r="CD31" s="45"/>
      <c r="CH31" s="45"/>
      <c r="CK31" s="45"/>
      <c r="CN31" s="45"/>
      <c r="CR31" s="45"/>
      <c r="CU31" s="45"/>
    </row>
    <row r="32" spans="1:103" s="63" customFormat="1" x14ac:dyDescent="0.3">
      <c r="A32" s="47"/>
      <c r="B32" s="68">
        <v>1</v>
      </c>
      <c r="C32" s="30" t="s">
        <v>661</v>
      </c>
      <c r="D32" s="65">
        <v>2.2046199999999998</v>
      </c>
      <c r="E32" s="36" t="s">
        <v>100</v>
      </c>
      <c r="F32" s="48">
        <f>D32/D24</f>
        <v>1.9684107142857142E-2</v>
      </c>
      <c r="G32" s="33" t="s">
        <v>105</v>
      </c>
      <c r="I32" s="51"/>
      <c r="J32" s="51"/>
      <c r="L32" s="45"/>
      <c r="O32" s="30"/>
      <c r="R32" s="45"/>
      <c r="U32" s="30"/>
      <c r="X32" s="45"/>
      <c r="Y32" s="45"/>
      <c r="Z32" s="30"/>
      <c r="AB32" s="47"/>
      <c r="AC32" s="45"/>
      <c r="AD32" s="30"/>
      <c r="AG32" s="30"/>
      <c r="AH32" s="45"/>
      <c r="AI32" s="51"/>
      <c r="AJ32" s="30"/>
      <c r="AK32" s="51"/>
      <c r="AM32" s="45"/>
      <c r="AN32" s="30"/>
      <c r="AQ32" s="30"/>
      <c r="AR32" s="45"/>
      <c r="AU32" s="30"/>
      <c r="AW32" s="45"/>
      <c r="AY32" s="30"/>
      <c r="BC32" s="30"/>
      <c r="BE32" s="45"/>
      <c r="BF32" s="51"/>
      <c r="BG32" s="30"/>
      <c r="BJ32" s="30"/>
      <c r="BK32" s="45"/>
      <c r="BN32" s="30"/>
      <c r="BP32" s="45"/>
      <c r="BQ32" s="30"/>
      <c r="BT32" s="45"/>
      <c r="BU32" s="30"/>
      <c r="BX32" s="30"/>
      <c r="BZ32" s="45"/>
      <c r="CA32" s="30"/>
      <c r="CD32" s="45"/>
      <c r="CH32" s="45"/>
      <c r="CK32" s="45"/>
      <c r="CN32" s="45"/>
      <c r="CR32" s="45"/>
      <c r="CU32" s="45"/>
    </row>
    <row r="33" spans="1:102" s="63" customFormat="1" x14ac:dyDescent="0.3">
      <c r="A33" s="47"/>
      <c r="B33" s="68">
        <v>1</v>
      </c>
      <c r="C33" s="30" t="s">
        <v>109</v>
      </c>
      <c r="D33" s="65">
        <f>16/3</f>
        <v>5.333333333333333</v>
      </c>
      <c r="E33" s="36" t="s">
        <v>100</v>
      </c>
      <c r="F33" s="48">
        <f>D33/D24</f>
        <v>4.7619047619047616E-2</v>
      </c>
      <c r="G33" s="33" t="s">
        <v>105</v>
      </c>
      <c r="I33" s="51"/>
      <c r="J33" s="51"/>
      <c r="L33" s="30"/>
      <c r="O33" s="30"/>
      <c r="R33" s="30"/>
      <c r="U33" s="30"/>
      <c r="X33" s="30"/>
      <c r="Y33" s="30"/>
      <c r="Z33" s="30"/>
      <c r="AB33" s="47"/>
      <c r="AC33" s="30"/>
      <c r="AD33" s="30"/>
      <c r="AG33" s="30"/>
      <c r="AH33" s="30"/>
      <c r="AI33" s="51"/>
      <c r="AJ33" s="30"/>
      <c r="AK33" s="51"/>
      <c r="AM33" s="30"/>
      <c r="AN33" s="30"/>
      <c r="AQ33" s="30"/>
      <c r="AR33" s="30"/>
      <c r="AU33" s="30"/>
      <c r="AW33" s="30"/>
      <c r="AY33" s="30"/>
      <c r="BC33" s="30"/>
      <c r="BE33" s="30"/>
      <c r="BF33" s="51"/>
      <c r="BG33" s="30"/>
      <c r="BJ33" s="30"/>
      <c r="BK33" s="30"/>
      <c r="BN33" s="30"/>
      <c r="BP33" s="30"/>
      <c r="BQ33" s="30"/>
      <c r="BT33" s="30"/>
      <c r="BU33" s="30"/>
      <c r="BX33" s="30"/>
      <c r="BZ33" s="30"/>
      <c r="CA33" s="30"/>
      <c r="CD33" s="30"/>
      <c r="CH33" s="30"/>
      <c r="CK33" s="30"/>
      <c r="CN33" s="30"/>
      <c r="CR33" s="30"/>
      <c r="CU33" s="30"/>
    </row>
    <row r="34" spans="1:102" s="63" customFormat="1" x14ac:dyDescent="0.3">
      <c r="A34" s="47"/>
      <c r="B34" s="68">
        <v>1</v>
      </c>
      <c r="C34" s="30" t="s">
        <v>22</v>
      </c>
      <c r="D34" s="65">
        <v>100</v>
      </c>
      <c r="E34" s="36" t="s">
        <v>109</v>
      </c>
      <c r="F34" s="48">
        <f>D34*F33</f>
        <v>4.7619047619047619</v>
      </c>
      <c r="G34" s="33" t="s">
        <v>105</v>
      </c>
      <c r="H34" s="65">
        <f>F34/D31</f>
        <v>0.23809523809523808</v>
      </c>
      <c r="I34" s="33" t="s">
        <v>31</v>
      </c>
      <c r="J34" s="51"/>
      <c r="L34" s="30"/>
      <c r="O34" s="30"/>
      <c r="R34" s="30"/>
      <c r="U34" s="30"/>
      <c r="X34" s="30"/>
      <c r="Y34" s="30"/>
      <c r="Z34" s="30"/>
      <c r="AB34" s="47"/>
      <c r="AC34" s="30"/>
      <c r="AD34" s="30"/>
      <c r="AG34" s="30"/>
      <c r="AH34" s="30"/>
      <c r="AI34" s="51"/>
      <c r="AJ34" s="30"/>
      <c r="AK34" s="51"/>
      <c r="AM34" s="30"/>
      <c r="AN34" s="30"/>
      <c r="AQ34" s="30"/>
      <c r="AR34" s="30"/>
      <c r="AU34" s="30"/>
      <c r="AW34" s="30"/>
      <c r="AY34" s="30"/>
      <c r="BC34" s="30"/>
      <c r="BE34" s="30"/>
      <c r="BF34" s="51"/>
      <c r="BG34" s="30"/>
      <c r="BJ34" s="30"/>
      <c r="BK34" s="30"/>
      <c r="BN34" s="30"/>
      <c r="BP34" s="30"/>
      <c r="BQ34" s="30"/>
      <c r="BT34" s="30"/>
      <c r="BU34" s="30"/>
      <c r="BX34" s="30"/>
      <c r="BZ34" s="30"/>
      <c r="CA34" s="30"/>
      <c r="CD34" s="30"/>
      <c r="CH34" s="30"/>
      <c r="CK34" s="30"/>
      <c r="CN34" s="30"/>
      <c r="CR34" s="30"/>
      <c r="CU34" s="30"/>
    </row>
    <row r="35" spans="1:102" s="63" customFormat="1" x14ac:dyDescent="0.3">
      <c r="A35" s="47"/>
      <c r="B35" s="68">
        <v>1</v>
      </c>
      <c r="C35" s="30" t="s">
        <v>16</v>
      </c>
      <c r="D35" s="65">
        <f>D24/D33</f>
        <v>21</v>
      </c>
      <c r="E35" s="36" t="s">
        <v>109</v>
      </c>
      <c r="F35" s="48"/>
      <c r="G35" s="33"/>
      <c r="I35" s="30"/>
      <c r="J35" s="51"/>
      <c r="K35" s="30"/>
      <c r="L35" s="51"/>
      <c r="N35" s="30"/>
      <c r="Q35" s="30"/>
      <c r="T35" s="30"/>
      <c r="W35" s="30"/>
      <c r="Z35" s="30"/>
      <c r="AA35" s="30"/>
      <c r="AB35" s="30"/>
      <c r="AD35" s="47"/>
      <c r="AE35" s="30"/>
      <c r="AF35" s="30"/>
      <c r="AI35" s="30"/>
      <c r="AJ35" s="30"/>
      <c r="AK35" s="51"/>
      <c r="AL35" s="30"/>
      <c r="AM35" s="51"/>
      <c r="AO35" s="30"/>
      <c r="AP35" s="30"/>
      <c r="AS35" s="30"/>
      <c r="AT35" s="30"/>
      <c r="AW35" s="30"/>
      <c r="AY35" s="30"/>
      <c r="BA35" s="30"/>
      <c r="BE35" s="30"/>
      <c r="BG35" s="30"/>
      <c r="BH35" s="51"/>
      <c r="BI35" s="30"/>
      <c r="BL35" s="30"/>
      <c r="BM35" s="30"/>
      <c r="BP35" s="30"/>
      <c r="BR35" s="30"/>
      <c r="BS35" s="30"/>
      <c r="BV35" s="30"/>
      <c r="BW35" s="30"/>
      <c r="BZ35" s="30"/>
      <c r="CB35" s="30"/>
      <c r="CC35" s="30"/>
      <c r="CF35" s="30"/>
      <c r="CJ35" s="30"/>
      <c r="CM35" s="30"/>
      <c r="CP35" s="30"/>
      <c r="CT35" s="30"/>
      <c r="CW35" s="30"/>
    </row>
    <row r="36" spans="1:102" s="63" customFormat="1" x14ac:dyDescent="0.3">
      <c r="A36" s="47"/>
      <c r="B36" s="51"/>
      <c r="E36" s="64"/>
      <c r="F36" s="51"/>
      <c r="G36" s="51"/>
      <c r="H36" s="51"/>
      <c r="I36" s="47"/>
      <c r="J36" s="47"/>
      <c r="M36" s="51"/>
      <c r="N36" s="51"/>
      <c r="O36" s="47"/>
      <c r="P36" s="47"/>
      <c r="U36" s="47"/>
      <c r="V36" s="47"/>
      <c r="AC36" s="47"/>
      <c r="AG36" s="47"/>
      <c r="AH36" s="47"/>
      <c r="AK36" s="47"/>
      <c r="AN36" s="51"/>
      <c r="AO36" s="51"/>
      <c r="AQ36" s="47"/>
      <c r="AU36" s="47"/>
      <c r="AZ36" s="47"/>
      <c r="BH36" s="47"/>
      <c r="BK36" s="51"/>
      <c r="BN36" s="47"/>
      <c r="BT36" s="47"/>
      <c r="BX36" s="47"/>
      <c r="CD36" s="47"/>
      <c r="CG36" s="47"/>
      <c r="CK36" s="47"/>
      <c r="CN36" s="47"/>
      <c r="CQ36" s="47"/>
      <c r="CU36" s="47"/>
      <c r="CX36" s="47"/>
    </row>
    <row r="37" spans="1:102" s="63" customFormat="1" x14ac:dyDescent="0.3">
      <c r="A37" s="47"/>
      <c r="B37" s="47">
        <v>1</v>
      </c>
      <c r="C37" s="30" t="s">
        <v>26</v>
      </c>
      <c r="D37" s="65">
        <v>108</v>
      </c>
      <c r="E37" s="36" t="s">
        <v>100</v>
      </c>
      <c r="H37" s="30"/>
      <c r="I37" s="30"/>
      <c r="J37" s="30"/>
      <c r="K37" s="30"/>
      <c r="L37" s="65"/>
      <c r="M37" s="65"/>
      <c r="N37" s="30"/>
      <c r="O37" s="30"/>
      <c r="P37" s="30"/>
      <c r="Q37" s="30"/>
      <c r="S37" s="69"/>
      <c r="T37" s="69"/>
      <c r="U37" s="30"/>
      <c r="V37" s="30"/>
      <c r="W37" s="30"/>
      <c r="X37" s="69"/>
      <c r="Y37" s="69"/>
      <c r="Z37" s="47"/>
      <c r="AA37" s="47"/>
      <c r="AB37" s="30"/>
      <c r="AC37" s="30"/>
      <c r="AD37" s="47"/>
      <c r="AE37" s="70"/>
      <c r="AF37" s="30"/>
      <c r="AG37" s="30"/>
      <c r="AH37" s="70"/>
      <c r="AI37" s="30"/>
      <c r="AJ37" s="70"/>
      <c r="AK37" s="30"/>
      <c r="AL37" s="30"/>
      <c r="AM37" s="51"/>
      <c r="AN37" s="47"/>
      <c r="AO37" s="47"/>
      <c r="AP37" s="30"/>
      <c r="AQ37" s="30"/>
      <c r="AR37" s="47"/>
      <c r="AS37" s="30"/>
      <c r="AT37" s="47"/>
      <c r="AU37" s="30"/>
      <c r="AW37" s="30"/>
      <c r="AZ37" s="30"/>
      <c r="BA37" s="30"/>
      <c r="BE37" s="30"/>
      <c r="BH37" s="30"/>
      <c r="BI37" s="30"/>
      <c r="BL37" s="30"/>
      <c r="BN37" s="30"/>
      <c r="BP37" s="30"/>
      <c r="BS37" s="30"/>
      <c r="BT37" s="30"/>
      <c r="BW37" s="30"/>
      <c r="BX37" s="30"/>
      <c r="BZ37" s="30"/>
      <c r="CC37" s="30"/>
      <c r="CD37" s="30"/>
      <c r="CG37" s="30"/>
      <c r="CK37" s="30"/>
      <c r="CN37" s="30"/>
      <c r="CQ37" s="30"/>
      <c r="CU37" s="30"/>
      <c r="CX37" s="30"/>
    </row>
    <row r="38" spans="1:102" s="63" customFormat="1" x14ac:dyDescent="0.3">
      <c r="A38" s="47"/>
      <c r="B38" s="47">
        <v>1</v>
      </c>
      <c r="C38" s="30" t="s">
        <v>101</v>
      </c>
      <c r="D38" s="65">
        <v>32.5</v>
      </c>
      <c r="E38" s="36" t="s">
        <v>100</v>
      </c>
      <c r="F38" s="47"/>
      <c r="G38" s="47"/>
      <c r="H38" s="30"/>
      <c r="I38" s="30"/>
      <c r="J38" s="30"/>
      <c r="K38" s="30"/>
      <c r="L38" s="65"/>
      <c r="M38" s="65"/>
      <c r="N38" s="30"/>
      <c r="O38" s="30"/>
      <c r="P38" s="30"/>
      <c r="Q38" s="30"/>
      <c r="S38" s="69"/>
      <c r="T38" s="69"/>
      <c r="U38" s="30"/>
      <c r="V38" s="30"/>
      <c r="W38" s="30"/>
      <c r="X38" s="69"/>
      <c r="Y38" s="69"/>
      <c r="Z38" s="47"/>
      <c r="AA38" s="47"/>
      <c r="AB38" s="30"/>
      <c r="AC38" s="30"/>
      <c r="AD38" s="47"/>
      <c r="AE38" s="70"/>
      <c r="AF38" s="30"/>
      <c r="AG38" s="30"/>
      <c r="AH38" s="70"/>
      <c r="AI38" s="30"/>
      <c r="AJ38" s="70"/>
      <c r="AK38" s="30"/>
      <c r="AL38" s="30"/>
      <c r="AM38" s="51"/>
      <c r="AN38" s="47"/>
      <c r="AO38" s="47"/>
      <c r="AP38" s="30"/>
      <c r="AQ38" s="30"/>
      <c r="AR38" s="47"/>
      <c r="AS38" s="30"/>
      <c r="AT38" s="47"/>
      <c r="AU38" s="30"/>
      <c r="AW38" s="30"/>
      <c r="AZ38" s="30"/>
      <c r="BA38" s="30"/>
      <c r="BE38" s="30"/>
      <c r="BH38" s="30"/>
      <c r="BI38" s="30"/>
      <c r="BL38" s="30"/>
      <c r="BN38" s="30"/>
      <c r="BP38" s="30"/>
      <c r="BS38" s="30"/>
      <c r="BT38" s="30"/>
      <c r="BW38" s="30"/>
      <c r="BX38" s="30"/>
      <c r="BZ38" s="30"/>
      <c r="CC38" s="30"/>
      <c r="CD38" s="30"/>
      <c r="CG38" s="30"/>
      <c r="CK38" s="30"/>
      <c r="CN38" s="30"/>
      <c r="CQ38" s="30"/>
      <c r="CU38" s="30"/>
      <c r="CX38" s="30"/>
    </row>
    <row r="39" spans="1:102" s="63" customFormat="1" x14ac:dyDescent="0.3">
      <c r="A39" s="47"/>
      <c r="B39" s="47">
        <v>1</v>
      </c>
      <c r="C39" s="30" t="s">
        <v>17</v>
      </c>
      <c r="D39" s="65">
        <v>112</v>
      </c>
      <c r="E39" s="36" t="s">
        <v>56</v>
      </c>
      <c r="H39" s="30"/>
      <c r="I39" s="30"/>
      <c r="J39" s="30"/>
      <c r="K39" s="30"/>
      <c r="L39" s="65"/>
      <c r="M39" s="65"/>
      <c r="N39" s="30"/>
      <c r="O39" s="30"/>
      <c r="P39" s="30"/>
      <c r="Q39" s="30"/>
      <c r="S39" s="69"/>
      <c r="T39" s="69"/>
      <c r="U39" s="30"/>
      <c r="V39" s="30"/>
      <c r="W39" s="30"/>
      <c r="X39" s="69"/>
      <c r="Y39" s="69"/>
      <c r="Z39" s="47"/>
      <c r="AA39" s="47"/>
      <c r="AB39" s="30"/>
      <c r="AC39" s="30"/>
      <c r="AD39" s="47"/>
      <c r="AE39" s="70"/>
      <c r="AF39" s="30"/>
      <c r="AG39" s="30"/>
      <c r="AH39" s="70"/>
      <c r="AI39" s="30"/>
      <c r="AJ39" s="70"/>
      <c r="AK39" s="30"/>
      <c r="AL39" s="30"/>
      <c r="AM39" s="51"/>
      <c r="AN39" s="47"/>
      <c r="AO39" s="47"/>
      <c r="AP39" s="30"/>
      <c r="AQ39" s="30"/>
      <c r="AR39" s="47"/>
      <c r="AS39" s="30"/>
      <c r="AT39" s="47"/>
      <c r="AU39" s="30"/>
      <c r="AW39" s="30"/>
      <c r="AZ39" s="30"/>
      <c r="BA39" s="30"/>
      <c r="BE39" s="30"/>
      <c r="BH39" s="30"/>
      <c r="BI39" s="30"/>
      <c r="BL39" s="30"/>
      <c r="BN39" s="30"/>
      <c r="BP39" s="30"/>
      <c r="BS39" s="30"/>
      <c r="BT39" s="30"/>
      <c r="BW39" s="30"/>
      <c r="BX39" s="30"/>
      <c r="BZ39" s="30"/>
      <c r="CC39" s="30"/>
      <c r="CD39" s="30"/>
      <c r="CG39" s="30"/>
      <c r="CK39" s="30"/>
      <c r="CN39" s="30"/>
      <c r="CQ39" s="30"/>
      <c r="CU39" s="30"/>
      <c r="CX39" s="30"/>
    </row>
    <row r="40" spans="1:102" s="63" customFormat="1" ht="14.4" customHeight="1" x14ac:dyDescent="0.3">
      <c r="A40" s="47"/>
      <c r="B40" s="109">
        <v>1</v>
      </c>
      <c r="C40" s="110" t="s">
        <v>103</v>
      </c>
      <c r="D40" s="111">
        <v>130</v>
      </c>
      <c r="E40" s="114" t="s">
        <v>100</v>
      </c>
      <c r="H40" s="30"/>
      <c r="I40" s="30"/>
      <c r="J40" s="30"/>
      <c r="K40" s="45"/>
      <c r="L40" s="65"/>
      <c r="M40" s="65"/>
      <c r="N40" s="30"/>
      <c r="O40" s="30"/>
      <c r="P40" s="30"/>
      <c r="Q40" s="45"/>
      <c r="S40" s="69"/>
      <c r="T40" s="69"/>
      <c r="U40" s="30"/>
      <c r="V40" s="30"/>
      <c r="W40" s="45"/>
      <c r="X40" s="69"/>
      <c r="Y40" s="69"/>
      <c r="Z40" s="47"/>
      <c r="AA40" s="47"/>
      <c r="AB40" s="45"/>
      <c r="AC40" s="30"/>
      <c r="AD40" s="47"/>
      <c r="AE40" s="70"/>
      <c r="AF40" s="45"/>
      <c r="AG40" s="30"/>
      <c r="AH40" s="70"/>
      <c r="AI40" s="45"/>
      <c r="AJ40" s="70"/>
      <c r="AK40" s="30"/>
      <c r="AL40" s="45"/>
      <c r="AM40" s="51"/>
      <c r="AN40" s="47"/>
      <c r="AO40" s="47"/>
      <c r="AP40" s="45"/>
      <c r="AQ40" s="30"/>
      <c r="AR40" s="47"/>
      <c r="AS40" s="45"/>
      <c r="AT40" s="47"/>
      <c r="AU40" s="30"/>
      <c r="AW40" s="45"/>
      <c r="AZ40" s="30"/>
      <c r="BA40" s="45"/>
      <c r="BE40" s="45"/>
      <c r="BH40" s="30"/>
      <c r="BI40" s="45"/>
      <c r="BL40" s="45"/>
      <c r="BN40" s="30"/>
      <c r="BP40" s="45"/>
      <c r="BS40" s="45"/>
      <c r="BT40" s="30"/>
      <c r="BW40" s="45"/>
      <c r="BX40" s="30"/>
      <c r="BZ40" s="45"/>
      <c r="CC40" s="45"/>
      <c r="CD40" s="30"/>
      <c r="CG40" s="30"/>
      <c r="CK40" s="30"/>
      <c r="CN40" s="30"/>
      <c r="CQ40" s="30"/>
      <c r="CU40" s="30"/>
      <c r="CX40" s="30"/>
    </row>
    <row r="41" spans="1:102" s="63" customFormat="1" ht="14.4" customHeight="1" x14ac:dyDescent="0.3">
      <c r="A41" s="47"/>
      <c r="B41" s="109"/>
      <c r="C41" s="110"/>
      <c r="D41" s="111"/>
      <c r="E41" s="114"/>
      <c r="F41" s="47"/>
      <c r="G41" s="47"/>
      <c r="H41" s="30"/>
      <c r="I41" s="30"/>
      <c r="J41" s="30"/>
      <c r="K41" s="45"/>
      <c r="L41" s="65"/>
      <c r="M41" s="65"/>
      <c r="N41" s="30"/>
      <c r="O41" s="30"/>
      <c r="P41" s="30"/>
      <c r="Q41" s="45"/>
      <c r="S41" s="69"/>
      <c r="T41" s="69"/>
      <c r="U41" s="30"/>
      <c r="V41" s="30"/>
      <c r="W41" s="45"/>
      <c r="X41" s="69"/>
      <c r="Y41" s="69"/>
      <c r="Z41" s="47"/>
      <c r="AA41" s="47"/>
      <c r="AB41" s="45"/>
      <c r="AC41" s="30"/>
      <c r="AD41" s="47"/>
      <c r="AE41" s="70"/>
      <c r="AF41" s="45"/>
      <c r="AG41" s="30"/>
      <c r="AH41" s="70"/>
      <c r="AI41" s="45"/>
      <c r="AJ41" s="70"/>
      <c r="AK41" s="30"/>
      <c r="AL41" s="45"/>
      <c r="AM41" s="51"/>
      <c r="AN41" s="47"/>
      <c r="AO41" s="47"/>
      <c r="AP41" s="45"/>
      <c r="AQ41" s="30"/>
      <c r="AR41" s="47"/>
      <c r="AS41" s="45"/>
      <c r="AT41" s="47"/>
      <c r="AU41" s="30"/>
      <c r="AW41" s="45"/>
      <c r="AZ41" s="30"/>
      <c r="BA41" s="45"/>
      <c r="BE41" s="45"/>
      <c r="BH41" s="30"/>
      <c r="BI41" s="45"/>
      <c r="BL41" s="45"/>
      <c r="BN41" s="30"/>
      <c r="BP41" s="45"/>
      <c r="BS41" s="45"/>
      <c r="BT41" s="30"/>
      <c r="BW41" s="45"/>
      <c r="BX41" s="30"/>
      <c r="BZ41" s="45"/>
      <c r="CC41" s="45"/>
      <c r="CD41" s="30"/>
      <c r="CG41" s="30"/>
      <c r="CK41" s="30"/>
      <c r="CN41" s="30"/>
      <c r="CQ41" s="30"/>
      <c r="CU41" s="30"/>
      <c r="CX41" s="30"/>
    </row>
    <row r="42" spans="1:102" s="63" customFormat="1" x14ac:dyDescent="0.3">
      <c r="A42" s="47"/>
      <c r="B42" s="68">
        <v>1</v>
      </c>
      <c r="C42" s="30" t="s">
        <v>104</v>
      </c>
      <c r="D42" s="65">
        <v>260</v>
      </c>
      <c r="E42" s="36" t="s">
        <v>100</v>
      </c>
      <c r="F42" s="47"/>
      <c r="G42" s="47"/>
      <c r="H42" s="30"/>
      <c r="I42" s="30"/>
      <c r="J42" s="30"/>
      <c r="K42" s="30"/>
      <c r="L42" s="65"/>
      <c r="M42" s="65"/>
      <c r="N42" s="30"/>
      <c r="O42" s="30"/>
      <c r="P42" s="30"/>
      <c r="Q42" s="30"/>
      <c r="S42" s="69"/>
      <c r="T42" s="69"/>
      <c r="U42" s="30"/>
      <c r="V42" s="30"/>
      <c r="W42" s="30"/>
      <c r="X42" s="69"/>
      <c r="Y42" s="69"/>
      <c r="Z42" s="47"/>
      <c r="AA42" s="47"/>
      <c r="AB42" s="30"/>
      <c r="AC42" s="30"/>
      <c r="AD42" s="47"/>
      <c r="AE42" s="70"/>
      <c r="AF42" s="30"/>
      <c r="AG42" s="30"/>
      <c r="AH42" s="70"/>
      <c r="AI42" s="30"/>
      <c r="AJ42" s="70"/>
      <c r="AK42" s="30"/>
      <c r="AL42" s="30"/>
      <c r="AM42" s="51"/>
      <c r="AN42" s="47"/>
      <c r="AO42" s="47"/>
      <c r="AP42" s="30"/>
      <c r="AQ42" s="30"/>
      <c r="AR42" s="47"/>
      <c r="AS42" s="30"/>
      <c r="AT42" s="47"/>
      <c r="AU42" s="30"/>
      <c r="AW42" s="30"/>
      <c r="AZ42" s="30"/>
      <c r="BA42" s="30"/>
      <c r="BE42" s="30"/>
      <c r="BH42" s="30"/>
      <c r="BI42" s="30"/>
      <c r="BL42" s="30"/>
      <c r="BN42" s="30"/>
      <c r="BP42" s="30"/>
      <c r="BS42" s="30"/>
      <c r="BT42" s="30"/>
      <c r="BW42" s="30"/>
      <c r="BX42" s="30"/>
      <c r="BZ42" s="30"/>
      <c r="CC42" s="30"/>
      <c r="CD42" s="30"/>
      <c r="CG42" s="30"/>
      <c r="CK42" s="30"/>
      <c r="CN42" s="30"/>
      <c r="CQ42" s="30"/>
      <c r="CU42" s="30"/>
      <c r="CX42" s="30"/>
    </row>
    <row r="43" spans="1:102" s="63" customFormat="1" x14ac:dyDescent="0.3">
      <c r="A43" s="47"/>
      <c r="B43" s="68">
        <v>1</v>
      </c>
      <c r="C43" s="30" t="s">
        <v>659</v>
      </c>
      <c r="D43" s="65">
        <f>D40/D39</f>
        <v>1.1607142857142858</v>
      </c>
      <c r="E43" s="36" t="s">
        <v>105</v>
      </c>
      <c r="F43" s="47"/>
      <c r="G43" s="47"/>
      <c r="H43" s="30"/>
      <c r="I43" s="30"/>
      <c r="J43" s="30"/>
      <c r="K43" s="30"/>
      <c r="L43" s="65"/>
      <c r="M43" s="65"/>
      <c r="N43" s="30"/>
      <c r="O43" s="30"/>
      <c r="P43" s="30"/>
      <c r="Q43" s="30"/>
      <c r="S43" s="69"/>
      <c r="T43" s="69"/>
      <c r="U43" s="30"/>
      <c r="V43" s="30"/>
      <c r="W43" s="30"/>
      <c r="X43" s="69"/>
      <c r="Y43" s="69"/>
      <c r="Z43" s="47"/>
      <c r="AA43" s="47"/>
      <c r="AB43" s="30"/>
      <c r="AC43" s="30"/>
      <c r="AD43" s="47"/>
      <c r="AE43" s="70"/>
      <c r="AF43" s="30"/>
      <c r="AG43" s="30"/>
      <c r="AH43" s="70"/>
      <c r="AI43" s="30"/>
      <c r="AJ43" s="70"/>
      <c r="AK43" s="30"/>
      <c r="AL43" s="30"/>
      <c r="AM43" s="51"/>
      <c r="AN43" s="47"/>
      <c r="AO43" s="47"/>
      <c r="AP43" s="30"/>
      <c r="AQ43" s="30"/>
      <c r="AR43" s="47"/>
      <c r="AS43" s="30"/>
      <c r="AT43" s="47"/>
      <c r="AU43" s="30"/>
      <c r="AW43" s="30"/>
      <c r="AZ43" s="30"/>
      <c r="BA43" s="30"/>
      <c r="BE43" s="30"/>
      <c r="BH43" s="30"/>
      <c r="BI43" s="30"/>
      <c r="BL43" s="30"/>
      <c r="BN43" s="30"/>
      <c r="BP43" s="30"/>
      <c r="BS43" s="30"/>
      <c r="BT43" s="30"/>
      <c r="BW43" s="30"/>
      <c r="BX43" s="30"/>
      <c r="BZ43" s="30"/>
      <c r="CC43" s="30"/>
      <c r="CD43" s="30"/>
      <c r="CG43" s="30"/>
      <c r="CK43" s="30"/>
      <c r="CN43" s="30"/>
      <c r="CQ43" s="30"/>
      <c r="CU43" s="30"/>
      <c r="CX43" s="30"/>
    </row>
    <row r="44" spans="1:102" s="63" customFormat="1" x14ac:dyDescent="0.3">
      <c r="A44" s="47"/>
      <c r="B44" s="68">
        <v>1</v>
      </c>
      <c r="C44" s="30" t="s">
        <v>104</v>
      </c>
      <c r="D44" s="65">
        <f>D42/D39</f>
        <v>2.3214285714285716</v>
      </c>
      <c r="E44" s="36" t="s">
        <v>105</v>
      </c>
      <c r="F44" s="47"/>
      <c r="G44" s="47"/>
      <c r="H44" s="30"/>
      <c r="I44" s="30"/>
      <c r="J44" s="30"/>
      <c r="K44" s="30"/>
      <c r="L44" s="65"/>
      <c r="M44" s="65"/>
      <c r="N44" s="30"/>
      <c r="O44" s="30"/>
      <c r="P44" s="30"/>
      <c r="Q44" s="30"/>
      <c r="S44" s="69"/>
      <c r="T44" s="69"/>
      <c r="U44" s="30"/>
      <c r="V44" s="30"/>
      <c r="W44" s="30"/>
      <c r="X44" s="69"/>
      <c r="Y44" s="69"/>
      <c r="Z44" s="47"/>
      <c r="AA44" s="47"/>
      <c r="AB44" s="30"/>
      <c r="AC44" s="30"/>
      <c r="AD44" s="47"/>
      <c r="AE44" s="70"/>
      <c r="AF44" s="30"/>
      <c r="AG44" s="30"/>
      <c r="AH44" s="70"/>
      <c r="AI44" s="30"/>
      <c r="AJ44" s="70"/>
      <c r="AK44" s="30"/>
      <c r="AL44" s="30"/>
      <c r="AM44" s="51"/>
      <c r="AN44" s="47"/>
      <c r="AO44" s="47"/>
      <c r="AP44" s="30"/>
      <c r="AQ44" s="30"/>
      <c r="AR44" s="47"/>
      <c r="AS44" s="30"/>
      <c r="AT44" s="47"/>
      <c r="AU44" s="30"/>
      <c r="AW44" s="30"/>
      <c r="AZ44" s="30"/>
      <c r="BA44" s="30"/>
      <c r="BE44" s="30"/>
      <c r="BH44" s="30"/>
      <c r="BI44" s="30"/>
      <c r="BL44" s="30"/>
      <c r="BN44" s="30"/>
      <c r="BP44" s="30"/>
      <c r="BS44" s="30"/>
      <c r="BT44" s="30"/>
      <c r="BW44" s="30"/>
      <c r="BX44" s="30"/>
      <c r="BZ44" s="30"/>
      <c r="CC44" s="30"/>
      <c r="CD44" s="30"/>
      <c r="CG44" s="30"/>
      <c r="CK44" s="30"/>
      <c r="CN44" s="30"/>
      <c r="CQ44" s="30"/>
      <c r="CU44" s="30"/>
      <c r="CX44" s="30"/>
    </row>
    <row r="45" spans="1:102" s="63" customFormat="1" x14ac:dyDescent="0.3">
      <c r="A45" s="47"/>
      <c r="B45" s="68">
        <v>1</v>
      </c>
      <c r="C45" s="30" t="s">
        <v>185</v>
      </c>
      <c r="D45" s="65">
        <v>2.8264</v>
      </c>
      <c r="E45" s="36" t="s">
        <v>100</v>
      </c>
      <c r="F45" s="47"/>
      <c r="G45" s="47"/>
      <c r="H45" s="30"/>
      <c r="I45" s="30"/>
      <c r="J45" s="30"/>
      <c r="K45" s="30"/>
      <c r="L45" s="65"/>
      <c r="M45" s="65"/>
      <c r="N45" s="30"/>
      <c r="O45" s="30"/>
      <c r="P45" s="30"/>
      <c r="Q45" s="30"/>
      <c r="S45" s="69"/>
      <c r="T45" s="69"/>
      <c r="U45" s="30"/>
      <c r="V45" s="30"/>
      <c r="W45" s="30"/>
      <c r="X45" s="69"/>
      <c r="Y45" s="69"/>
      <c r="Z45" s="47"/>
      <c r="AA45" s="47"/>
      <c r="AB45" s="30"/>
      <c r="AC45" s="30"/>
      <c r="AD45" s="47"/>
      <c r="AE45" s="70"/>
      <c r="AF45" s="30"/>
      <c r="AG45" s="30"/>
      <c r="AH45" s="70"/>
      <c r="AI45" s="30"/>
      <c r="AJ45" s="70"/>
      <c r="AK45" s="30"/>
      <c r="AL45" s="30"/>
      <c r="AM45" s="51"/>
      <c r="AN45" s="47"/>
      <c r="AO45" s="47"/>
      <c r="AP45" s="30"/>
      <c r="AQ45" s="30"/>
      <c r="AR45" s="47"/>
      <c r="AS45" s="30"/>
      <c r="AT45" s="47"/>
      <c r="AU45" s="30"/>
      <c r="AW45" s="30"/>
      <c r="AZ45" s="30"/>
      <c r="BA45" s="30"/>
      <c r="BE45" s="30"/>
      <c r="BH45" s="30"/>
      <c r="BI45" s="30"/>
      <c r="BL45" s="30"/>
      <c r="BN45" s="30"/>
      <c r="BP45" s="30"/>
      <c r="BS45" s="30"/>
      <c r="BT45" s="30"/>
      <c r="BW45" s="30"/>
      <c r="BX45" s="30"/>
      <c r="BZ45" s="30"/>
      <c r="CC45" s="30"/>
      <c r="CD45" s="30"/>
      <c r="CG45" s="30"/>
      <c r="CK45" s="30"/>
      <c r="CN45" s="30"/>
      <c r="CQ45" s="30"/>
      <c r="CU45" s="30"/>
      <c r="CX45" s="30"/>
    </row>
    <row r="46" spans="1:102" s="63" customFormat="1" x14ac:dyDescent="0.3">
      <c r="A46" s="47"/>
      <c r="B46" s="47"/>
      <c r="C46" s="47"/>
      <c r="D46" s="47"/>
      <c r="E46" s="71"/>
      <c r="F46" s="47"/>
      <c r="G46" s="47"/>
      <c r="H46" s="30"/>
      <c r="I46" s="30"/>
      <c r="J46" s="30"/>
      <c r="K46" s="47"/>
      <c r="L46" s="65"/>
      <c r="M46" s="65"/>
      <c r="N46" s="30"/>
      <c r="O46" s="30"/>
      <c r="P46" s="30"/>
      <c r="Q46" s="47"/>
      <c r="S46" s="69"/>
      <c r="T46" s="69"/>
      <c r="U46" s="30"/>
      <c r="V46" s="30"/>
      <c r="W46" s="47"/>
      <c r="X46" s="69"/>
      <c r="Y46" s="69"/>
      <c r="Z46" s="47"/>
      <c r="AA46" s="47"/>
      <c r="AB46" s="47"/>
      <c r="AC46" s="30"/>
      <c r="AD46" s="47"/>
      <c r="AE46" s="70"/>
      <c r="AF46" s="47"/>
      <c r="AG46" s="30"/>
      <c r="AH46" s="70"/>
      <c r="AI46" s="47"/>
      <c r="AJ46" s="70"/>
      <c r="AK46" s="30"/>
      <c r="AL46" s="47"/>
      <c r="AM46" s="51"/>
      <c r="AN46" s="47"/>
      <c r="AO46" s="47"/>
      <c r="AP46" s="47"/>
      <c r="AQ46" s="30"/>
      <c r="AR46" s="47"/>
      <c r="AS46" s="47"/>
      <c r="AT46" s="47"/>
      <c r="AU46" s="30"/>
      <c r="AW46" s="47"/>
      <c r="AZ46" s="30"/>
      <c r="BA46" s="47"/>
      <c r="BE46" s="47"/>
      <c r="BH46" s="30"/>
      <c r="BI46" s="47"/>
      <c r="BL46" s="47"/>
      <c r="BN46" s="30"/>
      <c r="BP46" s="47"/>
      <c r="BS46" s="47"/>
      <c r="BT46" s="30"/>
      <c r="BW46" s="47"/>
      <c r="BX46" s="30"/>
      <c r="BZ46" s="47"/>
      <c r="CC46" s="47"/>
      <c r="CD46" s="30"/>
      <c r="CG46" s="30"/>
      <c r="CK46" s="30"/>
      <c r="CN46" s="30"/>
      <c r="CQ46" s="30"/>
      <c r="CU46" s="30"/>
      <c r="CX46" s="30"/>
    </row>
    <row r="47" spans="1:102" s="63" customFormat="1" x14ac:dyDescent="0.3">
      <c r="A47" s="47" t="s">
        <v>110</v>
      </c>
      <c r="B47" s="47">
        <v>1</v>
      </c>
      <c r="C47" s="31" t="s">
        <v>43</v>
      </c>
      <c r="D47" s="47">
        <v>373.33</v>
      </c>
      <c r="E47" s="36" t="s">
        <v>100</v>
      </c>
      <c r="F47" s="48">
        <f>D47/D39</f>
        <v>3.3333035714285715</v>
      </c>
      <c r="G47" s="30" t="s">
        <v>105</v>
      </c>
      <c r="H47" s="30"/>
      <c r="I47" s="30"/>
      <c r="J47" s="30"/>
      <c r="K47" s="30"/>
      <c r="L47" s="65"/>
      <c r="M47" s="65"/>
      <c r="N47" s="30"/>
      <c r="O47" s="30"/>
      <c r="P47" s="30"/>
      <c r="Q47" s="30"/>
      <c r="S47" s="69"/>
      <c r="T47" s="69"/>
      <c r="U47" s="30"/>
      <c r="V47" s="30"/>
      <c r="W47" s="30"/>
      <c r="X47" s="69"/>
      <c r="Y47" s="69"/>
      <c r="Z47" s="47"/>
      <c r="AA47" s="47"/>
      <c r="AB47" s="30"/>
      <c r="AC47" s="30"/>
      <c r="AD47" s="47"/>
      <c r="AE47" s="70"/>
      <c r="AF47" s="30"/>
      <c r="AG47" s="30"/>
      <c r="AH47" s="70"/>
      <c r="AI47" s="30"/>
      <c r="AJ47" s="70"/>
      <c r="AK47" s="30"/>
      <c r="AL47" s="30"/>
      <c r="AM47" s="51"/>
      <c r="AN47" s="47"/>
      <c r="AO47" s="47"/>
      <c r="AP47" s="30"/>
      <c r="AQ47" s="30"/>
      <c r="AR47" s="47"/>
      <c r="AS47" s="30"/>
      <c r="AT47" s="47"/>
      <c r="AU47" s="30"/>
      <c r="AW47" s="30"/>
      <c r="AZ47" s="30"/>
      <c r="BA47" s="30"/>
      <c r="BE47" s="30"/>
      <c r="BH47" s="30"/>
      <c r="BI47" s="30"/>
      <c r="BL47" s="30"/>
      <c r="BN47" s="30"/>
      <c r="BP47" s="30"/>
      <c r="BS47" s="30"/>
      <c r="BT47" s="30"/>
      <c r="BW47" s="30"/>
      <c r="BX47" s="30"/>
      <c r="BZ47" s="30"/>
      <c r="CC47" s="30"/>
      <c r="CD47" s="30"/>
      <c r="CG47" s="30"/>
      <c r="CK47" s="30"/>
      <c r="CN47" s="30"/>
      <c r="CQ47" s="30"/>
      <c r="CU47" s="30"/>
      <c r="CX47" s="30"/>
    </row>
    <row r="48" spans="1:102" s="63" customFormat="1" x14ac:dyDescent="0.3">
      <c r="A48" s="47" t="s">
        <v>49</v>
      </c>
      <c r="B48" s="47">
        <v>1</v>
      </c>
      <c r="C48" s="31" t="s">
        <v>26</v>
      </c>
      <c r="D48" s="47">
        <v>0.5</v>
      </c>
      <c r="E48" s="36" t="s">
        <v>105</v>
      </c>
      <c r="F48" s="47"/>
      <c r="G48" s="47"/>
      <c r="H48" s="30"/>
      <c r="I48" s="30"/>
      <c r="J48" s="30"/>
      <c r="K48" s="30"/>
      <c r="L48" s="65"/>
      <c r="M48" s="65"/>
      <c r="N48" s="30"/>
      <c r="O48" s="30"/>
      <c r="P48" s="30"/>
      <c r="Q48" s="30"/>
      <c r="S48" s="69"/>
      <c r="T48" s="69"/>
      <c r="U48" s="30"/>
      <c r="V48" s="30"/>
      <c r="W48" s="30"/>
      <c r="X48" s="69"/>
      <c r="Y48" s="69"/>
      <c r="Z48" s="47"/>
      <c r="AA48" s="47"/>
      <c r="AB48" s="30"/>
      <c r="AC48" s="30"/>
      <c r="AD48" s="47"/>
      <c r="AE48" s="70"/>
      <c r="AF48" s="30"/>
      <c r="AG48" s="30"/>
      <c r="AH48" s="70"/>
      <c r="AI48" s="30"/>
      <c r="AJ48" s="70"/>
      <c r="AK48" s="30"/>
      <c r="AL48" s="30"/>
      <c r="AM48" s="51"/>
      <c r="AN48" s="47"/>
      <c r="AO48" s="47"/>
      <c r="AP48" s="30"/>
      <c r="AQ48" s="30"/>
      <c r="AR48" s="47"/>
      <c r="AS48" s="30"/>
      <c r="AT48" s="47"/>
      <c r="AU48" s="30"/>
      <c r="AW48" s="30"/>
      <c r="AZ48" s="30"/>
      <c r="BA48" s="30"/>
      <c r="BE48" s="30"/>
      <c r="BH48" s="30"/>
      <c r="BI48" s="30"/>
      <c r="BL48" s="30"/>
      <c r="BN48" s="30"/>
      <c r="BP48" s="30"/>
      <c r="BS48" s="30"/>
      <c r="BT48" s="30"/>
      <c r="BW48" s="30"/>
      <c r="BX48" s="30"/>
      <c r="BZ48" s="30"/>
      <c r="CC48" s="30"/>
      <c r="CD48" s="30"/>
      <c r="CG48" s="30"/>
      <c r="CK48" s="30"/>
      <c r="CN48" s="30"/>
      <c r="CQ48" s="30"/>
      <c r="CU48" s="30"/>
      <c r="CX48" s="30"/>
    </row>
    <row r="49" spans="1:102" s="63" customFormat="1" x14ac:dyDescent="0.3">
      <c r="A49" s="47" t="s">
        <v>8</v>
      </c>
      <c r="B49" s="47">
        <v>1</v>
      </c>
      <c r="C49" s="30" t="s">
        <v>111</v>
      </c>
      <c r="D49" s="65">
        <v>1.5</v>
      </c>
      <c r="E49" s="36" t="s">
        <v>105</v>
      </c>
      <c r="F49" s="65">
        <f>D49/D31</f>
        <v>7.4999999999999997E-2</v>
      </c>
      <c r="G49" s="30" t="s">
        <v>31</v>
      </c>
      <c r="H49" s="30"/>
      <c r="I49" s="30"/>
      <c r="J49" s="30"/>
      <c r="K49" s="30"/>
      <c r="L49" s="65"/>
      <c r="M49" s="65"/>
      <c r="N49" s="30"/>
      <c r="O49" s="30"/>
      <c r="P49" s="30"/>
      <c r="Q49" s="30"/>
      <c r="S49" s="69"/>
      <c r="T49" s="69"/>
      <c r="U49" s="30"/>
      <c r="V49" s="30"/>
      <c r="W49" s="30"/>
      <c r="X49" s="69"/>
      <c r="Y49" s="69"/>
      <c r="Z49" s="47"/>
      <c r="AA49" s="47"/>
      <c r="AB49" s="30"/>
      <c r="AC49" s="30"/>
      <c r="AD49" s="47"/>
      <c r="AE49" s="70"/>
      <c r="AF49" s="30"/>
      <c r="AG49" s="30"/>
      <c r="AH49" s="70"/>
      <c r="AI49" s="30"/>
      <c r="AJ49" s="70"/>
      <c r="AK49" s="30"/>
      <c r="AL49" s="30"/>
      <c r="AM49" s="51"/>
      <c r="AN49" s="47"/>
      <c r="AO49" s="47"/>
      <c r="AP49" s="30"/>
      <c r="AQ49" s="30"/>
      <c r="AR49" s="47"/>
      <c r="AS49" s="30"/>
      <c r="AT49" s="47"/>
      <c r="AU49" s="30"/>
      <c r="AW49" s="30"/>
      <c r="AZ49" s="30"/>
      <c r="BA49" s="30"/>
      <c r="BE49" s="30"/>
      <c r="BH49" s="30"/>
      <c r="BI49" s="30"/>
      <c r="BL49" s="30"/>
      <c r="BN49" s="30"/>
      <c r="BP49" s="30"/>
      <c r="BS49" s="30"/>
      <c r="BT49" s="30"/>
      <c r="BW49" s="30"/>
      <c r="BX49" s="30"/>
      <c r="BZ49" s="30"/>
      <c r="CC49" s="30"/>
      <c r="CD49" s="30"/>
      <c r="CG49" s="30"/>
      <c r="CK49" s="30"/>
      <c r="CN49" s="30"/>
      <c r="CQ49" s="30"/>
      <c r="CU49" s="30"/>
      <c r="CX49" s="30"/>
    </row>
    <row r="50" spans="1:102" s="63" customFormat="1" x14ac:dyDescent="0.3">
      <c r="A50" s="47" t="s">
        <v>60</v>
      </c>
      <c r="B50" s="47">
        <v>1</v>
      </c>
      <c r="C50" s="30" t="s">
        <v>111</v>
      </c>
      <c r="D50" s="65">
        <v>1.75</v>
      </c>
      <c r="E50" s="36" t="s">
        <v>105</v>
      </c>
      <c r="G50" s="30"/>
      <c r="H50" s="30"/>
      <c r="I50" s="30"/>
      <c r="J50" s="30"/>
      <c r="K50" s="30"/>
      <c r="L50" s="65"/>
      <c r="M50" s="65"/>
      <c r="N50" s="30"/>
      <c r="O50" s="30"/>
      <c r="P50" s="30"/>
      <c r="Q50" s="30"/>
      <c r="S50" s="69"/>
      <c r="T50" s="69"/>
      <c r="U50" s="30"/>
      <c r="V50" s="30"/>
      <c r="W50" s="30"/>
      <c r="X50" s="69"/>
      <c r="Y50" s="69"/>
      <c r="Z50" s="47"/>
      <c r="AA50" s="47"/>
      <c r="AB50" s="30"/>
      <c r="AC50" s="30"/>
      <c r="AD50" s="47"/>
      <c r="AE50" s="70"/>
      <c r="AF50" s="30"/>
      <c r="AG50" s="30"/>
      <c r="AH50" s="70"/>
      <c r="AI50" s="30"/>
      <c r="AJ50" s="70"/>
      <c r="AK50" s="30"/>
      <c r="AL50" s="30"/>
      <c r="AM50" s="51"/>
      <c r="AN50" s="47"/>
      <c r="AO50" s="47"/>
      <c r="AP50" s="30"/>
      <c r="AQ50" s="30"/>
      <c r="AR50" s="47"/>
      <c r="AS50" s="30"/>
      <c r="AT50" s="47"/>
      <c r="AU50" s="30"/>
      <c r="AW50" s="30"/>
      <c r="AZ50" s="30"/>
      <c r="BA50" s="30"/>
      <c r="BE50" s="30"/>
      <c r="BH50" s="30"/>
      <c r="BI50" s="30"/>
      <c r="BL50" s="30"/>
      <c r="BN50" s="30"/>
      <c r="BP50" s="30"/>
      <c r="BS50" s="30"/>
      <c r="BT50" s="30"/>
      <c r="BW50" s="30"/>
      <c r="BX50" s="30"/>
      <c r="BZ50" s="30"/>
      <c r="CC50" s="30"/>
      <c r="CD50" s="30"/>
      <c r="CG50" s="30"/>
      <c r="CK50" s="30"/>
      <c r="CN50" s="30"/>
      <c r="CQ50" s="30"/>
      <c r="CU50" s="30"/>
      <c r="CX50" s="30"/>
    </row>
    <row r="51" spans="1:102" s="63" customFormat="1" x14ac:dyDescent="0.3">
      <c r="A51" s="47" t="s">
        <v>112</v>
      </c>
      <c r="B51" s="47">
        <v>1</v>
      </c>
      <c r="C51" s="30" t="s">
        <v>111</v>
      </c>
      <c r="D51" s="65">
        <v>1.5</v>
      </c>
      <c r="E51" s="36" t="s">
        <v>105</v>
      </c>
      <c r="G51" s="30"/>
      <c r="H51" s="30"/>
      <c r="I51" s="30"/>
      <c r="J51" s="30"/>
      <c r="K51" s="30"/>
      <c r="L51" s="65"/>
      <c r="M51" s="65"/>
      <c r="N51" s="30"/>
      <c r="O51" s="30"/>
      <c r="P51" s="30"/>
      <c r="Q51" s="30"/>
      <c r="S51" s="69"/>
      <c r="T51" s="69"/>
      <c r="U51" s="30"/>
      <c r="V51" s="30"/>
      <c r="W51" s="30"/>
      <c r="X51" s="69"/>
      <c r="Y51" s="69"/>
      <c r="Z51" s="47"/>
      <c r="AA51" s="47"/>
      <c r="AB51" s="30"/>
      <c r="AC51" s="30"/>
      <c r="AD51" s="47"/>
      <c r="AE51" s="70"/>
      <c r="AF51" s="30"/>
      <c r="AG51" s="30"/>
      <c r="AH51" s="70"/>
      <c r="AI51" s="30"/>
      <c r="AJ51" s="70"/>
      <c r="AK51" s="30"/>
      <c r="AL51" s="30"/>
      <c r="AM51" s="51"/>
      <c r="AN51" s="47"/>
      <c r="AO51" s="47"/>
      <c r="AP51" s="30"/>
      <c r="AQ51" s="30"/>
      <c r="AR51" s="47"/>
      <c r="AS51" s="30"/>
      <c r="AT51" s="47"/>
      <c r="AU51" s="30"/>
      <c r="AW51" s="30"/>
      <c r="AZ51" s="30"/>
      <c r="BA51" s="30"/>
      <c r="BE51" s="30"/>
      <c r="BH51" s="30"/>
      <c r="BI51" s="30"/>
      <c r="BL51" s="30"/>
      <c r="BN51" s="30"/>
      <c r="BP51" s="30"/>
      <c r="BS51" s="30"/>
      <c r="BT51" s="30"/>
      <c r="BW51" s="30"/>
      <c r="BX51" s="30"/>
      <c r="BZ51" s="30"/>
      <c r="CC51" s="30"/>
      <c r="CD51" s="30"/>
      <c r="CG51" s="30"/>
      <c r="CK51" s="30"/>
      <c r="CN51" s="30"/>
      <c r="CQ51" s="30"/>
      <c r="CU51" s="30"/>
      <c r="CX51" s="30"/>
    </row>
    <row r="52" spans="1:102" s="63" customFormat="1" x14ac:dyDescent="0.3">
      <c r="A52" s="47" t="s">
        <v>44</v>
      </c>
      <c r="B52" s="47">
        <v>1</v>
      </c>
      <c r="C52" s="30" t="s">
        <v>43</v>
      </c>
      <c r="D52" s="65">
        <v>1.26</v>
      </c>
      <c r="E52" s="36" t="s">
        <v>105</v>
      </c>
      <c r="G52" s="30"/>
      <c r="H52" s="30"/>
      <c r="I52" s="30"/>
      <c r="J52" s="30"/>
      <c r="K52" s="30"/>
      <c r="L52" s="65"/>
      <c r="M52" s="65"/>
      <c r="N52" s="30"/>
      <c r="O52" s="30"/>
      <c r="P52" s="30"/>
      <c r="Q52" s="30"/>
      <c r="S52" s="69"/>
      <c r="T52" s="69"/>
      <c r="U52" s="30"/>
      <c r="V52" s="30"/>
      <c r="W52" s="30"/>
      <c r="X52" s="69"/>
      <c r="Y52" s="69"/>
      <c r="Z52" s="47"/>
      <c r="AA52" s="47"/>
      <c r="AB52" s="30"/>
      <c r="AC52" s="30"/>
      <c r="AD52" s="47"/>
      <c r="AE52" s="70"/>
      <c r="AF52" s="30"/>
      <c r="AG52" s="30"/>
      <c r="AH52" s="70"/>
      <c r="AI52" s="30"/>
      <c r="AJ52" s="70"/>
      <c r="AK52" s="30"/>
      <c r="AL52" s="30"/>
      <c r="AM52" s="51"/>
      <c r="AN52" s="47"/>
      <c r="AO52" s="47"/>
      <c r="AP52" s="30"/>
      <c r="AQ52" s="30"/>
      <c r="AR52" s="47"/>
      <c r="AS52" s="30"/>
      <c r="AT52" s="47"/>
      <c r="AU52" s="30"/>
      <c r="AW52" s="30"/>
      <c r="AZ52" s="30"/>
      <c r="BA52" s="30"/>
      <c r="BE52" s="30"/>
      <c r="BH52" s="30"/>
      <c r="BI52" s="30"/>
      <c r="BL52" s="30"/>
      <c r="BN52" s="30"/>
      <c r="BP52" s="30"/>
      <c r="BS52" s="30"/>
      <c r="BT52" s="30"/>
      <c r="BW52" s="30"/>
      <c r="BX52" s="30"/>
      <c r="BZ52" s="30"/>
      <c r="CC52" s="30"/>
      <c r="CD52" s="30"/>
      <c r="CG52" s="30"/>
      <c r="CK52" s="30"/>
      <c r="CN52" s="30"/>
      <c r="CQ52" s="30"/>
      <c r="CU52" s="30"/>
      <c r="CX52" s="30"/>
    </row>
    <row r="53" spans="1:102" s="63" customFormat="1" x14ac:dyDescent="0.3">
      <c r="A53" s="47" t="s">
        <v>58</v>
      </c>
      <c r="B53" s="47">
        <v>1</v>
      </c>
      <c r="C53" s="30" t="s">
        <v>113</v>
      </c>
      <c r="D53" s="65">
        <v>15.9</v>
      </c>
      <c r="E53" s="36" t="s">
        <v>105</v>
      </c>
      <c r="G53" s="30"/>
      <c r="H53" s="30"/>
      <c r="I53" s="30"/>
      <c r="J53" s="30"/>
      <c r="K53" s="30"/>
      <c r="L53" s="65"/>
      <c r="M53" s="65"/>
      <c r="N53" s="30"/>
      <c r="O53" s="30"/>
      <c r="P53" s="30"/>
      <c r="Q53" s="30"/>
      <c r="S53" s="69"/>
      <c r="T53" s="69"/>
      <c r="U53" s="30"/>
      <c r="V53" s="30"/>
      <c r="W53" s="30"/>
      <c r="X53" s="69"/>
      <c r="Y53" s="69"/>
      <c r="Z53" s="47"/>
      <c r="AA53" s="47"/>
      <c r="AB53" s="30"/>
      <c r="AC53" s="30"/>
      <c r="AD53" s="47"/>
      <c r="AE53" s="70"/>
      <c r="AF53" s="30"/>
      <c r="AG53" s="30"/>
      <c r="AH53" s="70"/>
      <c r="AI53" s="30"/>
      <c r="AJ53" s="70"/>
      <c r="AK53" s="30"/>
      <c r="AL53" s="30"/>
      <c r="AM53" s="51"/>
      <c r="AN53" s="47"/>
      <c r="AO53" s="47"/>
      <c r="AP53" s="30"/>
      <c r="AQ53" s="30"/>
      <c r="AR53" s="47"/>
      <c r="AS53" s="30"/>
      <c r="AT53" s="47"/>
      <c r="AU53" s="30"/>
      <c r="AW53" s="30"/>
      <c r="AZ53" s="30"/>
      <c r="BA53" s="30"/>
      <c r="BE53" s="30"/>
      <c r="BH53" s="30"/>
      <c r="BI53" s="30"/>
      <c r="BL53" s="30"/>
      <c r="BN53" s="30"/>
      <c r="BP53" s="30"/>
      <c r="BS53" s="30"/>
      <c r="BT53" s="30"/>
      <c r="BW53" s="30"/>
      <c r="BX53" s="30"/>
      <c r="BZ53" s="30"/>
      <c r="CC53" s="30"/>
      <c r="CD53" s="30"/>
      <c r="CG53" s="30"/>
      <c r="CK53" s="30"/>
      <c r="CN53" s="30"/>
      <c r="CQ53" s="30"/>
      <c r="CU53" s="30"/>
      <c r="CX53" s="30"/>
    </row>
    <row r="54" spans="1:102" s="63" customFormat="1" x14ac:dyDescent="0.3">
      <c r="A54" s="47" t="s">
        <v>40</v>
      </c>
      <c r="B54" s="47">
        <v>1</v>
      </c>
      <c r="C54" s="30" t="s">
        <v>46</v>
      </c>
      <c r="D54" s="65">
        <f>439.681/D39</f>
        <v>3.9257232142857141</v>
      </c>
      <c r="E54" s="36" t="s">
        <v>105</v>
      </c>
      <c r="G54" s="30"/>
      <c r="I54" s="30"/>
      <c r="J54" s="30"/>
      <c r="K54" s="30"/>
      <c r="L54" s="65"/>
      <c r="M54" s="65"/>
      <c r="N54" s="30"/>
      <c r="O54" s="30"/>
      <c r="P54" s="30"/>
      <c r="Q54" s="30"/>
      <c r="S54" s="69"/>
      <c r="T54" s="69"/>
      <c r="U54" s="30"/>
      <c r="V54" s="30"/>
      <c r="W54" s="30"/>
      <c r="X54" s="69"/>
      <c r="Y54" s="69"/>
      <c r="Z54" s="47"/>
      <c r="AA54" s="47"/>
      <c r="AB54" s="30"/>
      <c r="AC54" s="30"/>
      <c r="AD54" s="47"/>
      <c r="AE54" s="70"/>
      <c r="AF54" s="30"/>
      <c r="AG54" s="30"/>
      <c r="AH54" s="70"/>
      <c r="AI54" s="30"/>
      <c r="AJ54" s="70"/>
      <c r="AK54" s="30"/>
      <c r="AL54" s="30"/>
      <c r="AM54" s="51"/>
      <c r="AN54" s="47"/>
      <c r="AO54" s="47"/>
      <c r="AP54" s="30"/>
      <c r="AQ54" s="30"/>
      <c r="AR54" s="47"/>
      <c r="AS54" s="30"/>
      <c r="AT54" s="47"/>
      <c r="AU54" s="30"/>
      <c r="AW54" s="30"/>
      <c r="AZ54" s="30"/>
      <c r="BA54" s="30"/>
      <c r="BE54" s="30"/>
      <c r="BH54" s="30"/>
      <c r="BI54" s="30"/>
      <c r="BL54" s="30"/>
      <c r="BN54" s="30"/>
      <c r="BP54" s="30"/>
      <c r="BS54" s="30"/>
      <c r="BT54" s="30"/>
      <c r="BW54" s="30"/>
      <c r="BX54" s="30"/>
      <c r="BZ54" s="30"/>
      <c r="CC54" s="30"/>
      <c r="CD54" s="30"/>
      <c r="CG54" s="30"/>
      <c r="CK54" s="30"/>
      <c r="CN54" s="30"/>
      <c r="CQ54" s="30"/>
      <c r="CU54" s="30"/>
      <c r="CX54" s="30"/>
    </row>
    <row r="55" spans="1:102" s="63" customFormat="1" x14ac:dyDescent="0.3">
      <c r="A55" s="107" t="s">
        <v>51</v>
      </c>
      <c r="B55" s="47">
        <v>1</v>
      </c>
      <c r="C55" s="30" t="s">
        <v>46</v>
      </c>
      <c r="D55" s="65">
        <v>3</v>
      </c>
      <c r="E55" s="36" t="s">
        <v>105</v>
      </c>
      <c r="G55" s="30"/>
      <c r="I55" s="30"/>
      <c r="J55" s="30"/>
      <c r="K55" s="30"/>
      <c r="O55" s="30"/>
      <c r="P55" s="30"/>
      <c r="Q55" s="30"/>
      <c r="S55" s="69"/>
      <c r="T55" s="69"/>
      <c r="U55" s="30"/>
      <c r="V55" s="30"/>
      <c r="W55" s="30"/>
      <c r="X55" s="69"/>
      <c r="Y55" s="69"/>
      <c r="Z55" s="51"/>
      <c r="AA55" s="51"/>
      <c r="AB55" s="30"/>
      <c r="AC55" s="30"/>
      <c r="AD55" s="51"/>
      <c r="AE55" s="70"/>
      <c r="AF55" s="30"/>
      <c r="AG55" s="30"/>
      <c r="AH55" s="70"/>
      <c r="AI55" s="30"/>
      <c r="AJ55" s="70"/>
      <c r="AK55" s="30"/>
      <c r="AL55" s="30"/>
      <c r="AM55" s="51"/>
      <c r="AN55" s="47"/>
      <c r="AO55" s="47"/>
      <c r="AP55" s="30"/>
      <c r="AQ55" s="30"/>
      <c r="AR55" s="47"/>
      <c r="AS55" s="30"/>
      <c r="AT55" s="47"/>
      <c r="AU55" s="30"/>
      <c r="AW55" s="30"/>
      <c r="AZ55" s="30"/>
      <c r="BA55" s="30"/>
      <c r="BE55" s="30"/>
      <c r="BH55" s="30"/>
      <c r="BI55" s="30"/>
      <c r="BL55" s="30"/>
      <c r="BN55" s="30"/>
      <c r="BP55" s="30"/>
      <c r="BS55" s="30"/>
      <c r="BT55" s="30"/>
      <c r="BW55" s="30"/>
      <c r="BX55" s="30"/>
      <c r="BZ55" s="30"/>
      <c r="CC55" s="30"/>
      <c r="CD55" s="30"/>
      <c r="CG55" s="30"/>
      <c r="CK55" s="30"/>
      <c r="CN55" s="30"/>
      <c r="CQ55" s="30"/>
      <c r="CU55" s="30"/>
      <c r="CX55" s="30"/>
    </row>
    <row r="56" spans="1:102" s="63" customFormat="1" x14ac:dyDescent="0.3">
      <c r="A56" s="107"/>
      <c r="B56" s="47">
        <v>1</v>
      </c>
      <c r="C56" s="30" t="s">
        <v>125</v>
      </c>
      <c r="D56" s="65">
        <v>2.0271699999999999</v>
      </c>
      <c r="E56" s="36" t="s">
        <v>32</v>
      </c>
      <c r="F56" s="65">
        <f>D56*D55</f>
        <v>6.0815099999999997</v>
      </c>
      <c r="G56" s="30" t="s">
        <v>105</v>
      </c>
      <c r="I56" s="30"/>
      <c r="J56" s="30"/>
      <c r="K56" s="30"/>
      <c r="O56" s="30"/>
      <c r="P56" s="30"/>
      <c r="Q56" s="30"/>
      <c r="S56" s="69"/>
      <c r="T56" s="69"/>
      <c r="U56" s="30"/>
      <c r="V56" s="30"/>
      <c r="W56" s="30"/>
      <c r="X56" s="69"/>
      <c r="Y56" s="69"/>
      <c r="Z56" s="51"/>
      <c r="AA56" s="51"/>
      <c r="AB56" s="30"/>
      <c r="AC56" s="30"/>
      <c r="AD56" s="51"/>
      <c r="AE56" s="70"/>
      <c r="AF56" s="30"/>
      <c r="AG56" s="30"/>
      <c r="AH56" s="70"/>
      <c r="AI56" s="30"/>
      <c r="AJ56" s="70"/>
      <c r="AK56" s="30"/>
      <c r="AL56" s="30"/>
      <c r="AM56" s="51"/>
      <c r="AN56" s="47"/>
      <c r="AO56" s="47"/>
      <c r="AP56" s="30"/>
      <c r="AQ56" s="30"/>
      <c r="AR56" s="47"/>
      <c r="AS56" s="30"/>
      <c r="AT56" s="47"/>
      <c r="AU56" s="30"/>
      <c r="AW56" s="30"/>
      <c r="AZ56" s="30"/>
      <c r="BA56" s="30"/>
      <c r="BE56" s="30"/>
      <c r="BH56" s="30"/>
      <c r="BI56" s="30"/>
      <c r="BL56" s="30"/>
      <c r="BN56" s="30"/>
      <c r="BP56" s="30"/>
      <c r="BS56" s="30"/>
      <c r="BT56" s="30"/>
      <c r="BW56" s="30"/>
      <c r="BX56" s="30"/>
      <c r="BZ56" s="30"/>
      <c r="CC56" s="30"/>
      <c r="CD56" s="30"/>
      <c r="CG56" s="30"/>
      <c r="CK56" s="30"/>
      <c r="CN56" s="30"/>
      <c r="CQ56" s="30"/>
      <c r="CU56" s="30"/>
      <c r="CX56" s="30"/>
    </row>
    <row r="57" spans="1:102" s="63" customFormat="1" x14ac:dyDescent="0.3">
      <c r="A57" s="72" t="s">
        <v>92</v>
      </c>
      <c r="B57" s="47">
        <v>1</v>
      </c>
      <c r="C57" s="30" t="s">
        <v>43</v>
      </c>
      <c r="D57" s="65">
        <v>400</v>
      </c>
      <c r="E57" s="36" t="s">
        <v>56</v>
      </c>
      <c r="F57" s="65">
        <f>D57/D39</f>
        <v>3.5714285714285716</v>
      </c>
      <c r="G57" s="30" t="s">
        <v>105</v>
      </c>
      <c r="H57" s="65">
        <f>F57/D58</f>
        <v>1.1984659635666348</v>
      </c>
      <c r="I57" s="30" t="s">
        <v>32</v>
      </c>
      <c r="J57" s="30"/>
      <c r="K57" s="30"/>
      <c r="O57" s="30"/>
      <c r="P57" s="30"/>
      <c r="Q57" s="30"/>
      <c r="S57" s="69"/>
      <c r="T57" s="69"/>
      <c r="U57" s="30"/>
      <c r="V57" s="30"/>
      <c r="W57" s="30"/>
      <c r="X57" s="69"/>
      <c r="Y57" s="69"/>
      <c r="Z57" s="51"/>
      <c r="AA57" s="51"/>
      <c r="AB57" s="30"/>
      <c r="AC57" s="30"/>
      <c r="AD57" s="51"/>
      <c r="AE57" s="70"/>
      <c r="AF57" s="30"/>
      <c r="AG57" s="30"/>
      <c r="AH57" s="70"/>
      <c r="AI57" s="30"/>
      <c r="AJ57" s="70"/>
      <c r="AK57" s="30"/>
      <c r="AL57" s="30"/>
      <c r="AM57" s="51"/>
      <c r="AN57" s="47"/>
      <c r="AO57" s="47"/>
      <c r="AP57" s="30"/>
      <c r="AQ57" s="30"/>
      <c r="AR57" s="47"/>
      <c r="AS57" s="30"/>
      <c r="AT57" s="47"/>
      <c r="AU57" s="30"/>
      <c r="AW57" s="30"/>
      <c r="AZ57" s="30"/>
      <c r="BA57" s="30"/>
      <c r="BE57" s="30"/>
      <c r="BH57" s="30"/>
      <c r="BI57" s="30"/>
      <c r="BL57" s="30"/>
      <c r="BN57" s="30"/>
      <c r="BP57" s="30"/>
      <c r="BS57" s="30"/>
      <c r="BT57" s="30"/>
      <c r="BW57" s="30"/>
      <c r="BX57" s="30"/>
      <c r="BZ57" s="30"/>
      <c r="CC57" s="30"/>
      <c r="CD57" s="30"/>
      <c r="CG57" s="30"/>
      <c r="CK57" s="30"/>
      <c r="CN57" s="30"/>
      <c r="CQ57" s="30"/>
      <c r="CU57" s="30"/>
      <c r="CX57" s="30"/>
    </row>
    <row r="58" spans="1:102" s="63" customFormat="1" x14ac:dyDescent="0.3">
      <c r="A58" s="107" t="s">
        <v>34</v>
      </c>
      <c r="B58" s="47">
        <v>1</v>
      </c>
      <c r="C58" s="30" t="s">
        <v>46</v>
      </c>
      <c r="D58" s="65">
        <v>2.98</v>
      </c>
      <c r="E58" s="36" t="s">
        <v>105</v>
      </c>
      <c r="G58" s="30"/>
      <c r="I58" s="30"/>
      <c r="J58" s="30"/>
      <c r="K58" s="30"/>
      <c r="O58" s="30"/>
      <c r="P58" s="30"/>
      <c r="Q58" s="30"/>
      <c r="S58" s="69"/>
      <c r="T58" s="69"/>
      <c r="U58" s="30"/>
      <c r="V58" s="30"/>
      <c r="W58" s="30"/>
      <c r="X58" s="69"/>
      <c r="Y58" s="69"/>
      <c r="Z58" s="51"/>
      <c r="AA58" s="51"/>
      <c r="AB58" s="30"/>
      <c r="AC58" s="30"/>
      <c r="AD58" s="51"/>
      <c r="AE58" s="70"/>
      <c r="AF58" s="30"/>
      <c r="AG58" s="30"/>
      <c r="AH58" s="70"/>
      <c r="AI58" s="30"/>
      <c r="AJ58" s="70"/>
      <c r="AK58" s="30"/>
      <c r="AL58" s="30"/>
      <c r="AM58" s="51"/>
      <c r="AN58" s="47"/>
      <c r="AO58" s="47"/>
      <c r="AP58" s="30"/>
      <c r="AQ58" s="30"/>
      <c r="AR58" s="47"/>
      <c r="AS58" s="30"/>
      <c r="AT58" s="47"/>
      <c r="AU58" s="30"/>
      <c r="AW58" s="30"/>
      <c r="AZ58" s="30"/>
      <c r="BA58" s="30"/>
      <c r="BE58" s="30"/>
      <c r="BH58" s="30"/>
      <c r="BI58" s="30"/>
      <c r="BL58" s="30"/>
      <c r="BN58" s="30"/>
      <c r="BP58" s="30"/>
      <c r="BS58" s="30"/>
      <c r="BT58" s="30"/>
      <c r="BW58" s="30"/>
      <c r="BX58" s="30"/>
      <c r="BZ58" s="30"/>
      <c r="CC58" s="30"/>
      <c r="CD58" s="30"/>
      <c r="CG58" s="30"/>
      <c r="CK58" s="30"/>
      <c r="CN58" s="30"/>
      <c r="CQ58" s="30"/>
      <c r="CU58" s="30"/>
      <c r="CX58" s="30"/>
    </row>
    <row r="59" spans="1:102" s="63" customFormat="1" x14ac:dyDescent="0.3">
      <c r="A59" s="107"/>
      <c r="B59" s="47">
        <v>1</v>
      </c>
      <c r="C59" s="30" t="s">
        <v>43</v>
      </c>
      <c r="D59" s="65">
        <v>1.5</v>
      </c>
      <c r="E59" s="36" t="s">
        <v>32</v>
      </c>
      <c r="F59" s="63">
        <f>D59*D58</f>
        <v>4.47</v>
      </c>
      <c r="G59" s="30" t="s">
        <v>105</v>
      </c>
      <c r="I59" s="30"/>
      <c r="J59" s="30"/>
      <c r="K59" s="30"/>
      <c r="O59" s="30"/>
      <c r="P59" s="30"/>
      <c r="Q59" s="30"/>
      <c r="S59" s="69"/>
      <c r="T59" s="69"/>
      <c r="U59" s="30"/>
      <c r="V59" s="30"/>
      <c r="W59" s="30"/>
      <c r="X59" s="69"/>
      <c r="Y59" s="69"/>
      <c r="Z59" s="51"/>
      <c r="AA59" s="51"/>
      <c r="AB59" s="30"/>
      <c r="AC59" s="30"/>
      <c r="AD59" s="51"/>
      <c r="AE59" s="70"/>
      <c r="AF59" s="30"/>
      <c r="AG59" s="30"/>
      <c r="AH59" s="70"/>
      <c r="AI59" s="30"/>
      <c r="AJ59" s="70"/>
      <c r="AK59" s="30"/>
      <c r="AL59" s="30"/>
      <c r="AM59" s="51"/>
      <c r="AN59" s="47"/>
      <c r="AO59" s="47"/>
      <c r="AP59" s="30"/>
      <c r="AQ59" s="30"/>
      <c r="AR59" s="47"/>
      <c r="AS59" s="30"/>
      <c r="AT59" s="47"/>
      <c r="AU59" s="30"/>
      <c r="AW59" s="30"/>
      <c r="AZ59" s="30"/>
      <c r="BA59" s="30"/>
      <c r="BE59" s="30"/>
      <c r="BH59" s="30"/>
      <c r="BI59" s="30"/>
      <c r="BL59" s="30"/>
      <c r="BN59" s="30"/>
      <c r="BP59" s="30"/>
      <c r="BS59" s="30"/>
      <c r="BT59" s="30"/>
      <c r="BW59" s="30"/>
      <c r="BX59" s="30"/>
      <c r="BZ59" s="30"/>
      <c r="CC59" s="30"/>
      <c r="CD59" s="30"/>
      <c r="CG59" s="30"/>
      <c r="CK59" s="30"/>
      <c r="CN59" s="30"/>
      <c r="CQ59" s="30"/>
      <c r="CU59" s="30"/>
      <c r="CX59" s="30"/>
    </row>
    <row r="60" spans="1:102" s="63" customFormat="1" x14ac:dyDescent="0.3">
      <c r="A60" s="47" t="s">
        <v>89</v>
      </c>
      <c r="B60" s="47">
        <v>1</v>
      </c>
      <c r="C60" s="30" t="s">
        <v>114</v>
      </c>
      <c r="D60" s="65">
        <v>9</v>
      </c>
      <c r="E60" s="36" t="s">
        <v>18</v>
      </c>
      <c r="G60" s="30"/>
      <c r="I60" s="30"/>
      <c r="J60" s="30"/>
      <c r="K60" s="30"/>
      <c r="O60" s="30"/>
      <c r="P60" s="30"/>
      <c r="Q60" s="30"/>
      <c r="S60" s="69"/>
      <c r="T60" s="69"/>
      <c r="U60" s="30"/>
      <c r="V60" s="30"/>
      <c r="W60" s="30"/>
      <c r="X60" s="69"/>
      <c r="Y60" s="69"/>
      <c r="Z60" s="51"/>
      <c r="AA60" s="51"/>
      <c r="AB60" s="30"/>
      <c r="AC60" s="30"/>
      <c r="AD60" s="51"/>
      <c r="AE60" s="70"/>
      <c r="AF60" s="30"/>
      <c r="AG60" s="30"/>
      <c r="AH60" s="70"/>
      <c r="AI60" s="30"/>
      <c r="AJ60" s="70"/>
      <c r="AK60" s="30"/>
      <c r="AL60" s="30"/>
      <c r="AM60" s="51"/>
      <c r="AN60" s="47"/>
      <c r="AO60" s="47"/>
      <c r="AP60" s="30"/>
      <c r="AQ60" s="30"/>
      <c r="AR60" s="47"/>
      <c r="AS60" s="30"/>
      <c r="AT60" s="47"/>
      <c r="AU60" s="30"/>
      <c r="AW60" s="30"/>
      <c r="AZ60" s="30"/>
      <c r="BA60" s="30"/>
      <c r="BE60" s="30"/>
      <c r="BH60" s="30"/>
      <c r="BI60" s="30"/>
      <c r="BL60" s="30"/>
      <c r="BN60" s="30"/>
      <c r="BP60" s="30"/>
      <c r="BS60" s="30"/>
      <c r="BT60" s="30"/>
      <c r="BW60" s="30"/>
      <c r="BX60" s="30"/>
      <c r="BZ60" s="30"/>
      <c r="CC60" s="30"/>
      <c r="CD60" s="30"/>
      <c r="CG60" s="30"/>
      <c r="CK60" s="30"/>
      <c r="CN60" s="30"/>
      <c r="CQ60" s="30"/>
      <c r="CU60" s="30"/>
      <c r="CX60" s="30"/>
    </row>
    <row r="61" spans="1:102" s="63" customFormat="1" x14ac:dyDescent="0.3">
      <c r="A61" s="47" t="s">
        <v>115</v>
      </c>
      <c r="B61" s="47">
        <v>1</v>
      </c>
      <c r="C61" s="30" t="s">
        <v>116</v>
      </c>
      <c r="D61" s="65">
        <v>9</v>
      </c>
      <c r="E61" s="36" t="s">
        <v>18</v>
      </c>
      <c r="G61" s="30"/>
      <c r="I61" s="30"/>
      <c r="J61" s="30"/>
      <c r="K61" s="30"/>
      <c r="O61" s="30"/>
      <c r="P61" s="30"/>
      <c r="Q61" s="30"/>
      <c r="S61" s="69"/>
      <c r="T61" s="69"/>
      <c r="U61" s="30"/>
      <c r="V61" s="30"/>
      <c r="W61" s="30"/>
      <c r="X61" s="69"/>
      <c r="Y61" s="69"/>
      <c r="Z61" s="51"/>
      <c r="AA61" s="51"/>
      <c r="AB61" s="30"/>
      <c r="AC61" s="30"/>
      <c r="AD61" s="51"/>
      <c r="AE61" s="70"/>
      <c r="AF61" s="30"/>
      <c r="AG61" s="30"/>
      <c r="AH61" s="70"/>
      <c r="AI61" s="30"/>
      <c r="AJ61" s="70"/>
      <c r="AK61" s="30"/>
      <c r="AL61" s="30"/>
      <c r="AM61" s="51"/>
      <c r="AN61" s="47"/>
      <c r="AO61" s="47"/>
      <c r="AP61" s="30"/>
      <c r="AQ61" s="30"/>
      <c r="AR61" s="47"/>
      <c r="AS61" s="30"/>
      <c r="AT61" s="47"/>
      <c r="AU61" s="30"/>
      <c r="AW61" s="30"/>
      <c r="AZ61" s="30"/>
      <c r="BA61" s="30"/>
      <c r="BE61" s="30"/>
      <c r="BH61" s="30"/>
      <c r="BI61" s="30"/>
      <c r="BL61" s="30"/>
      <c r="BN61" s="30"/>
      <c r="BP61" s="30"/>
      <c r="BS61" s="30"/>
      <c r="BT61" s="30"/>
      <c r="BW61" s="30"/>
      <c r="BX61" s="30"/>
      <c r="BZ61" s="30"/>
      <c r="CC61" s="30"/>
      <c r="CD61" s="30"/>
      <c r="CG61" s="30"/>
      <c r="CK61" s="30"/>
      <c r="CN61" s="30"/>
      <c r="CQ61" s="30"/>
      <c r="CU61" s="30"/>
      <c r="CX61" s="30"/>
    </row>
    <row r="62" spans="1:102" s="63" customFormat="1" x14ac:dyDescent="0.3">
      <c r="A62" s="47" t="s">
        <v>10</v>
      </c>
      <c r="B62" s="47">
        <v>1</v>
      </c>
      <c r="C62" s="30" t="s">
        <v>111</v>
      </c>
      <c r="D62" s="65">
        <v>1.75</v>
      </c>
      <c r="E62" s="36" t="s">
        <v>105</v>
      </c>
      <c r="F62" s="63">
        <f>D62*D39</f>
        <v>196</v>
      </c>
      <c r="G62" s="30" t="s">
        <v>100</v>
      </c>
      <c r="I62" s="30"/>
      <c r="J62" s="30"/>
      <c r="K62" s="30"/>
      <c r="O62" s="30"/>
      <c r="P62" s="30"/>
      <c r="Q62" s="30"/>
      <c r="S62" s="69"/>
      <c r="T62" s="69"/>
      <c r="U62" s="30"/>
      <c r="V62" s="30"/>
      <c r="W62" s="30"/>
      <c r="X62" s="69"/>
      <c r="Y62" s="69"/>
      <c r="Z62" s="51"/>
      <c r="AA62" s="51"/>
      <c r="AB62" s="30"/>
      <c r="AC62" s="30"/>
      <c r="AD62" s="51"/>
      <c r="AE62" s="70"/>
      <c r="AF62" s="30"/>
      <c r="AG62" s="30"/>
      <c r="AH62" s="70"/>
      <c r="AI62" s="30"/>
      <c r="AJ62" s="70"/>
      <c r="AK62" s="30"/>
      <c r="AL62" s="30"/>
      <c r="AM62" s="51"/>
      <c r="AN62" s="47"/>
      <c r="AO62" s="47"/>
      <c r="AP62" s="30"/>
      <c r="AQ62" s="30"/>
      <c r="AR62" s="47"/>
      <c r="AS62" s="30"/>
      <c r="AT62" s="47"/>
      <c r="AU62" s="30"/>
      <c r="AW62" s="30"/>
      <c r="AZ62" s="30"/>
      <c r="BA62" s="30"/>
      <c r="BE62" s="30"/>
      <c r="BH62" s="30"/>
      <c r="BI62" s="30"/>
      <c r="BL62" s="30"/>
      <c r="BN62" s="30"/>
      <c r="BP62" s="30"/>
      <c r="BS62" s="30"/>
      <c r="BT62" s="30"/>
      <c r="BW62" s="30"/>
      <c r="BX62" s="30"/>
      <c r="BZ62" s="30"/>
      <c r="CC62" s="30"/>
      <c r="CD62" s="30"/>
      <c r="CG62" s="30"/>
      <c r="CK62" s="30"/>
      <c r="CN62" s="30"/>
      <c r="CQ62" s="30"/>
      <c r="CU62" s="30"/>
      <c r="CX62" s="30"/>
    </row>
    <row r="63" spans="1:102" s="63" customFormat="1" x14ac:dyDescent="0.3">
      <c r="A63" s="47" t="s">
        <v>10</v>
      </c>
      <c r="B63" s="47">
        <v>1</v>
      </c>
      <c r="C63" s="30" t="s">
        <v>43</v>
      </c>
      <c r="D63" s="65">
        <v>175</v>
      </c>
      <c r="E63" s="36" t="s">
        <v>100</v>
      </c>
      <c r="F63" s="65">
        <f>D63/D39</f>
        <v>1.5625</v>
      </c>
      <c r="G63" s="30" t="s">
        <v>17</v>
      </c>
      <c r="I63" s="30"/>
      <c r="J63" s="30"/>
      <c r="K63" s="30"/>
      <c r="O63" s="30"/>
      <c r="P63" s="30"/>
      <c r="Q63" s="30"/>
      <c r="S63" s="69"/>
      <c r="T63" s="69"/>
      <c r="U63" s="30"/>
      <c r="V63" s="30"/>
      <c r="W63" s="30"/>
      <c r="X63" s="69"/>
      <c r="Y63" s="69"/>
      <c r="Z63" s="51"/>
      <c r="AA63" s="51"/>
      <c r="AB63" s="30"/>
      <c r="AC63" s="30"/>
      <c r="AD63" s="51"/>
      <c r="AE63" s="70"/>
      <c r="AF63" s="30"/>
      <c r="AG63" s="30"/>
      <c r="AH63" s="70"/>
      <c r="AI63" s="30"/>
      <c r="AJ63" s="70"/>
      <c r="AK63" s="30"/>
      <c r="AL63" s="30"/>
      <c r="AM63" s="51"/>
      <c r="AN63" s="47"/>
      <c r="AO63" s="47"/>
      <c r="AP63" s="30"/>
      <c r="AQ63" s="30"/>
      <c r="AR63" s="47"/>
      <c r="AS63" s="30"/>
      <c r="AT63" s="47"/>
      <c r="AU63" s="30"/>
      <c r="AW63" s="30"/>
      <c r="AZ63" s="30"/>
      <c r="BA63" s="30"/>
      <c r="BE63" s="30"/>
      <c r="BH63" s="30"/>
      <c r="BI63" s="30"/>
      <c r="BL63" s="30"/>
      <c r="BN63" s="30"/>
      <c r="BP63" s="30"/>
      <c r="BS63" s="30"/>
      <c r="BT63" s="30"/>
      <c r="BW63" s="30"/>
      <c r="BX63" s="30"/>
      <c r="BZ63" s="30"/>
      <c r="CC63" s="30"/>
      <c r="CD63" s="30"/>
      <c r="CG63" s="30"/>
      <c r="CK63" s="30"/>
      <c r="CN63" s="30"/>
      <c r="CQ63" s="30"/>
      <c r="CU63" s="30"/>
      <c r="CX63" s="30"/>
    </row>
    <row r="64" spans="1:102" s="63" customFormat="1" x14ac:dyDescent="0.3">
      <c r="A64" s="47" t="s">
        <v>20</v>
      </c>
      <c r="B64" s="47">
        <v>1</v>
      </c>
      <c r="C64" s="30" t="s">
        <v>117</v>
      </c>
      <c r="D64" s="65">
        <v>0.15175</v>
      </c>
      <c r="E64" s="36" t="s">
        <v>105</v>
      </c>
      <c r="F64" s="65">
        <v>16.997</v>
      </c>
      <c r="G64" s="30" t="s">
        <v>100</v>
      </c>
      <c r="I64" s="30"/>
      <c r="J64" s="30"/>
      <c r="K64" s="30"/>
      <c r="O64" s="30"/>
      <c r="P64" s="30"/>
      <c r="Q64" s="30"/>
      <c r="S64" s="69"/>
      <c r="T64" s="69"/>
      <c r="U64" s="30"/>
      <c r="V64" s="30"/>
      <c r="W64" s="30"/>
      <c r="X64" s="69"/>
      <c r="Y64" s="69"/>
      <c r="Z64" s="51"/>
      <c r="AA64" s="51"/>
      <c r="AB64" s="30"/>
      <c r="AC64" s="30"/>
      <c r="AD64" s="51"/>
      <c r="AE64" s="70"/>
      <c r="AF64" s="30"/>
      <c r="AG64" s="30"/>
      <c r="AH64" s="70"/>
      <c r="AI64" s="30"/>
      <c r="AJ64" s="70"/>
      <c r="AK64" s="30"/>
      <c r="AL64" s="30"/>
      <c r="AM64" s="51"/>
      <c r="AN64" s="47"/>
      <c r="AO64" s="47"/>
      <c r="AP64" s="30"/>
      <c r="AQ64" s="30"/>
      <c r="AR64" s="47"/>
      <c r="AS64" s="30"/>
      <c r="AT64" s="47"/>
      <c r="AU64" s="30"/>
      <c r="AW64" s="30"/>
      <c r="AZ64" s="30"/>
      <c r="BA64" s="30"/>
      <c r="BE64" s="30"/>
      <c r="BH64" s="30"/>
      <c r="BI64" s="30"/>
      <c r="BL64" s="30"/>
      <c r="BN64" s="30"/>
      <c r="BP64" s="30"/>
      <c r="BS64" s="30"/>
      <c r="BT64" s="30"/>
      <c r="BW64" s="30"/>
      <c r="BX64" s="30"/>
      <c r="BZ64" s="30"/>
      <c r="CC64" s="30"/>
      <c r="CD64" s="30"/>
      <c r="CG64" s="30"/>
      <c r="CK64" s="30"/>
      <c r="CN64" s="30"/>
      <c r="CQ64" s="30"/>
      <c r="CU64" s="30"/>
      <c r="CX64" s="30"/>
    </row>
    <row r="65" spans="1:102" s="63" customFormat="1" x14ac:dyDescent="0.3">
      <c r="A65" s="47" t="s">
        <v>38</v>
      </c>
      <c r="B65" s="47">
        <v>1</v>
      </c>
      <c r="C65" s="30" t="s">
        <v>111</v>
      </c>
      <c r="D65" s="65">
        <v>1.5</v>
      </c>
      <c r="E65" s="36" t="s">
        <v>105</v>
      </c>
      <c r="G65" s="30"/>
      <c r="I65" s="30"/>
      <c r="J65" s="30"/>
      <c r="K65" s="30"/>
      <c r="O65" s="30"/>
      <c r="P65" s="30"/>
      <c r="Q65" s="30"/>
      <c r="S65" s="69"/>
      <c r="T65" s="69"/>
      <c r="U65" s="30"/>
      <c r="V65" s="30"/>
      <c r="W65" s="30"/>
      <c r="X65" s="69"/>
      <c r="Y65" s="69"/>
      <c r="Z65" s="51"/>
      <c r="AA65" s="51"/>
      <c r="AB65" s="30"/>
      <c r="AC65" s="30"/>
      <c r="AD65" s="51"/>
      <c r="AE65" s="70"/>
      <c r="AF65" s="30"/>
      <c r="AG65" s="30"/>
      <c r="AH65" s="70"/>
      <c r="AI65" s="30"/>
      <c r="AJ65" s="70"/>
      <c r="AK65" s="30"/>
      <c r="AL65" s="30"/>
      <c r="AM65" s="51"/>
      <c r="AN65" s="47"/>
      <c r="AO65" s="47"/>
      <c r="AP65" s="30"/>
      <c r="AQ65" s="30"/>
      <c r="AR65" s="47"/>
      <c r="AS65" s="30"/>
      <c r="AT65" s="47"/>
      <c r="AU65" s="30"/>
      <c r="AW65" s="30"/>
      <c r="AZ65" s="30"/>
      <c r="BA65" s="30"/>
      <c r="BE65" s="30"/>
      <c r="BH65" s="30"/>
      <c r="BI65" s="30"/>
      <c r="BL65" s="30"/>
      <c r="BN65" s="30"/>
      <c r="BP65" s="30"/>
      <c r="BS65" s="30"/>
      <c r="BT65" s="30"/>
      <c r="BW65" s="30"/>
      <c r="BX65" s="30"/>
      <c r="BZ65" s="30"/>
      <c r="CC65" s="30"/>
      <c r="CD65" s="30"/>
      <c r="CG65" s="30"/>
      <c r="CK65" s="30"/>
      <c r="CN65" s="30"/>
      <c r="CQ65" s="30"/>
      <c r="CU65" s="30"/>
      <c r="CX65" s="30"/>
    </row>
    <row r="66" spans="1:102" s="63" customFormat="1" x14ac:dyDescent="0.3">
      <c r="A66" s="47" t="s">
        <v>118</v>
      </c>
      <c r="B66" s="47">
        <v>1</v>
      </c>
      <c r="C66" s="30" t="s">
        <v>111</v>
      </c>
      <c r="D66" s="65">
        <v>1.625</v>
      </c>
      <c r="E66" s="36" t="s">
        <v>105</v>
      </c>
      <c r="G66" s="30"/>
      <c r="I66" s="30"/>
      <c r="J66" s="30"/>
      <c r="K66" s="30"/>
      <c r="O66" s="30"/>
      <c r="P66" s="30"/>
      <c r="Q66" s="30"/>
      <c r="S66" s="69"/>
      <c r="T66" s="69"/>
      <c r="U66" s="30"/>
      <c r="V66" s="30"/>
      <c r="W66" s="30"/>
      <c r="X66" s="69"/>
      <c r="Y66" s="69"/>
      <c r="Z66" s="51"/>
      <c r="AA66" s="51"/>
      <c r="AB66" s="30"/>
      <c r="AC66" s="30"/>
      <c r="AD66" s="51"/>
      <c r="AE66" s="70"/>
      <c r="AF66" s="30"/>
      <c r="AG66" s="30"/>
      <c r="AH66" s="70"/>
      <c r="AI66" s="30"/>
      <c r="AJ66" s="70"/>
      <c r="AK66" s="30"/>
      <c r="AL66" s="30"/>
      <c r="AM66" s="51"/>
      <c r="AN66" s="47"/>
      <c r="AO66" s="47"/>
      <c r="AP66" s="30"/>
      <c r="AQ66" s="30"/>
      <c r="AR66" s="47"/>
      <c r="AS66" s="30"/>
      <c r="AT66" s="47"/>
      <c r="AU66" s="30"/>
      <c r="AW66" s="30"/>
      <c r="AZ66" s="30"/>
      <c r="BA66" s="30"/>
      <c r="BE66" s="30"/>
      <c r="BH66" s="30"/>
      <c r="BI66" s="30"/>
      <c r="BL66" s="30"/>
      <c r="BN66" s="30"/>
      <c r="BP66" s="30"/>
      <c r="BS66" s="30"/>
      <c r="BT66" s="30"/>
      <c r="BW66" s="30"/>
      <c r="BX66" s="30"/>
      <c r="BZ66" s="30"/>
      <c r="CC66" s="30"/>
      <c r="CD66" s="30"/>
      <c r="CG66" s="30"/>
      <c r="CK66" s="30"/>
      <c r="CN66" s="30"/>
      <c r="CQ66" s="30"/>
      <c r="CU66" s="30"/>
      <c r="CX66" s="30"/>
    </row>
    <row r="67" spans="1:102" s="63" customFormat="1" x14ac:dyDescent="0.3">
      <c r="A67" s="47" t="s">
        <v>4</v>
      </c>
      <c r="B67" s="47">
        <v>1</v>
      </c>
      <c r="C67" s="30" t="s">
        <v>111</v>
      </c>
      <c r="D67" s="65">
        <v>1.5</v>
      </c>
      <c r="E67" s="36" t="s">
        <v>105</v>
      </c>
      <c r="G67" s="30"/>
      <c r="I67" s="30"/>
      <c r="J67" s="30"/>
      <c r="K67" s="30"/>
      <c r="O67" s="30"/>
      <c r="P67" s="30"/>
      <c r="Q67" s="30"/>
      <c r="S67" s="69"/>
      <c r="T67" s="69"/>
      <c r="U67" s="30"/>
      <c r="V67" s="30"/>
      <c r="W67" s="30"/>
      <c r="X67" s="69"/>
      <c r="Y67" s="69"/>
      <c r="Z67" s="51"/>
      <c r="AA67" s="51"/>
      <c r="AB67" s="30"/>
      <c r="AC67" s="30"/>
      <c r="AD67" s="51"/>
      <c r="AE67" s="70"/>
      <c r="AF67" s="30"/>
      <c r="AG67" s="30"/>
      <c r="AH67" s="70"/>
      <c r="AI67" s="30"/>
      <c r="AJ67" s="70"/>
      <c r="AK67" s="30"/>
      <c r="AL67" s="30"/>
      <c r="AM67" s="51"/>
      <c r="AN67" s="47"/>
      <c r="AO67" s="47"/>
      <c r="AP67" s="30"/>
      <c r="AQ67" s="30"/>
      <c r="AR67" s="47"/>
      <c r="AS67" s="30"/>
      <c r="AT67" s="47"/>
      <c r="AU67" s="30"/>
      <c r="AW67" s="30"/>
      <c r="AZ67" s="30"/>
      <c r="BA67" s="30"/>
      <c r="BE67" s="30"/>
      <c r="BH67" s="30"/>
      <c r="BI67" s="30"/>
      <c r="BL67" s="30"/>
      <c r="BN67" s="30"/>
      <c r="BP67" s="30"/>
      <c r="BS67" s="30"/>
      <c r="BT67" s="30"/>
      <c r="BW67" s="30"/>
      <c r="BX67" s="30"/>
      <c r="BZ67" s="30"/>
      <c r="CC67" s="30"/>
      <c r="CD67" s="30"/>
      <c r="CG67" s="30"/>
      <c r="CK67" s="30"/>
      <c r="CN67" s="30"/>
      <c r="CQ67" s="30"/>
      <c r="CU67" s="30"/>
      <c r="CX67" s="30"/>
    </row>
    <row r="68" spans="1:102" s="63" customFormat="1" x14ac:dyDescent="0.3">
      <c r="A68" s="47" t="s">
        <v>119</v>
      </c>
      <c r="B68" s="47">
        <v>1</v>
      </c>
      <c r="C68" s="30" t="s">
        <v>111</v>
      </c>
      <c r="D68" s="65">
        <v>1.5</v>
      </c>
      <c r="E68" s="36" t="s">
        <v>105</v>
      </c>
      <c r="G68" s="30"/>
      <c r="I68" s="30"/>
      <c r="J68" s="30"/>
      <c r="K68" s="30"/>
      <c r="O68" s="30"/>
      <c r="P68" s="30"/>
      <c r="Q68" s="30"/>
      <c r="S68" s="69"/>
      <c r="T68" s="69"/>
      <c r="U68" s="30"/>
      <c r="V68" s="30"/>
      <c r="W68" s="30"/>
      <c r="X68" s="69"/>
      <c r="Y68" s="69"/>
      <c r="Z68" s="51"/>
      <c r="AA68" s="51"/>
      <c r="AB68" s="30"/>
      <c r="AC68" s="30"/>
      <c r="AD68" s="51"/>
      <c r="AE68" s="70"/>
      <c r="AF68" s="30"/>
      <c r="AG68" s="30"/>
      <c r="AH68" s="70"/>
      <c r="AI68" s="30"/>
      <c r="AJ68" s="70"/>
      <c r="AK68" s="30"/>
      <c r="AL68" s="30"/>
      <c r="AM68" s="51"/>
      <c r="AN68" s="47"/>
      <c r="AO68" s="47"/>
      <c r="AP68" s="30"/>
      <c r="AQ68" s="30"/>
      <c r="AR68" s="47"/>
      <c r="AS68" s="30"/>
      <c r="AT68" s="47"/>
      <c r="AU68" s="30"/>
      <c r="AW68" s="30"/>
      <c r="AZ68" s="30"/>
      <c r="BA68" s="30"/>
      <c r="BE68" s="30"/>
      <c r="BH68" s="30"/>
      <c r="BI68" s="30"/>
      <c r="BL68" s="30"/>
      <c r="BN68" s="30"/>
      <c r="BP68" s="30"/>
      <c r="BS68" s="30"/>
      <c r="BT68" s="30"/>
      <c r="BW68" s="30"/>
      <c r="BX68" s="30"/>
      <c r="BZ68" s="30"/>
      <c r="CC68" s="30"/>
      <c r="CD68" s="30"/>
      <c r="CG68" s="30"/>
      <c r="CK68" s="30"/>
      <c r="CN68" s="30"/>
      <c r="CQ68" s="30"/>
      <c r="CU68" s="30"/>
      <c r="CX68" s="30"/>
    </row>
    <row r="69" spans="1:102" s="63" customFormat="1" x14ac:dyDescent="0.3">
      <c r="A69" s="107" t="s">
        <v>48</v>
      </c>
      <c r="B69" s="47">
        <v>1</v>
      </c>
      <c r="C69" s="30" t="s">
        <v>120</v>
      </c>
      <c r="D69" s="65">
        <v>18.559999999999999</v>
      </c>
      <c r="E69" s="36" t="s">
        <v>18</v>
      </c>
      <c r="G69" s="30"/>
      <c r="I69" s="30"/>
      <c r="J69" s="30"/>
      <c r="K69" s="30"/>
      <c r="O69" s="30"/>
      <c r="P69" s="30"/>
      <c r="Q69" s="30"/>
      <c r="S69" s="69"/>
      <c r="T69" s="69"/>
      <c r="U69" s="30"/>
      <c r="V69" s="30"/>
      <c r="W69" s="30"/>
      <c r="X69" s="69"/>
      <c r="Y69" s="69"/>
      <c r="Z69" s="51"/>
      <c r="AA69" s="51"/>
      <c r="AB69" s="30"/>
      <c r="AC69" s="30"/>
      <c r="AD69" s="51"/>
      <c r="AE69" s="70"/>
      <c r="AF69" s="30"/>
      <c r="AG69" s="30"/>
      <c r="AH69" s="70"/>
      <c r="AI69" s="30"/>
      <c r="AJ69" s="70"/>
      <c r="AK69" s="30"/>
      <c r="AL69" s="30"/>
      <c r="AM69" s="51"/>
      <c r="AN69" s="47"/>
      <c r="AO69" s="47"/>
      <c r="AP69" s="30"/>
      <c r="AQ69" s="30"/>
      <c r="AR69" s="47"/>
      <c r="AS69" s="30"/>
      <c r="AT69" s="47"/>
      <c r="AU69" s="30"/>
      <c r="AW69" s="30"/>
      <c r="AZ69" s="30"/>
      <c r="BA69" s="30"/>
      <c r="BE69" s="30"/>
      <c r="BH69" s="30"/>
      <c r="BI69" s="30"/>
      <c r="BL69" s="30"/>
      <c r="BN69" s="30"/>
      <c r="BP69" s="30"/>
      <c r="BS69" s="30"/>
      <c r="BT69" s="30"/>
      <c r="BW69" s="30"/>
      <c r="BX69" s="30"/>
      <c r="BZ69" s="30"/>
      <c r="CC69" s="30"/>
      <c r="CD69" s="30"/>
      <c r="CG69" s="30"/>
      <c r="CK69" s="30"/>
      <c r="CN69" s="30"/>
      <c r="CQ69" s="30"/>
      <c r="CU69" s="30"/>
      <c r="CX69" s="30"/>
    </row>
    <row r="70" spans="1:102" s="63" customFormat="1" x14ac:dyDescent="0.3">
      <c r="A70" s="107"/>
      <c r="B70" s="47">
        <v>1</v>
      </c>
      <c r="C70" s="30" t="s">
        <v>42</v>
      </c>
      <c r="D70" s="65">
        <v>164</v>
      </c>
      <c r="E70" s="36" t="s">
        <v>100</v>
      </c>
      <c r="F70" s="65">
        <f>D70/D24</f>
        <v>1.4642857142857142</v>
      </c>
      <c r="G70" s="30" t="s">
        <v>105</v>
      </c>
      <c r="I70" s="31"/>
      <c r="J70" s="31"/>
      <c r="K70" s="30"/>
      <c r="O70" s="31"/>
      <c r="P70" s="31"/>
      <c r="Q70" s="30"/>
      <c r="S70" s="69"/>
      <c r="T70" s="69"/>
      <c r="U70" s="31"/>
      <c r="V70" s="31"/>
      <c r="W70" s="30"/>
      <c r="X70" s="69"/>
      <c r="Y70" s="69"/>
      <c r="Z70" s="51"/>
      <c r="AA70" s="51"/>
      <c r="AB70" s="30"/>
      <c r="AC70" s="31"/>
      <c r="AD70" s="51"/>
      <c r="AE70" s="70"/>
      <c r="AF70" s="30"/>
      <c r="AG70" s="31"/>
      <c r="AH70" s="70"/>
      <c r="AI70" s="30"/>
      <c r="AJ70" s="70"/>
      <c r="AK70" s="31"/>
      <c r="AL70" s="30"/>
      <c r="AM70" s="51"/>
      <c r="AN70" s="47"/>
      <c r="AO70" s="47"/>
      <c r="AP70" s="30"/>
      <c r="AQ70" s="31"/>
      <c r="AR70" s="47"/>
      <c r="AS70" s="30"/>
      <c r="AT70" s="47"/>
      <c r="AU70" s="31"/>
      <c r="AW70" s="30"/>
      <c r="AZ70" s="31"/>
      <c r="BA70" s="30"/>
      <c r="BE70" s="30"/>
      <c r="BH70" s="31"/>
      <c r="BI70" s="30"/>
      <c r="BL70" s="30"/>
      <c r="BN70" s="31"/>
      <c r="BP70" s="30"/>
      <c r="BS70" s="30"/>
      <c r="BT70" s="31"/>
      <c r="BW70" s="30"/>
      <c r="BX70" s="31"/>
      <c r="BZ70" s="30"/>
      <c r="CC70" s="30"/>
      <c r="CD70" s="31"/>
      <c r="CG70" s="31"/>
      <c r="CK70" s="31"/>
      <c r="CN70" s="31"/>
      <c r="CQ70" s="31"/>
      <c r="CU70" s="31"/>
      <c r="CX70" s="31"/>
    </row>
    <row r="71" spans="1:102" s="63" customFormat="1" x14ac:dyDescent="0.3">
      <c r="A71" s="107" t="s">
        <v>121</v>
      </c>
      <c r="B71" s="47">
        <v>1</v>
      </c>
      <c r="C71" s="30" t="s">
        <v>45</v>
      </c>
      <c r="D71" s="65">
        <v>336</v>
      </c>
      <c r="E71" s="36" t="s">
        <v>100</v>
      </c>
      <c r="F71" s="65">
        <v>3</v>
      </c>
      <c r="G71" s="30" t="s">
        <v>105</v>
      </c>
      <c r="I71" s="30"/>
      <c r="J71" s="30"/>
      <c r="K71" s="30"/>
      <c r="O71" s="30"/>
      <c r="P71" s="30"/>
      <c r="Q71" s="30"/>
      <c r="S71" s="69"/>
      <c r="T71" s="69"/>
      <c r="U71" s="30"/>
      <c r="V71" s="30"/>
      <c r="W71" s="30"/>
      <c r="X71" s="69"/>
      <c r="Y71" s="69"/>
      <c r="Z71" s="51"/>
      <c r="AA71" s="51"/>
      <c r="AB71" s="30"/>
      <c r="AC71" s="30"/>
      <c r="AD71" s="51"/>
      <c r="AE71" s="70"/>
      <c r="AF71" s="30"/>
      <c r="AG71" s="30"/>
      <c r="AH71" s="70"/>
      <c r="AI71" s="30"/>
      <c r="AJ71" s="70"/>
      <c r="AK71" s="30"/>
      <c r="AL71" s="30"/>
      <c r="AM71" s="51"/>
      <c r="AN71" s="47"/>
      <c r="AO71" s="47"/>
      <c r="AP71" s="30"/>
      <c r="AQ71" s="30"/>
      <c r="AR71" s="47"/>
      <c r="AS71" s="30"/>
      <c r="AT71" s="47"/>
      <c r="AU71" s="30"/>
      <c r="AW71" s="30"/>
      <c r="AZ71" s="30"/>
      <c r="BA71" s="30"/>
      <c r="BE71" s="30"/>
      <c r="BH71" s="30"/>
      <c r="BI71" s="30"/>
      <c r="BL71" s="30"/>
      <c r="BN71" s="30"/>
      <c r="BP71" s="30"/>
      <c r="BS71" s="30"/>
      <c r="BT71" s="30"/>
      <c r="BW71" s="30"/>
      <c r="BX71" s="30"/>
      <c r="BZ71" s="30"/>
      <c r="CC71" s="30"/>
      <c r="CD71" s="30"/>
      <c r="CG71" s="30"/>
      <c r="CK71" s="30"/>
      <c r="CN71" s="30"/>
      <c r="CQ71" s="30"/>
      <c r="CU71" s="30"/>
      <c r="CX71" s="30"/>
    </row>
    <row r="72" spans="1:102" s="63" customFormat="1" x14ac:dyDescent="0.3">
      <c r="A72" s="107"/>
      <c r="B72" s="47">
        <v>1</v>
      </c>
      <c r="C72" s="30" t="s">
        <v>122</v>
      </c>
      <c r="D72" s="65">
        <v>240</v>
      </c>
      <c r="E72" s="36" t="s">
        <v>100</v>
      </c>
      <c r="F72" s="65">
        <f>D72/D39</f>
        <v>2.1428571428571428</v>
      </c>
      <c r="G72" s="30" t="s">
        <v>105</v>
      </c>
      <c r="I72" s="30"/>
      <c r="J72" s="30"/>
      <c r="K72" s="30"/>
      <c r="O72" s="30"/>
      <c r="P72" s="30"/>
      <c r="Q72" s="30"/>
      <c r="S72" s="69"/>
      <c r="T72" s="69"/>
      <c r="U72" s="30"/>
      <c r="V72" s="30"/>
      <c r="W72" s="30"/>
      <c r="X72" s="69"/>
      <c r="Y72" s="69"/>
      <c r="Z72" s="51"/>
      <c r="AA72" s="51"/>
      <c r="AB72" s="30"/>
      <c r="AC72" s="30"/>
      <c r="AD72" s="51"/>
      <c r="AE72" s="70"/>
      <c r="AF72" s="30"/>
      <c r="AG72" s="30"/>
      <c r="AH72" s="70"/>
      <c r="AI72" s="30"/>
      <c r="AJ72" s="70"/>
      <c r="AK72" s="30"/>
      <c r="AL72" s="30"/>
      <c r="AM72" s="51"/>
      <c r="AN72" s="47"/>
      <c r="AO72" s="47"/>
      <c r="AP72" s="30"/>
      <c r="AQ72" s="30"/>
      <c r="AR72" s="47"/>
      <c r="AS72" s="30"/>
      <c r="AT72" s="47"/>
      <c r="AU72" s="30"/>
      <c r="AW72" s="30"/>
      <c r="AZ72" s="30"/>
      <c r="BA72" s="30"/>
      <c r="BE72" s="30"/>
      <c r="BH72" s="30"/>
      <c r="BI72" s="30"/>
      <c r="BL72" s="30"/>
      <c r="BN72" s="30"/>
      <c r="BP72" s="30"/>
      <c r="BS72" s="30"/>
      <c r="BT72" s="30"/>
      <c r="BW72" s="30"/>
      <c r="BX72" s="30"/>
      <c r="BZ72" s="30"/>
      <c r="CC72" s="30"/>
      <c r="CD72" s="30"/>
      <c r="CG72" s="30"/>
      <c r="CK72" s="30"/>
      <c r="CN72" s="30"/>
      <c r="CQ72" s="30"/>
      <c r="CU72" s="30"/>
      <c r="CX72" s="30"/>
    </row>
    <row r="73" spans="1:102" s="63" customFormat="1" x14ac:dyDescent="0.3">
      <c r="A73" s="107" t="s">
        <v>41</v>
      </c>
      <c r="B73" s="47">
        <v>1</v>
      </c>
      <c r="C73" s="30" t="s">
        <v>27</v>
      </c>
      <c r="D73" s="65">
        <v>3.40835</v>
      </c>
      <c r="E73" s="36" t="s">
        <v>111</v>
      </c>
      <c r="F73" s="65">
        <f>D73*D74/D39</f>
        <v>5.9646125000000003</v>
      </c>
      <c r="G73" s="30" t="s">
        <v>105</v>
      </c>
      <c r="I73" s="30"/>
      <c r="J73" s="30"/>
      <c r="K73" s="30"/>
      <c r="O73" s="30"/>
      <c r="P73" s="30"/>
      <c r="Q73" s="30"/>
      <c r="S73" s="69"/>
      <c r="T73" s="69"/>
      <c r="U73" s="30"/>
      <c r="V73" s="30"/>
      <c r="W73" s="30"/>
      <c r="X73" s="69"/>
      <c r="Y73" s="69"/>
      <c r="Z73" s="51"/>
      <c r="AA73" s="51"/>
      <c r="AB73" s="30"/>
      <c r="AC73" s="30"/>
      <c r="AD73" s="51"/>
      <c r="AE73" s="70"/>
      <c r="AF73" s="30"/>
      <c r="AG73" s="30"/>
      <c r="AH73" s="70"/>
      <c r="AI73" s="30"/>
      <c r="AJ73" s="70"/>
      <c r="AK73" s="30"/>
      <c r="AL73" s="30"/>
      <c r="AM73" s="51"/>
      <c r="AN73" s="47"/>
      <c r="AO73" s="47"/>
      <c r="AP73" s="30"/>
      <c r="AQ73" s="30"/>
      <c r="AR73" s="47"/>
      <c r="AS73" s="30"/>
      <c r="AT73" s="47"/>
      <c r="AU73" s="30"/>
      <c r="AW73" s="30"/>
      <c r="AZ73" s="30"/>
      <c r="BA73" s="30"/>
      <c r="BE73" s="30"/>
      <c r="BH73" s="30"/>
      <c r="BI73" s="30"/>
      <c r="BL73" s="30"/>
      <c r="BN73" s="30"/>
      <c r="BP73" s="30"/>
      <c r="BS73" s="30"/>
      <c r="BT73" s="30"/>
      <c r="BW73" s="30"/>
      <c r="BX73" s="30"/>
      <c r="BZ73" s="30"/>
      <c r="CC73" s="30"/>
      <c r="CD73" s="30"/>
      <c r="CG73" s="30"/>
      <c r="CK73" s="30"/>
      <c r="CN73" s="30"/>
      <c r="CQ73" s="30"/>
      <c r="CU73" s="30"/>
      <c r="CX73" s="30"/>
    </row>
    <row r="74" spans="1:102" s="63" customFormat="1" x14ac:dyDescent="0.3">
      <c r="A74" s="107"/>
      <c r="B74" s="47">
        <v>1</v>
      </c>
      <c r="C74" s="30" t="s">
        <v>111</v>
      </c>
      <c r="D74" s="48">
        <v>196</v>
      </c>
      <c r="E74" s="36" t="s">
        <v>100</v>
      </c>
      <c r="F74" s="65"/>
      <c r="G74" s="47"/>
      <c r="I74" s="30"/>
      <c r="J74" s="30"/>
      <c r="K74" s="30"/>
      <c r="O74" s="30"/>
      <c r="P74" s="30"/>
      <c r="Q74" s="30"/>
      <c r="S74" s="69"/>
      <c r="T74" s="69"/>
      <c r="U74" s="30"/>
      <c r="V74" s="30"/>
      <c r="W74" s="30"/>
      <c r="X74" s="69"/>
      <c r="Y74" s="69"/>
      <c r="Z74" s="51"/>
      <c r="AA74" s="51"/>
      <c r="AB74" s="30"/>
      <c r="AC74" s="30"/>
      <c r="AD74" s="51"/>
      <c r="AE74" s="70"/>
      <c r="AF74" s="30"/>
      <c r="AG74" s="30"/>
      <c r="AH74" s="70"/>
      <c r="AI74" s="30"/>
      <c r="AJ74" s="70"/>
      <c r="AK74" s="30"/>
      <c r="AL74" s="30"/>
      <c r="AM74" s="51"/>
      <c r="AN74" s="47"/>
      <c r="AO74" s="47"/>
      <c r="AP74" s="30"/>
      <c r="AQ74" s="30"/>
      <c r="AR74" s="47"/>
      <c r="AS74" s="30"/>
      <c r="AT74" s="47"/>
      <c r="AU74" s="30"/>
      <c r="AW74" s="30"/>
      <c r="AZ74" s="30"/>
      <c r="BA74" s="30"/>
      <c r="BE74" s="30"/>
      <c r="BH74" s="30"/>
      <c r="BI74" s="30"/>
      <c r="BL74" s="30"/>
      <c r="BN74" s="30"/>
      <c r="BP74" s="30"/>
      <c r="BS74" s="30"/>
      <c r="BT74" s="30"/>
      <c r="BW74" s="30"/>
      <c r="BX74" s="30"/>
      <c r="BZ74" s="30"/>
      <c r="CC74" s="30"/>
      <c r="CD74" s="30"/>
      <c r="CG74" s="30"/>
      <c r="CK74" s="30"/>
      <c r="CN74" s="30"/>
      <c r="CQ74" s="30"/>
      <c r="CU74" s="30"/>
      <c r="CX74" s="30"/>
    </row>
    <row r="75" spans="1:102" s="63" customFormat="1" x14ac:dyDescent="0.3">
      <c r="A75" s="107" t="s">
        <v>33</v>
      </c>
      <c r="B75" s="47">
        <v>1</v>
      </c>
      <c r="C75" s="30" t="s">
        <v>28</v>
      </c>
      <c r="D75" s="48">
        <v>1</v>
      </c>
      <c r="E75" s="36" t="s">
        <v>46</v>
      </c>
      <c r="F75" s="65">
        <f>F76</f>
        <v>3.0446428571428572</v>
      </c>
      <c r="G75" s="30" t="s">
        <v>105</v>
      </c>
      <c r="I75" s="30"/>
      <c r="J75" s="30"/>
      <c r="K75" s="30"/>
      <c r="O75" s="30"/>
      <c r="P75" s="30"/>
      <c r="Q75" s="30"/>
      <c r="S75" s="69"/>
      <c r="T75" s="69"/>
      <c r="U75" s="30"/>
      <c r="V75" s="30"/>
      <c r="W75" s="30"/>
      <c r="X75" s="69"/>
      <c r="Y75" s="69"/>
      <c r="Z75" s="51"/>
      <c r="AA75" s="51"/>
      <c r="AB75" s="30"/>
      <c r="AC75" s="30"/>
      <c r="AD75" s="51"/>
      <c r="AE75" s="70"/>
      <c r="AF75" s="30"/>
      <c r="AG75" s="30"/>
      <c r="AH75" s="70"/>
      <c r="AI75" s="30"/>
      <c r="AJ75" s="70"/>
      <c r="AK75" s="30"/>
      <c r="AL75" s="30"/>
      <c r="AM75" s="51"/>
      <c r="AN75" s="47"/>
      <c r="AO75" s="47"/>
      <c r="AP75" s="30"/>
      <c r="AQ75" s="30"/>
      <c r="AR75" s="47"/>
      <c r="AS75" s="30"/>
      <c r="AT75" s="47"/>
      <c r="AU75" s="30"/>
      <c r="AW75" s="30"/>
      <c r="AZ75" s="30"/>
      <c r="BA75" s="30"/>
      <c r="BE75" s="30"/>
      <c r="BH75" s="30"/>
      <c r="BI75" s="30"/>
      <c r="BL75" s="30"/>
      <c r="BN75" s="30"/>
      <c r="BP75" s="30"/>
      <c r="BS75" s="30"/>
      <c r="BT75" s="30"/>
      <c r="BW75" s="30"/>
      <c r="BX75" s="30"/>
      <c r="BZ75" s="30"/>
      <c r="CC75" s="30"/>
      <c r="CD75" s="30"/>
      <c r="CG75" s="30"/>
      <c r="CK75" s="30"/>
      <c r="CN75" s="30"/>
      <c r="CQ75" s="30"/>
      <c r="CU75" s="30"/>
      <c r="CX75" s="30"/>
    </row>
    <row r="76" spans="1:102" s="63" customFormat="1" x14ac:dyDescent="0.3">
      <c r="A76" s="107"/>
      <c r="B76" s="47">
        <v>1</v>
      </c>
      <c r="C76" s="30" t="s">
        <v>46</v>
      </c>
      <c r="D76" s="48">
        <f>(355+327)/2</f>
        <v>341</v>
      </c>
      <c r="E76" s="36" t="s">
        <v>100</v>
      </c>
      <c r="F76" s="65">
        <f>D76/D39</f>
        <v>3.0446428571428572</v>
      </c>
      <c r="G76" s="30" t="s">
        <v>105</v>
      </c>
      <c r="I76" s="30"/>
      <c r="J76" s="30"/>
      <c r="K76" s="30"/>
      <c r="O76" s="30"/>
      <c r="P76" s="30"/>
      <c r="Q76" s="30"/>
      <c r="S76" s="69"/>
      <c r="T76" s="69"/>
      <c r="U76" s="30"/>
      <c r="V76" s="30"/>
      <c r="W76" s="30"/>
      <c r="X76" s="69"/>
      <c r="Y76" s="69"/>
      <c r="Z76" s="51"/>
      <c r="AA76" s="51"/>
      <c r="AB76" s="30"/>
      <c r="AC76" s="30"/>
      <c r="AD76" s="51"/>
      <c r="AE76" s="70"/>
      <c r="AF76" s="30"/>
      <c r="AG76" s="30"/>
      <c r="AH76" s="70"/>
      <c r="AI76" s="30"/>
      <c r="AJ76" s="70"/>
      <c r="AK76" s="30"/>
      <c r="AL76" s="30"/>
      <c r="AM76" s="51"/>
      <c r="AN76" s="47"/>
      <c r="AO76" s="47"/>
      <c r="AP76" s="30"/>
      <c r="AQ76" s="30"/>
      <c r="AR76" s="47"/>
      <c r="AS76" s="30"/>
      <c r="AT76" s="47"/>
      <c r="AU76" s="30"/>
      <c r="AW76" s="30"/>
      <c r="AZ76" s="30"/>
      <c r="BA76" s="30"/>
      <c r="BE76" s="30"/>
      <c r="BH76" s="30"/>
      <c r="BI76" s="30"/>
      <c r="BL76" s="30"/>
      <c r="BN76" s="30"/>
      <c r="BP76" s="30"/>
      <c r="BS76" s="30"/>
      <c r="BT76" s="30"/>
      <c r="BW76" s="30"/>
      <c r="BX76" s="30"/>
      <c r="BZ76" s="30"/>
      <c r="CC76" s="30"/>
      <c r="CD76" s="30"/>
      <c r="CG76" s="30"/>
      <c r="CK76" s="30"/>
      <c r="CN76" s="30"/>
      <c r="CQ76" s="30"/>
      <c r="CU76" s="30"/>
      <c r="CX76" s="30"/>
    </row>
    <row r="77" spans="1:102" s="63" customFormat="1" x14ac:dyDescent="0.3">
      <c r="A77" s="107" t="s">
        <v>44</v>
      </c>
      <c r="B77" s="47">
        <v>1</v>
      </c>
      <c r="C77" s="31" t="s">
        <v>43</v>
      </c>
      <c r="D77" s="48">
        <v>140.63</v>
      </c>
      <c r="E77" s="36" t="s">
        <v>100</v>
      </c>
      <c r="F77" s="65">
        <f>D77/D39</f>
        <v>1.255625</v>
      </c>
      <c r="G77" s="30" t="s">
        <v>105</v>
      </c>
      <c r="I77" s="30"/>
      <c r="J77" s="30"/>
      <c r="K77" s="30"/>
      <c r="O77" s="30"/>
      <c r="P77" s="30"/>
      <c r="Q77" s="30"/>
      <c r="S77" s="69"/>
      <c r="T77" s="69"/>
      <c r="U77" s="30"/>
      <c r="V77" s="30"/>
      <c r="W77" s="30"/>
      <c r="X77" s="69"/>
      <c r="Y77" s="69"/>
      <c r="Z77" s="51"/>
      <c r="AA77" s="51"/>
      <c r="AB77" s="30"/>
      <c r="AC77" s="30"/>
      <c r="AD77" s="51"/>
      <c r="AE77" s="70"/>
      <c r="AF77" s="30"/>
      <c r="AG77" s="30"/>
      <c r="AH77" s="70"/>
      <c r="AI77" s="30"/>
      <c r="AJ77" s="70"/>
      <c r="AK77" s="30"/>
      <c r="AL77" s="30"/>
      <c r="AM77" s="51"/>
      <c r="AN77" s="47"/>
      <c r="AO77" s="47"/>
      <c r="AP77" s="30"/>
      <c r="AQ77" s="30"/>
      <c r="AR77" s="47"/>
      <c r="AS77" s="30"/>
      <c r="AT77" s="47"/>
      <c r="AU77" s="30"/>
      <c r="AW77" s="30"/>
      <c r="AZ77" s="30"/>
      <c r="BA77" s="30"/>
      <c r="BE77" s="30"/>
      <c r="BH77" s="30"/>
      <c r="BI77" s="30"/>
      <c r="BL77" s="30"/>
      <c r="BN77" s="30"/>
      <c r="BP77" s="30"/>
      <c r="BS77" s="30"/>
      <c r="BT77" s="30"/>
      <c r="BW77" s="30"/>
      <c r="BX77" s="30"/>
      <c r="BZ77" s="30"/>
      <c r="CC77" s="30"/>
      <c r="CD77" s="30"/>
      <c r="CG77" s="30"/>
      <c r="CK77" s="30"/>
      <c r="CN77" s="30"/>
      <c r="CQ77" s="30"/>
      <c r="CU77" s="30"/>
      <c r="CX77" s="30"/>
    </row>
    <row r="78" spans="1:102" s="63" customFormat="1" x14ac:dyDescent="0.3">
      <c r="A78" s="107"/>
      <c r="B78" s="47">
        <v>1</v>
      </c>
      <c r="C78" s="31" t="s">
        <v>123</v>
      </c>
      <c r="D78" s="48">
        <v>0.91576999999999997</v>
      </c>
      <c r="E78" s="36" t="s">
        <v>43</v>
      </c>
      <c r="F78" s="65">
        <f>F77*D78</f>
        <v>1.1498637062499999</v>
      </c>
      <c r="G78" s="30" t="s">
        <v>105</v>
      </c>
      <c r="I78" s="30"/>
      <c r="J78" s="30"/>
      <c r="K78" s="30"/>
      <c r="O78" s="30"/>
      <c r="P78" s="30"/>
      <c r="Q78" s="30"/>
      <c r="S78" s="69"/>
      <c r="T78" s="69"/>
      <c r="U78" s="30"/>
      <c r="V78" s="30"/>
      <c r="W78" s="30"/>
      <c r="X78" s="69"/>
      <c r="Y78" s="69"/>
      <c r="Z78" s="51"/>
      <c r="AA78" s="51"/>
      <c r="AB78" s="30"/>
      <c r="AC78" s="30"/>
      <c r="AD78" s="51"/>
      <c r="AE78" s="70"/>
      <c r="AF78" s="30"/>
      <c r="AG78" s="30"/>
      <c r="AH78" s="70"/>
      <c r="AI78" s="30"/>
      <c r="AJ78" s="70"/>
      <c r="AK78" s="30"/>
      <c r="AL78" s="30"/>
      <c r="AM78" s="51"/>
      <c r="AN78" s="47"/>
      <c r="AO78" s="47"/>
      <c r="AP78" s="30"/>
      <c r="AQ78" s="30"/>
      <c r="AR78" s="47"/>
      <c r="AS78" s="30"/>
      <c r="AT78" s="47"/>
      <c r="AU78" s="30"/>
      <c r="AW78" s="30"/>
      <c r="AZ78" s="30"/>
      <c r="BA78" s="30"/>
      <c r="BE78" s="30"/>
      <c r="BH78" s="30"/>
      <c r="BI78" s="30"/>
      <c r="BL78" s="30"/>
      <c r="BN78" s="30"/>
      <c r="BP78" s="30"/>
      <c r="BS78" s="30"/>
      <c r="BT78" s="30"/>
      <c r="BW78" s="30"/>
      <c r="BX78" s="30"/>
      <c r="BZ78" s="30"/>
      <c r="CC78" s="30"/>
      <c r="CD78" s="30"/>
      <c r="CG78" s="30"/>
      <c r="CK78" s="30"/>
      <c r="CN78" s="30"/>
      <c r="CQ78" s="30"/>
      <c r="CU78" s="30"/>
      <c r="CX78" s="30"/>
    </row>
    <row r="79" spans="1:102" s="63" customFormat="1" x14ac:dyDescent="0.3">
      <c r="A79" s="107" t="s">
        <v>97</v>
      </c>
      <c r="B79" s="47">
        <v>1</v>
      </c>
      <c r="C79" s="31" t="s">
        <v>46</v>
      </c>
      <c r="D79" s="48">
        <v>2.37609</v>
      </c>
      <c r="E79" s="37" t="s">
        <v>111</v>
      </c>
      <c r="F79" s="65">
        <f>D79*D80</f>
        <v>4.1366063637000003</v>
      </c>
      <c r="G79" s="30" t="s">
        <v>105</v>
      </c>
      <c r="I79" s="30"/>
      <c r="J79" s="30"/>
      <c r="K79" s="31"/>
      <c r="O79" s="30"/>
      <c r="P79" s="30"/>
      <c r="Q79" s="31"/>
      <c r="S79" s="69"/>
      <c r="T79" s="69"/>
      <c r="U79" s="30"/>
      <c r="V79" s="30"/>
      <c r="W79" s="31"/>
      <c r="X79" s="69"/>
      <c r="Y79" s="69"/>
      <c r="Z79" s="51"/>
      <c r="AA79" s="51"/>
      <c r="AB79" s="31"/>
      <c r="AC79" s="30"/>
      <c r="AD79" s="51"/>
      <c r="AE79" s="70"/>
      <c r="AF79" s="31"/>
      <c r="AG79" s="30"/>
      <c r="AH79" s="70"/>
      <c r="AI79" s="31"/>
      <c r="AJ79" s="70"/>
      <c r="AK79" s="30"/>
      <c r="AL79" s="31"/>
      <c r="AM79" s="51"/>
      <c r="AN79" s="47"/>
      <c r="AO79" s="47"/>
      <c r="AP79" s="31"/>
      <c r="AQ79" s="30"/>
      <c r="AR79" s="47"/>
      <c r="AS79" s="31"/>
      <c r="AT79" s="47"/>
      <c r="AU79" s="30"/>
      <c r="AW79" s="31"/>
      <c r="AZ79" s="30"/>
      <c r="BA79" s="31"/>
      <c r="BE79" s="31"/>
      <c r="BH79" s="30"/>
      <c r="BI79" s="31"/>
      <c r="BL79" s="31"/>
      <c r="BN79" s="30"/>
      <c r="BP79" s="31"/>
      <c r="BS79" s="31"/>
      <c r="BT79" s="30"/>
      <c r="BW79" s="31"/>
      <c r="BX79" s="30"/>
      <c r="BZ79" s="31"/>
      <c r="CC79" s="31"/>
      <c r="CD79" s="30"/>
      <c r="CG79" s="30"/>
      <c r="CK79" s="30"/>
      <c r="CN79" s="30"/>
      <c r="CQ79" s="30"/>
      <c r="CU79" s="30"/>
      <c r="CX79" s="30"/>
    </row>
    <row r="80" spans="1:102" s="63" customFormat="1" x14ac:dyDescent="0.3">
      <c r="A80" s="107"/>
      <c r="B80" s="47">
        <v>1</v>
      </c>
      <c r="C80" s="31" t="s">
        <v>111</v>
      </c>
      <c r="D80" s="48">
        <v>1.7409300000000001</v>
      </c>
      <c r="E80" s="36" t="s">
        <v>105</v>
      </c>
      <c r="F80" s="65"/>
      <c r="G80" s="30"/>
      <c r="I80" s="30"/>
      <c r="J80" s="30"/>
      <c r="K80" s="30"/>
      <c r="O80" s="30"/>
      <c r="P80" s="30"/>
      <c r="Q80" s="30"/>
      <c r="S80" s="69"/>
      <c r="T80" s="69"/>
      <c r="U80" s="30"/>
      <c r="V80" s="30"/>
      <c r="W80" s="30"/>
      <c r="X80" s="69"/>
      <c r="Y80" s="69"/>
      <c r="Z80" s="51"/>
      <c r="AA80" s="51"/>
      <c r="AB80" s="30"/>
      <c r="AC80" s="30"/>
      <c r="AD80" s="51"/>
      <c r="AE80" s="70"/>
      <c r="AF80" s="30"/>
      <c r="AG80" s="30"/>
      <c r="AH80" s="70"/>
      <c r="AI80" s="30"/>
      <c r="AJ80" s="70"/>
      <c r="AK80" s="30"/>
      <c r="AL80" s="30"/>
      <c r="AM80" s="51"/>
      <c r="AN80" s="47"/>
      <c r="AO80" s="47"/>
      <c r="AP80" s="30"/>
      <c r="AQ80" s="30"/>
      <c r="AR80" s="47"/>
      <c r="AS80" s="30"/>
      <c r="AT80" s="47"/>
      <c r="AU80" s="30"/>
      <c r="AW80" s="30"/>
      <c r="AZ80" s="30"/>
      <c r="BA80" s="30"/>
      <c r="BE80" s="30"/>
      <c r="BH80" s="30"/>
      <c r="BI80" s="30"/>
      <c r="BL80" s="30"/>
      <c r="BN80" s="30"/>
      <c r="BP80" s="30"/>
      <c r="BS80" s="30"/>
      <c r="BT80" s="30"/>
      <c r="BW80" s="30"/>
      <c r="BX80" s="30"/>
      <c r="BZ80" s="30"/>
      <c r="CC80" s="30"/>
      <c r="CD80" s="30"/>
      <c r="CG80" s="30"/>
      <c r="CK80" s="30"/>
      <c r="CN80" s="30"/>
      <c r="CQ80" s="30"/>
      <c r="CU80" s="30"/>
      <c r="CX80" s="30"/>
    </row>
    <row r="81" spans="1:102" s="63" customFormat="1" x14ac:dyDescent="0.3">
      <c r="A81" s="107" t="s">
        <v>124</v>
      </c>
      <c r="B81" s="47">
        <v>1</v>
      </c>
      <c r="C81" s="31" t="s">
        <v>46</v>
      </c>
      <c r="D81" s="48">
        <v>242</v>
      </c>
      <c r="E81" s="36" t="s">
        <v>100</v>
      </c>
      <c r="F81" s="65">
        <f>D81/D39</f>
        <v>2.1607142857142856</v>
      </c>
      <c r="G81" s="30" t="s">
        <v>105</v>
      </c>
      <c r="I81" s="30"/>
      <c r="J81" s="30"/>
      <c r="K81" s="30"/>
      <c r="O81" s="30"/>
      <c r="P81" s="30"/>
      <c r="Q81" s="30"/>
      <c r="S81" s="69"/>
      <c r="T81" s="69"/>
      <c r="U81" s="30"/>
      <c r="V81" s="30"/>
      <c r="W81" s="30"/>
      <c r="X81" s="69"/>
      <c r="Y81" s="69"/>
      <c r="Z81" s="51"/>
      <c r="AA81" s="51"/>
      <c r="AB81" s="30"/>
      <c r="AC81" s="30"/>
      <c r="AD81" s="51"/>
      <c r="AE81" s="70"/>
      <c r="AF81" s="30"/>
      <c r="AG81" s="30"/>
      <c r="AH81" s="70"/>
      <c r="AI81" s="30"/>
      <c r="AJ81" s="70"/>
      <c r="AK81" s="30"/>
      <c r="AL81" s="30"/>
      <c r="AM81" s="51"/>
      <c r="AN81" s="47"/>
      <c r="AO81" s="47"/>
      <c r="AP81" s="30"/>
      <c r="AQ81" s="30"/>
      <c r="AR81" s="47"/>
      <c r="AS81" s="30"/>
      <c r="AT81" s="47"/>
      <c r="AU81" s="30"/>
      <c r="AW81" s="30"/>
      <c r="AZ81" s="30"/>
      <c r="BA81" s="30"/>
      <c r="BE81" s="30"/>
      <c r="BH81" s="30"/>
      <c r="BI81" s="30"/>
      <c r="BL81" s="30"/>
      <c r="BN81" s="30"/>
      <c r="BP81" s="30"/>
      <c r="BS81" s="30"/>
      <c r="BT81" s="30"/>
      <c r="BW81" s="30"/>
      <c r="BX81" s="30"/>
      <c r="BZ81" s="30"/>
      <c r="CC81" s="30"/>
      <c r="CD81" s="30"/>
      <c r="CG81" s="30"/>
      <c r="CK81" s="30"/>
      <c r="CN81" s="30"/>
      <c r="CQ81" s="30"/>
      <c r="CU81" s="30"/>
      <c r="CX81" s="30"/>
    </row>
    <row r="82" spans="1:102" s="63" customFormat="1" x14ac:dyDescent="0.3">
      <c r="A82" s="107"/>
      <c r="B82" s="47">
        <v>1</v>
      </c>
      <c r="C82" s="31" t="s">
        <v>43</v>
      </c>
      <c r="D82" s="65">
        <f>F84/D83</f>
        <v>4.400227973715972</v>
      </c>
      <c r="E82" s="36" t="s">
        <v>105</v>
      </c>
      <c r="F82" s="65">
        <f>D82/D31</f>
        <v>0.22001139868579861</v>
      </c>
      <c r="G82" s="30" t="s">
        <v>31</v>
      </c>
      <c r="I82" s="30"/>
      <c r="J82" s="30"/>
      <c r="K82" s="30"/>
      <c r="O82" s="30"/>
      <c r="P82" s="30"/>
      <c r="Q82" s="30"/>
      <c r="S82" s="69"/>
      <c r="T82" s="69"/>
      <c r="U82" s="30"/>
      <c r="V82" s="30"/>
      <c r="W82" s="30"/>
      <c r="X82" s="69"/>
      <c r="Y82" s="69"/>
      <c r="Z82" s="51"/>
      <c r="AA82" s="51"/>
      <c r="AB82" s="30"/>
      <c r="AC82" s="30"/>
      <c r="AD82" s="51"/>
      <c r="AE82" s="70"/>
      <c r="AF82" s="30"/>
      <c r="AG82" s="30"/>
      <c r="AH82" s="70"/>
      <c r="AI82" s="30"/>
      <c r="AJ82" s="70"/>
      <c r="AK82" s="30"/>
      <c r="AL82" s="30"/>
      <c r="AM82" s="51"/>
      <c r="AN82" s="47"/>
      <c r="AO82" s="47"/>
      <c r="AP82" s="30"/>
      <c r="AQ82" s="30"/>
      <c r="AR82" s="47"/>
      <c r="AS82" s="30"/>
      <c r="AT82" s="47"/>
      <c r="AU82" s="30"/>
      <c r="AW82" s="30"/>
      <c r="AZ82" s="30"/>
      <c r="BA82" s="30"/>
      <c r="BE82" s="30"/>
      <c r="BH82" s="30"/>
      <c r="BI82" s="30"/>
      <c r="BL82" s="30"/>
      <c r="BN82" s="30"/>
      <c r="BP82" s="30"/>
      <c r="BS82" s="30"/>
      <c r="BT82" s="30"/>
      <c r="BW82" s="30"/>
      <c r="BX82" s="30"/>
      <c r="BZ82" s="30"/>
      <c r="CC82" s="30"/>
      <c r="CD82" s="30"/>
      <c r="CG82" s="30"/>
      <c r="CK82" s="30"/>
      <c r="CN82" s="30"/>
      <c r="CQ82" s="30"/>
      <c r="CU82" s="30"/>
      <c r="CX82" s="30"/>
    </row>
    <row r="83" spans="1:102" s="63" customFormat="1" x14ac:dyDescent="0.3">
      <c r="A83" s="107"/>
      <c r="B83" s="47">
        <v>1</v>
      </c>
      <c r="C83" s="31" t="s">
        <v>125</v>
      </c>
      <c r="D83" s="48">
        <v>0.59655999999999998</v>
      </c>
      <c r="E83" s="36" t="s">
        <v>43</v>
      </c>
      <c r="I83" s="30"/>
      <c r="J83" s="30"/>
      <c r="K83" s="30"/>
      <c r="O83" s="30"/>
      <c r="P83" s="30"/>
      <c r="Q83" s="30"/>
      <c r="S83" s="69"/>
      <c r="T83" s="69"/>
      <c r="U83" s="30"/>
      <c r="V83" s="30"/>
      <c r="W83" s="30"/>
      <c r="X83" s="69"/>
      <c r="Y83" s="69"/>
      <c r="Z83" s="51"/>
      <c r="AA83" s="51"/>
      <c r="AB83" s="30"/>
      <c r="AC83" s="30"/>
      <c r="AD83" s="51"/>
      <c r="AE83" s="70"/>
      <c r="AF83" s="30"/>
      <c r="AG83" s="30"/>
      <c r="AH83" s="70"/>
      <c r="AI83" s="30"/>
      <c r="AJ83" s="70"/>
      <c r="AK83" s="30"/>
      <c r="AL83" s="30"/>
      <c r="AM83" s="51"/>
      <c r="AN83" s="47"/>
      <c r="AO83" s="47"/>
      <c r="AP83" s="30"/>
      <c r="AQ83" s="30"/>
      <c r="AR83" s="47"/>
      <c r="AS83" s="30"/>
      <c r="AT83" s="47"/>
      <c r="AU83" s="30"/>
      <c r="AW83" s="30"/>
      <c r="AZ83" s="30"/>
      <c r="BA83" s="30"/>
      <c r="BE83" s="30"/>
      <c r="BH83" s="30"/>
      <c r="BI83" s="30"/>
      <c r="BL83" s="30"/>
      <c r="BN83" s="30"/>
      <c r="BP83" s="30"/>
      <c r="BS83" s="30"/>
      <c r="BT83" s="30"/>
      <c r="BW83" s="30"/>
      <c r="BX83" s="30"/>
      <c r="BZ83" s="30"/>
      <c r="CC83" s="30"/>
      <c r="CD83" s="30"/>
      <c r="CG83" s="30"/>
      <c r="CK83" s="30"/>
      <c r="CN83" s="30"/>
      <c r="CQ83" s="30"/>
      <c r="CU83" s="30"/>
      <c r="CX83" s="30"/>
    </row>
    <row r="84" spans="1:102" s="63" customFormat="1" x14ac:dyDescent="0.3">
      <c r="A84" s="47" t="s">
        <v>94</v>
      </c>
      <c r="B84" s="47">
        <v>1</v>
      </c>
      <c r="C84" s="31" t="s">
        <v>125</v>
      </c>
      <c r="D84" s="48">
        <v>294</v>
      </c>
      <c r="E84" s="36" t="s">
        <v>100</v>
      </c>
      <c r="F84" s="65">
        <f>D84/D39</f>
        <v>2.625</v>
      </c>
      <c r="G84" s="30" t="s">
        <v>105</v>
      </c>
      <c r="H84" s="63">
        <f>F84/D31</f>
        <v>0.13125000000000001</v>
      </c>
      <c r="I84" s="30" t="s">
        <v>31</v>
      </c>
      <c r="J84" s="30"/>
      <c r="K84" s="30"/>
      <c r="O84" s="30"/>
      <c r="P84" s="30"/>
      <c r="Q84" s="30"/>
      <c r="S84" s="69"/>
      <c r="T84" s="69"/>
      <c r="U84" s="30"/>
      <c r="V84" s="30"/>
      <c r="W84" s="30"/>
      <c r="X84" s="69"/>
      <c r="Y84" s="69"/>
      <c r="Z84" s="51"/>
      <c r="AA84" s="51"/>
      <c r="AB84" s="30"/>
      <c r="AC84" s="30"/>
      <c r="AD84" s="51"/>
      <c r="AE84" s="70"/>
      <c r="AF84" s="30"/>
      <c r="AG84" s="30"/>
      <c r="AH84" s="70"/>
      <c r="AI84" s="30"/>
      <c r="AJ84" s="70"/>
      <c r="AK84" s="30"/>
      <c r="AL84" s="30"/>
      <c r="AM84" s="51"/>
      <c r="AN84" s="47"/>
      <c r="AO84" s="47"/>
      <c r="AP84" s="30"/>
      <c r="AQ84" s="30"/>
      <c r="AR84" s="47"/>
      <c r="AS84" s="30"/>
      <c r="AT84" s="47"/>
      <c r="AU84" s="30"/>
      <c r="AW84" s="30"/>
      <c r="AZ84" s="30"/>
      <c r="BA84" s="30"/>
      <c r="BE84" s="30"/>
      <c r="BH84" s="30"/>
      <c r="BI84" s="30"/>
      <c r="BL84" s="30"/>
      <c r="BN84" s="30"/>
      <c r="BP84" s="30"/>
      <c r="BS84" s="30"/>
      <c r="BT84" s="30"/>
      <c r="BW84" s="30"/>
      <c r="BX84" s="30"/>
      <c r="BZ84" s="30"/>
      <c r="CC84" s="30"/>
      <c r="CD84" s="30"/>
      <c r="CG84" s="30"/>
      <c r="CK84" s="30"/>
      <c r="CN84" s="30"/>
      <c r="CQ84" s="30"/>
      <c r="CU84" s="30"/>
      <c r="CX84" s="30"/>
    </row>
    <row r="85" spans="1:102" s="63" customFormat="1" x14ac:dyDescent="0.3">
      <c r="A85" s="47" t="s">
        <v>24</v>
      </c>
      <c r="B85" s="47">
        <v>1</v>
      </c>
      <c r="C85" s="31" t="s">
        <v>43</v>
      </c>
      <c r="D85" s="65">
        <v>0.88400000000000001</v>
      </c>
      <c r="E85" s="36" t="s">
        <v>105</v>
      </c>
      <c r="I85" s="30"/>
      <c r="J85" s="30"/>
      <c r="K85" s="30"/>
      <c r="O85" s="30"/>
      <c r="P85" s="30"/>
      <c r="Q85" s="30"/>
      <c r="S85" s="69"/>
      <c r="T85" s="69"/>
      <c r="U85" s="30"/>
      <c r="V85" s="30"/>
      <c r="W85" s="30"/>
      <c r="X85" s="69"/>
      <c r="Y85" s="69"/>
      <c r="Z85" s="51"/>
      <c r="AA85" s="51"/>
      <c r="AB85" s="30"/>
      <c r="AC85" s="30"/>
      <c r="AD85" s="51"/>
      <c r="AE85" s="70"/>
      <c r="AF85" s="30"/>
      <c r="AG85" s="30"/>
      <c r="AH85" s="70"/>
      <c r="AI85" s="30"/>
      <c r="AJ85" s="70"/>
      <c r="AK85" s="30"/>
      <c r="AL85" s="30"/>
      <c r="AM85" s="51"/>
      <c r="AN85" s="47"/>
      <c r="AO85" s="47"/>
      <c r="AP85" s="30"/>
      <c r="AQ85" s="30"/>
      <c r="AR85" s="47"/>
      <c r="AS85" s="30"/>
      <c r="AT85" s="47"/>
      <c r="AU85" s="30"/>
      <c r="AW85" s="30"/>
      <c r="AZ85" s="30"/>
      <c r="BA85" s="30"/>
      <c r="BE85" s="30"/>
      <c r="BH85" s="30"/>
      <c r="BI85" s="30"/>
      <c r="BL85" s="30"/>
      <c r="BN85" s="30"/>
      <c r="BP85" s="30"/>
      <c r="BS85" s="30"/>
      <c r="BT85" s="30"/>
      <c r="BW85" s="30"/>
      <c r="BX85" s="30"/>
      <c r="BZ85" s="30"/>
      <c r="CC85" s="30"/>
      <c r="CD85" s="30"/>
      <c r="CG85" s="30"/>
      <c r="CK85" s="30"/>
      <c r="CN85" s="30"/>
      <c r="CQ85" s="30"/>
      <c r="CU85" s="30"/>
      <c r="CX85" s="30"/>
    </row>
    <row r="86" spans="1:102" s="63" customFormat="1" x14ac:dyDescent="0.3">
      <c r="A86" s="47" t="s">
        <v>47</v>
      </c>
      <c r="B86" s="47">
        <v>1</v>
      </c>
      <c r="C86" s="31" t="s">
        <v>111</v>
      </c>
      <c r="D86" s="48">
        <v>149</v>
      </c>
      <c r="E86" s="36" t="s">
        <v>100</v>
      </c>
      <c r="F86" s="65">
        <f>D86/D39</f>
        <v>1.3303571428571428</v>
      </c>
      <c r="G86" s="30" t="s">
        <v>105</v>
      </c>
      <c r="I86" s="30"/>
      <c r="J86" s="30"/>
      <c r="K86" s="30"/>
      <c r="O86" s="30"/>
      <c r="P86" s="30"/>
      <c r="Q86" s="30"/>
      <c r="S86" s="69"/>
      <c r="T86" s="69"/>
      <c r="U86" s="30"/>
      <c r="V86" s="30"/>
      <c r="W86" s="30"/>
      <c r="X86" s="69"/>
      <c r="Y86" s="69"/>
      <c r="Z86" s="51"/>
      <c r="AA86" s="51"/>
      <c r="AB86" s="30"/>
      <c r="AC86" s="30"/>
      <c r="AD86" s="51"/>
      <c r="AE86" s="70"/>
      <c r="AF86" s="30"/>
      <c r="AG86" s="30"/>
      <c r="AH86" s="70"/>
      <c r="AI86" s="30"/>
      <c r="AJ86" s="70"/>
      <c r="AK86" s="30"/>
      <c r="AL86" s="30"/>
      <c r="AM86" s="51"/>
      <c r="AN86" s="47"/>
      <c r="AO86" s="47"/>
      <c r="AP86" s="30"/>
      <c r="AQ86" s="30"/>
      <c r="AR86" s="47"/>
      <c r="AS86" s="30"/>
      <c r="AT86" s="47"/>
      <c r="AU86" s="30"/>
      <c r="AW86" s="30"/>
      <c r="AZ86" s="30"/>
      <c r="BA86" s="30"/>
      <c r="BE86" s="30"/>
      <c r="BH86" s="30"/>
      <c r="BI86" s="30"/>
      <c r="BL86" s="30"/>
      <c r="BN86" s="30"/>
      <c r="BP86" s="30"/>
      <c r="BS86" s="30"/>
      <c r="BT86" s="30"/>
      <c r="BW86" s="30"/>
      <c r="BX86" s="30"/>
      <c r="BZ86" s="30"/>
      <c r="CC86" s="30"/>
      <c r="CD86" s="30"/>
      <c r="CG86" s="30"/>
      <c r="CK86" s="30"/>
      <c r="CN86" s="30"/>
      <c r="CQ86" s="30"/>
      <c r="CU86" s="30"/>
      <c r="CX86" s="30"/>
    </row>
    <row r="87" spans="1:102" s="63" customFormat="1" x14ac:dyDescent="0.3">
      <c r="A87" s="47" t="s">
        <v>48</v>
      </c>
      <c r="B87" s="47">
        <v>1</v>
      </c>
      <c r="C87" s="31" t="s">
        <v>43</v>
      </c>
      <c r="D87" s="48">
        <v>164</v>
      </c>
      <c r="E87" s="36" t="s">
        <v>100</v>
      </c>
      <c r="F87" s="65">
        <f>D87/D39</f>
        <v>1.4642857142857142</v>
      </c>
      <c r="G87" s="30" t="s">
        <v>105</v>
      </c>
      <c r="I87" s="30"/>
      <c r="J87" s="30"/>
      <c r="K87" s="30"/>
      <c r="O87" s="30"/>
      <c r="P87" s="30"/>
      <c r="Q87" s="30"/>
      <c r="S87" s="69"/>
      <c r="T87" s="69"/>
      <c r="U87" s="30"/>
      <c r="V87" s="30"/>
      <c r="W87" s="30"/>
      <c r="X87" s="69"/>
      <c r="Y87" s="69"/>
      <c r="Z87" s="51"/>
      <c r="AA87" s="51"/>
      <c r="AB87" s="30"/>
      <c r="AC87" s="30"/>
      <c r="AD87" s="51"/>
      <c r="AE87" s="70"/>
      <c r="AF87" s="30"/>
      <c r="AG87" s="30"/>
      <c r="AH87" s="70"/>
      <c r="AI87" s="30"/>
      <c r="AJ87" s="70"/>
      <c r="AK87" s="30"/>
      <c r="AL87" s="30"/>
      <c r="AM87" s="51"/>
      <c r="AN87" s="47"/>
      <c r="AO87" s="47"/>
      <c r="AP87" s="30"/>
      <c r="AQ87" s="30"/>
      <c r="AR87" s="47"/>
      <c r="AS87" s="30"/>
      <c r="AT87" s="47"/>
      <c r="AU87" s="30"/>
      <c r="AW87" s="30"/>
      <c r="AZ87" s="30"/>
      <c r="BA87" s="30"/>
      <c r="BE87" s="30"/>
      <c r="BH87" s="30"/>
      <c r="BI87" s="30"/>
      <c r="BL87" s="30"/>
      <c r="BN87" s="30"/>
      <c r="BP87" s="30"/>
      <c r="BS87" s="30"/>
      <c r="BT87" s="30"/>
      <c r="BW87" s="30"/>
      <c r="BX87" s="30"/>
      <c r="BZ87" s="30"/>
      <c r="CC87" s="30"/>
      <c r="CD87" s="30"/>
      <c r="CG87" s="30"/>
      <c r="CK87" s="30"/>
      <c r="CN87" s="30"/>
      <c r="CQ87" s="30"/>
      <c r="CU87" s="30"/>
      <c r="CX87" s="30"/>
    </row>
    <row r="88" spans="1:102" s="63" customFormat="1" x14ac:dyDescent="0.3">
      <c r="A88" s="107" t="s">
        <v>59</v>
      </c>
      <c r="B88" s="47">
        <v>1</v>
      </c>
      <c r="C88" s="31" t="s">
        <v>125</v>
      </c>
      <c r="D88" s="48">
        <v>2.0271699999999999</v>
      </c>
      <c r="E88" s="36" t="s">
        <v>46</v>
      </c>
      <c r="F88" s="65">
        <f>D89*D88/D39</f>
        <v>6.0815099999999997</v>
      </c>
      <c r="G88" s="30" t="s">
        <v>105</v>
      </c>
      <c r="I88" s="30"/>
      <c r="J88" s="30"/>
      <c r="K88" s="30"/>
      <c r="O88" s="30"/>
      <c r="P88" s="30"/>
      <c r="Q88" s="30"/>
      <c r="S88" s="69"/>
      <c r="T88" s="69"/>
      <c r="U88" s="30"/>
      <c r="V88" s="30"/>
      <c r="W88" s="30"/>
      <c r="X88" s="69"/>
      <c r="Y88" s="69"/>
      <c r="Z88" s="51"/>
      <c r="AA88" s="51"/>
      <c r="AB88" s="30"/>
      <c r="AC88" s="30"/>
      <c r="AD88" s="51"/>
      <c r="AE88" s="70"/>
      <c r="AF88" s="30"/>
      <c r="AG88" s="30"/>
      <c r="AH88" s="70"/>
      <c r="AI88" s="30"/>
      <c r="AJ88" s="70"/>
      <c r="AK88" s="30"/>
      <c r="AL88" s="30"/>
      <c r="AM88" s="51"/>
      <c r="AN88" s="47"/>
      <c r="AO88" s="47"/>
      <c r="AP88" s="30"/>
      <c r="AQ88" s="30"/>
      <c r="AR88" s="47"/>
      <c r="AS88" s="30"/>
      <c r="AT88" s="47"/>
      <c r="AU88" s="30"/>
      <c r="AW88" s="30"/>
      <c r="AZ88" s="30"/>
      <c r="BA88" s="30"/>
      <c r="BE88" s="30"/>
      <c r="BH88" s="30"/>
      <c r="BI88" s="30"/>
      <c r="BL88" s="30"/>
      <c r="BN88" s="30"/>
      <c r="BP88" s="30"/>
      <c r="BS88" s="30"/>
      <c r="BT88" s="30"/>
      <c r="BW88" s="30"/>
      <c r="BX88" s="30"/>
      <c r="BZ88" s="30"/>
      <c r="CC88" s="30"/>
      <c r="CD88" s="30"/>
      <c r="CG88" s="30"/>
      <c r="CK88" s="30"/>
      <c r="CN88" s="30"/>
      <c r="CQ88" s="30"/>
      <c r="CU88" s="30"/>
      <c r="CX88" s="30"/>
    </row>
    <row r="89" spans="1:102" s="63" customFormat="1" x14ac:dyDescent="0.3">
      <c r="A89" s="107"/>
      <c r="B89" s="47">
        <v>1</v>
      </c>
      <c r="C89" s="31" t="s">
        <v>46</v>
      </c>
      <c r="D89" s="48">
        <v>336</v>
      </c>
      <c r="E89" s="36" t="s">
        <v>100</v>
      </c>
      <c r="F89" s="65">
        <f>D89/D39</f>
        <v>3</v>
      </c>
      <c r="G89" s="30" t="s">
        <v>105</v>
      </c>
      <c r="H89" s="65">
        <f>F89/D31</f>
        <v>0.15</v>
      </c>
      <c r="I89" s="30" t="s">
        <v>31</v>
      </c>
      <c r="J89" s="30"/>
      <c r="K89" s="30"/>
      <c r="O89" s="30"/>
      <c r="P89" s="30"/>
      <c r="Q89" s="30"/>
      <c r="S89" s="69"/>
      <c r="T89" s="69"/>
      <c r="U89" s="30"/>
      <c r="V89" s="30"/>
      <c r="W89" s="30"/>
      <c r="X89" s="69"/>
      <c r="Y89" s="69"/>
      <c r="Z89" s="51"/>
      <c r="AA89" s="51"/>
      <c r="AB89" s="30"/>
      <c r="AC89" s="30"/>
      <c r="AD89" s="51"/>
      <c r="AE89" s="70"/>
      <c r="AF89" s="30"/>
      <c r="AG89" s="30"/>
      <c r="AH89" s="70"/>
      <c r="AI89" s="30"/>
      <c r="AJ89" s="70"/>
      <c r="AK89" s="30"/>
      <c r="AL89" s="30"/>
      <c r="AM89" s="51"/>
      <c r="AN89" s="47"/>
      <c r="AO89" s="47"/>
      <c r="AP89" s="30"/>
      <c r="AQ89" s="30"/>
      <c r="AR89" s="47"/>
      <c r="AS89" s="30"/>
      <c r="AT89" s="47"/>
      <c r="AU89" s="30"/>
      <c r="AW89" s="30"/>
      <c r="AZ89" s="30"/>
      <c r="BA89" s="30"/>
      <c r="BE89" s="30"/>
      <c r="BH89" s="30"/>
      <c r="BI89" s="30"/>
      <c r="BL89" s="30"/>
      <c r="BN89" s="30"/>
      <c r="BP89" s="30"/>
      <c r="BS89" s="30"/>
      <c r="BT89" s="30"/>
      <c r="BW89" s="30"/>
      <c r="BX89" s="30"/>
      <c r="BZ89" s="30"/>
      <c r="CC89" s="30"/>
      <c r="CD89" s="30"/>
      <c r="CG89" s="30"/>
      <c r="CK89" s="30"/>
      <c r="CN89" s="30"/>
      <c r="CQ89" s="30"/>
      <c r="CU89" s="30"/>
      <c r="CX89" s="30"/>
    </row>
    <row r="90" spans="1:102" s="63" customFormat="1" x14ac:dyDescent="0.3">
      <c r="A90" s="73" t="s">
        <v>126</v>
      </c>
      <c r="B90" s="47">
        <v>1</v>
      </c>
      <c r="C90" s="31" t="s">
        <v>43</v>
      </c>
      <c r="D90" s="48">
        <v>746.66700000000003</v>
      </c>
      <c r="E90" s="36" t="s">
        <v>100</v>
      </c>
      <c r="F90" s="65">
        <f>D90/D39</f>
        <v>6.6666696428571433</v>
      </c>
      <c r="G90" s="30" t="s">
        <v>105</v>
      </c>
      <c r="H90" s="65">
        <f>F90/D31</f>
        <v>0.33333348214285718</v>
      </c>
      <c r="I90" s="30" t="s">
        <v>31</v>
      </c>
      <c r="J90" s="30"/>
      <c r="K90" s="30"/>
      <c r="O90" s="30"/>
      <c r="P90" s="30"/>
      <c r="Q90" s="30"/>
      <c r="S90" s="69"/>
      <c r="T90" s="69"/>
      <c r="U90" s="30"/>
      <c r="V90" s="30"/>
      <c r="W90" s="30"/>
      <c r="X90" s="69"/>
      <c r="Y90" s="69"/>
      <c r="Z90" s="51"/>
      <c r="AA90" s="51"/>
      <c r="AB90" s="30"/>
      <c r="AC90" s="30"/>
      <c r="AD90" s="51"/>
      <c r="AE90" s="70"/>
      <c r="AF90" s="30"/>
      <c r="AG90" s="30"/>
      <c r="AH90" s="70"/>
      <c r="AI90" s="30"/>
      <c r="AJ90" s="70"/>
      <c r="AK90" s="30"/>
      <c r="AL90" s="30"/>
      <c r="AM90" s="51"/>
      <c r="AN90" s="47"/>
      <c r="AO90" s="47"/>
      <c r="AP90" s="30"/>
      <c r="AQ90" s="30"/>
      <c r="AR90" s="47"/>
      <c r="AS90" s="30"/>
      <c r="AT90" s="47"/>
      <c r="AU90" s="30"/>
      <c r="AW90" s="30"/>
      <c r="AZ90" s="30"/>
      <c r="BA90" s="30"/>
      <c r="BE90" s="30"/>
      <c r="BH90" s="30"/>
      <c r="BI90" s="30"/>
      <c r="BL90" s="30"/>
      <c r="BN90" s="30"/>
      <c r="BP90" s="30"/>
      <c r="BS90" s="30"/>
      <c r="BT90" s="30"/>
      <c r="BW90" s="30"/>
      <c r="BX90" s="30"/>
      <c r="BZ90" s="30"/>
      <c r="CC90" s="30"/>
      <c r="CD90" s="30"/>
      <c r="CG90" s="30"/>
      <c r="CK90" s="30"/>
      <c r="CN90" s="30"/>
      <c r="CQ90" s="30"/>
      <c r="CU90" s="30"/>
      <c r="CX90" s="30"/>
    </row>
    <row r="91" spans="1:102" s="63" customFormat="1" x14ac:dyDescent="0.3">
      <c r="A91" s="107" t="s">
        <v>6</v>
      </c>
      <c r="B91" s="47">
        <v>1</v>
      </c>
      <c r="C91" s="31" t="s">
        <v>123</v>
      </c>
      <c r="D91" s="48">
        <v>260</v>
      </c>
      <c r="E91" s="36" t="s">
        <v>100</v>
      </c>
      <c r="F91" s="65">
        <f>D91/D39</f>
        <v>2.3214285714285716</v>
      </c>
      <c r="G91" s="30" t="s">
        <v>105</v>
      </c>
      <c r="I91" s="30"/>
      <c r="J91" s="30"/>
      <c r="K91" s="30"/>
      <c r="O91" s="30"/>
      <c r="P91" s="30"/>
      <c r="Q91" s="30"/>
      <c r="U91" s="30"/>
      <c r="V91" s="30"/>
      <c r="W91" s="30"/>
      <c r="Z91" s="51"/>
      <c r="AA91" s="51"/>
      <c r="AB91" s="30"/>
      <c r="AC91" s="30"/>
      <c r="AD91" s="51"/>
      <c r="AE91" s="47"/>
      <c r="AF91" s="30"/>
      <c r="AG91" s="30"/>
      <c r="AH91" s="47"/>
      <c r="AI91" s="30"/>
      <c r="AJ91" s="47"/>
      <c r="AK91" s="30"/>
      <c r="AL91" s="30"/>
      <c r="AM91" s="51"/>
      <c r="AN91" s="47"/>
      <c r="AO91" s="47"/>
      <c r="AP91" s="30"/>
      <c r="AQ91" s="30"/>
      <c r="AR91" s="47"/>
      <c r="AS91" s="30"/>
      <c r="AT91" s="47"/>
      <c r="AU91" s="30"/>
      <c r="AW91" s="30"/>
      <c r="AZ91" s="30"/>
      <c r="BA91" s="30"/>
      <c r="BE91" s="30"/>
      <c r="BH91" s="30"/>
      <c r="BI91" s="30"/>
      <c r="BL91" s="30"/>
      <c r="BN91" s="30"/>
      <c r="BP91" s="30"/>
      <c r="BS91" s="30"/>
      <c r="BT91" s="30"/>
      <c r="BW91" s="30"/>
      <c r="BX91" s="30"/>
      <c r="BZ91" s="30"/>
      <c r="CC91" s="30"/>
      <c r="CD91" s="30"/>
      <c r="CG91" s="30"/>
      <c r="CK91" s="30"/>
      <c r="CN91" s="30"/>
      <c r="CQ91" s="30"/>
      <c r="CU91" s="30"/>
      <c r="CX91" s="30"/>
    </row>
    <row r="92" spans="1:102" s="63" customFormat="1" x14ac:dyDescent="0.3">
      <c r="A92" s="107"/>
      <c r="B92" s="47">
        <v>1</v>
      </c>
      <c r="C92" s="31" t="s">
        <v>43</v>
      </c>
      <c r="D92" s="48">
        <v>1.5662799999999999</v>
      </c>
      <c r="E92" s="36" t="s">
        <v>105</v>
      </c>
      <c r="F92" s="65">
        <f>D92/D31</f>
        <v>7.8313999999999995E-2</v>
      </c>
      <c r="G92" s="30" t="s">
        <v>31</v>
      </c>
      <c r="I92" s="30"/>
      <c r="J92" s="30"/>
      <c r="K92" s="30"/>
      <c r="O92" s="30"/>
      <c r="P92" s="30"/>
      <c r="Q92" s="30"/>
      <c r="U92" s="30"/>
      <c r="V92" s="30"/>
      <c r="W92" s="30"/>
      <c r="Z92" s="51"/>
      <c r="AA92" s="51"/>
      <c r="AB92" s="30"/>
      <c r="AC92" s="30"/>
      <c r="AD92" s="51"/>
      <c r="AE92" s="47"/>
      <c r="AF92" s="30"/>
      <c r="AG92" s="30"/>
      <c r="AH92" s="47"/>
      <c r="AI92" s="30"/>
      <c r="AJ92" s="47"/>
      <c r="AK92" s="30"/>
      <c r="AL92" s="30"/>
      <c r="AM92" s="51"/>
      <c r="AN92" s="47"/>
      <c r="AO92" s="47"/>
      <c r="AP92" s="30"/>
      <c r="AQ92" s="30"/>
      <c r="AR92" s="47"/>
      <c r="AS92" s="30"/>
      <c r="AT92" s="47"/>
      <c r="AU92" s="30"/>
      <c r="AW92" s="30"/>
      <c r="AZ92" s="30"/>
      <c r="BA92" s="30"/>
      <c r="BE92" s="30"/>
      <c r="BH92" s="30"/>
      <c r="BI92" s="30"/>
      <c r="BL92" s="30"/>
      <c r="BN92" s="30"/>
      <c r="BP92" s="30"/>
      <c r="BS92" s="30"/>
      <c r="BT92" s="30"/>
      <c r="BW92" s="30"/>
      <c r="BX92" s="30"/>
      <c r="BZ92" s="30"/>
      <c r="CC92" s="30"/>
      <c r="CD92" s="30"/>
      <c r="CG92" s="30"/>
      <c r="CK92" s="30"/>
      <c r="CN92" s="30"/>
      <c r="CQ92" s="30"/>
      <c r="CU92" s="30"/>
      <c r="CX92" s="30"/>
    </row>
    <row r="93" spans="1:102" s="63" customFormat="1" x14ac:dyDescent="0.3">
      <c r="A93" s="107"/>
      <c r="B93" s="47">
        <v>1</v>
      </c>
      <c r="C93" s="31" t="s">
        <v>26</v>
      </c>
      <c r="D93" s="48">
        <v>560</v>
      </c>
      <c r="E93" s="36" t="s">
        <v>100</v>
      </c>
      <c r="F93" s="65">
        <f>D93/D39</f>
        <v>5</v>
      </c>
      <c r="G93" s="30" t="s">
        <v>105</v>
      </c>
      <c r="H93" s="51"/>
      <c r="I93" s="30"/>
      <c r="J93" s="30"/>
      <c r="K93" s="30"/>
      <c r="M93" s="51"/>
      <c r="N93" s="51"/>
      <c r="O93" s="30"/>
      <c r="P93" s="30"/>
      <c r="Q93" s="30"/>
      <c r="U93" s="30"/>
      <c r="V93" s="30"/>
      <c r="W93" s="30"/>
      <c r="AB93" s="30"/>
      <c r="AC93" s="30"/>
      <c r="AF93" s="30"/>
      <c r="AG93" s="30"/>
      <c r="AH93" s="47"/>
      <c r="AI93" s="30"/>
      <c r="AK93" s="30"/>
      <c r="AL93" s="30"/>
      <c r="AN93" s="51"/>
      <c r="AO93" s="51"/>
      <c r="AP93" s="30"/>
      <c r="AQ93" s="30"/>
      <c r="AS93" s="30"/>
      <c r="AU93" s="30"/>
      <c r="AW93" s="30"/>
      <c r="AZ93" s="30"/>
      <c r="BA93" s="30"/>
      <c r="BE93" s="30"/>
      <c r="BH93" s="30"/>
      <c r="BI93" s="30"/>
      <c r="BK93" s="51"/>
      <c r="BL93" s="30"/>
      <c r="BN93" s="30"/>
      <c r="BP93" s="30"/>
      <c r="BS93" s="30"/>
      <c r="BT93" s="30"/>
      <c r="BW93" s="30"/>
      <c r="BX93" s="30"/>
      <c r="BZ93" s="30"/>
      <c r="CC93" s="30"/>
      <c r="CD93" s="30"/>
      <c r="CG93" s="30"/>
      <c r="CK93" s="30"/>
      <c r="CN93" s="30"/>
      <c r="CQ93" s="30"/>
      <c r="CU93" s="30"/>
      <c r="CX93" s="30"/>
    </row>
    <row r="94" spans="1:102" s="47" customFormat="1" x14ac:dyDescent="0.3">
      <c r="A94" s="107" t="s">
        <v>86</v>
      </c>
      <c r="B94" s="47">
        <v>1</v>
      </c>
      <c r="C94" s="30" t="s">
        <v>46</v>
      </c>
      <c r="D94" s="74">
        <v>80</v>
      </c>
      <c r="E94" s="36" t="s">
        <v>100</v>
      </c>
      <c r="F94" s="75">
        <f>D94/D95</f>
        <v>0.7142857142857143</v>
      </c>
      <c r="G94" s="30" t="s">
        <v>105</v>
      </c>
      <c r="H94" s="74"/>
      <c r="I94" s="30"/>
      <c r="J94" s="30"/>
      <c r="K94" s="30"/>
      <c r="L94" s="74"/>
      <c r="M94" s="74"/>
      <c r="N94" s="74"/>
      <c r="O94" s="30"/>
      <c r="P94" s="30"/>
      <c r="Q94" s="30"/>
      <c r="R94" s="74"/>
      <c r="S94" s="74"/>
      <c r="U94" s="30"/>
      <c r="V94" s="30"/>
      <c r="W94" s="30"/>
      <c r="AB94" s="30"/>
      <c r="AC94" s="30"/>
      <c r="AF94" s="30"/>
      <c r="AG94" s="30"/>
      <c r="AI94" s="30"/>
      <c r="AK94" s="30"/>
      <c r="AL94" s="30"/>
      <c r="AP94" s="30"/>
      <c r="AQ94" s="30"/>
      <c r="AS94" s="30"/>
      <c r="AU94" s="30"/>
      <c r="AW94" s="30"/>
      <c r="AZ94" s="30"/>
      <c r="BA94" s="30"/>
      <c r="BE94" s="30"/>
      <c r="BH94" s="30"/>
      <c r="BI94" s="30"/>
      <c r="BL94" s="30"/>
      <c r="BN94" s="30"/>
      <c r="BP94" s="30"/>
      <c r="BS94" s="30"/>
      <c r="BT94" s="30"/>
      <c r="BW94" s="30"/>
      <c r="BX94" s="30"/>
      <c r="BZ94" s="30"/>
      <c r="CC94" s="30"/>
      <c r="CD94" s="30"/>
      <c r="CG94" s="30"/>
      <c r="CK94" s="30"/>
      <c r="CN94" s="30"/>
      <c r="CQ94" s="30"/>
      <c r="CU94" s="30"/>
      <c r="CX94" s="30"/>
    </row>
    <row r="95" spans="1:102" s="47" customFormat="1" x14ac:dyDescent="0.3">
      <c r="A95" s="107"/>
      <c r="B95" s="47">
        <v>1</v>
      </c>
      <c r="C95" s="30" t="s">
        <v>105</v>
      </c>
      <c r="D95" s="74">
        <v>112</v>
      </c>
      <c r="E95" s="36" t="s">
        <v>100</v>
      </c>
      <c r="F95" s="74"/>
      <c r="G95" s="74"/>
      <c r="H95" s="74"/>
      <c r="I95" s="30"/>
      <c r="J95" s="30"/>
      <c r="K95" s="30"/>
      <c r="L95" s="74"/>
      <c r="M95" s="74"/>
      <c r="N95" s="74"/>
      <c r="O95" s="30"/>
      <c r="P95" s="30"/>
      <c r="Q95" s="30"/>
      <c r="R95" s="74"/>
      <c r="S95" s="74"/>
      <c r="U95" s="30"/>
      <c r="V95" s="30"/>
      <c r="W95" s="30"/>
      <c r="AB95" s="30"/>
      <c r="AC95" s="30"/>
      <c r="AF95" s="30"/>
      <c r="AG95" s="30"/>
      <c r="AI95" s="30"/>
      <c r="AK95" s="30"/>
      <c r="AL95" s="30"/>
      <c r="AP95" s="30"/>
      <c r="AQ95" s="30"/>
      <c r="AS95" s="30"/>
      <c r="AU95" s="30"/>
      <c r="AW95" s="30"/>
      <c r="AZ95" s="30"/>
      <c r="BA95" s="30"/>
      <c r="BE95" s="30"/>
      <c r="BH95" s="30"/>
      <c r="BI95" s="30"/>
      <c r="BL95" s="30"/>
      <c r="BN95" s="30"/>
      <c r="BP95" s="30"/>
      <c r="BS95" s="30"/>
      <c r="BT95" s="30"/>
      <c r="BW95" s="30"/>
      <c r="BX95" s="30"/>
      <c r="BZ95" s="30"/>
      <c r="CC95" s="30"/>
      <c r="CD95" s="30"/>
      <c r="CG95" s="30"/>
      <c r="CK95" s="30"/>
      <c r="CN95" s="30"/>
      <c r="CQ95" s="30"/>
      <c r="CU95" s="30"/>
      <c r="CX95" s="30"/>
    </row>
    <row r="96" spans="1:102" s="47" customFormat="1" x14ac:dyDescent="0.3">
      <c r="A96" s="73" t="s">
        <v>127</v>
      </c>
      <c r="B96" s="47">
        <v>1</v>
      </c>
      <c r="C96" s="31" t="s">
        <v>46</v>
      </c>
      <c r="D96" s="48">
        <v>336</v>
      </c>
      <c r="E96" s="36" t="s">
        <v>100</v>
      </c>
      <c r="F96" s="65">
        <f>D96/D95</f>
        <v>3</v>
      </c>
      <c r="G96" s="30" t="s">
        <v>105</v>
      </c>
      <c r="H96" s="74"/>
      <c r="I96" s="30"/>
      <c r="J96" s="30"/>
      <c r="K96" s="30"/>
      <c r="L96" s="74"/>
      <c r="M96" s="74"/>
      <c r="N96" s="74"/>
      <c r="O96" s="30"/>
      <c r="P96" s="30"/>
      <c r="Q96" s="30"/>
      <c r="R96" s="74"/>
      <c r="S96" s="74"/>
      <c r="U96" s="30"/>
      <c r="V96" s="30"/>
      <c r="W96" s="30"/>
      <c r="AB96" s="30"/>
      <c r="AC96" s="30"/>
      <c r="AF96" s="30"/>
      <c r="AG96" s="30"/>
      <c r="AI96" s="30"/>
      <c r="AK96" s="30"/>
      <c r="AL96" s="30"/>
      <c r="AP96" s="30"/>
      <c r="AQ96" s="30"/>
      <c r="AS96" s="30"/>
      <c r="AU96" s="30"/>
      <c r="AW96" s="30"/>
      <c r="AZ96" s="30"/>
      <c r="BA96" s="30"/>
      <c r="BE96" s="30"/>
      <c r="BH96" s="30"/>
      <c r="BI96" s="30"/>
      <c r="BL96" s="30"/>
      <c r="BN96" s="30"/>
      <c r="BP96" s="30"/>
      <c r="BS96" s="30"/>
      <c r="BT96" s="30"/>
      <c r="BW96" s="30"/>
      <c r="BX96" s="30"/>
      <c r="BZ96" s="30"/>
      <c r="CC96" s="30"/>
      <c r="CD96" s="30"/>
      <c r="CG96" s="30"/>
      <c r="CK96" s="30"/>
      <c r="CN96" s="30"/>
      <c r="CQ96" s="30"/>
      <c r="CU96" s="30"/>
      <c r="CX96" s="30"/>
    </row>
    <row r="97" spans="1:102" s="47" customFormat="1" x14ac:dyDescent="0.3">
      <c r="A97" s="47" t="s">
        <v>128</v>
      </c>
      <c r="B97" s="47">
        <v>1</v>
      </c>
      <c r="C97" s="31" t="s">
        <v>129</v>
      </c>
      <c r="D97" s="48">
        <v>9</v>
      </c>
      <c r="E97" s="36" t="s">
        <v>18</v>
      </c>
      <c r="F97" s="74"/>
      <c r="G97" s="74"/>
      <c r="H97" s="74"/>
      <c r="I97" s="30"/>
      <c r="J97" s="30"/>
      <c r="K97" s="30"/>
      <c r="L97" s="74"/>
      <c r="M97" s="74"/>
      <c r="N97" s="74"/>
      <c r="O97" s="30"/>
      <c r="P97" s="30"/>
      <c r="Q97" s="30"/>
      <c r="R97" s="74"/>
      <c r="S97" s="74"/>
      <c r="U97" s="30"/>
      <c r="V97" s="30"/>
      <c r="W97" s="30"/>
      <c r="AB97" s="30"/>
      <c r="AC97" s="30"/>
      <c r="AF97" s="30"/>
      <c r="AG97" s="30"/>
      <c r="AI97" s="30"/>
      <c r="AK97" s="30"/>
      <c r="AL97" s="30"/>
      <c r="AP97" s="30"/>
      <c r="AQ97" s="30"/>
      <c r="AS97" s="30"/>
      <c r="AU97" s="30"/>
      <c r="AW97" s="30"/>
      <c r="AZ97" s="30"/>
      <c r="BA97" s="30"/>
      <c r="BE97" s="30"/>
      <c r="BH97" s="30"/>
      <c r="BI97" s="30"/>
      <c r="BL97" s="30"/>
      <c r="BN97" s="30"/>
      <c r="BP97" s="30"/>
      <c r="BS97" s="30"/>
      <c r="BT97" s="30"/>
      <c r="BW97" s="30"/>
      <c r="BX97" s="30"/>
      <c r="BZ97" s="30"/>
      <c r="CC97" s="30"/>
      <c r="CD97" s="30"/>
      <c r="CG97" s="30"/>
      <c r="CK97" s="30"/>
      <c r="CN97" s="30"/>
      <c r="CQ97" s="30"/>
      <c r="CU97" s="30"/>
      <c r="CX97" s="30"/>
    </row>
    <row r="98" spans="1:102" s="47" customFormat="1" x14ac:dyDescent="0.3">
      <c r="A98" s="47" t="s">
        <v>87</v>
      </c>
      <c r="B98" s="47">
        <v>1</v>
      </c>
      <c r="C98" s="31" t="s">
        <v>43</v>
      </c>
      <c r="D98" s="48">
        <f>756/3720</f>
        <v>0.20322580645161289</v>
      </c>
      <c r="E98" s="36" t="s">
        <v>105</v>
      </c>
      <c r="F98" s="75">
        <f>D98/D31</f>
        <v>1.0161290322580644E-2</v>
      </c>
      <c r="G98" s="34" t="s">
        <v>31</v>
      </c>
      <c r="H98" s="74"/>
      <c r="I98" s="30"/>
      <c r="J98" s="30"/>
      <c r="K98" s="30"/>
      <c r="L98" s="74"/>
      <c r="M98" s="74"/>
      <c r="N98" s="74"/>
      <c r="O98" s="30"/>
      <c r="P98" s="30"/>
      <c r="Q98" s="30"/>
      <c r="R98" s="74"/>
      <c r="S98" s="74"/>
      <c r="U98" s="30"/>
      <c r="V98" s="30"/>
      <c r="W98" s="30"/>
      <c r="AB98" s="30"/>
      <c r="AC98" s="30"/>
      <c r="AF98" s="30"/>
      <c r="AG98" s="30"/>
      <c r="AI98" s="30"/>
      <c r="AK98" s="30"/>
      <c r="AL98" s="30"/>
      <c r="AP98" s="30"/>
      <c r="AQ98" s="30"/>
      <c r="AS98" s="30"/>
      <c r="AU98" s="30"/>
      <c r="AW98" s="30"/>
      <c r="AZ98" s="30"/>
      <c r="BA98" s="30"/>
      <c r="BE98" s="30"/>
      <c r="BH98" s="30"/>
      <c r="BI98" s="30"/>
      <c r="BL98" s="30"/>
      <c r="BN98" s="30"/>
      <c r="BP98" s="30"/>
      <c r="BS98" s="30"/>
      <c r="BT98" s="30"/>
      <c r="BW98" s="30"/>
      <c r="BX98" s="30"/>
      <c r="BZ98" s="30"/>
      <c r="CC98" s="30"/>
      <c r="CD98" s="30"/>
      <c r="CG98" s="30"/>
      <c r="CK98" s="30"/>
      <c r="CN98" s="30"/>
      <c r="CQ98" s="30"/>
      <c r="CU98" s="30"/>
      <c r="CX98" s="30"/>
    </row>
    <row r="99" spans="1:102" s="47" customFormat="1" x14ac:dyDescent="0.3">
      <c r="A99" s="47" t="s">
        <v>9</v>
      </c>
      <c r="B99" s="47">
        <v>1</v>
      </c>
      <c r="C99" s="31" t="s">
        <v>111</v>
      </c>
      <c r="D99" s="48">
        <f>600/400</f>
        <v>1.5</v>
      </c>
      <c r="E99" s="36" t="s">
        <v>105</v>
      </c>
      <c r="F99" s="74"/>
      <c r="G99" s="74"/>
      <c r="H99" s="74"/>
      <c r="I99" s="30"/>
      <c r="J99" s="30"/>
      <c r="K99" s="30"/>
      <c r="L99" s="74"/>
      <c r="M99" s="74"/>
      <c r="N99" s="74"/>
      <c r="O99" s="30"/>
      <c r="P99" s="30"/>
      <c r="Q99" s="30"/>
      <c r="R99" s="74"/>
      <c r="S99" s="74"/>
      <c r="U99" s="30"/>
      <c r="V99" s="30"/>
      <c r="W99" s="30"/>
      <c r="AB99" s="30"/>
      <c r="AC99" s="30"/>
      <c r="AF99" s="30"/>
      <c r="AG99" s="30"/>
      <c r="AI99" s="30"/>
      <c r="AK99" s="30"/>
      <c r="AL99" s="30"/>
      <c r="AP99" s="30"/>
      <c r="AQ99" s="30"/>
      <c r="AS99" s="30"/>
      <c r="AU99" s="30"/>
      <c r="AW99" s="30"/>
      <c r="AZ99" s="30"/>
      <c r="BA99" s="30"/>
      <c r="BE99" s="30"/>
      <c r="BH99" s="30"/>
      <c r="BI99" s="30"/>
      <c r="BL99" s="30"/>
      <c r="BN99" s="30"/>
      <c r="BP99" s="30"/>
      <c r="BS99" s="30"/>
      <c r="BT99" s="30"/>
      <c r="BW99" s="30"/>
      <c r="BX99" s="30"/>
      <c r="BZ99" s="30"/>
      <c r="CC99" s="30"/>
      <c r="CD99" s="30"/>
      <c r="CG99" s="30"/>
      <c r="CK99" s="30"/>
      <c r="CN99" s="30"/>
      <c r="CQ99" s="30"/>
      <c r="CU99" s="30"/>
      <c r="CX99" s="30"/>
    </row>
    <row r="100" spans="1:102" s="47" customFormat="1" x14ac:dyDescent="0.3">
      <c r="A100" s="47" t="s">
        <v>130</v>
      </c>
      <c r="B100" s="47">
        <v>1</v>
      </c>
      <c r="C100" s="31" t="s">
        <v>46</v>
      </c>
      <c r="D100" s="48">
        <f>600/400</f>
        <v>1.5</v>
      </c>
      <c r="E100" s="36" t="s">
        <v>105</v>
      </c>
      <c r="F100" s="74"/>
      <c r="G100" s="74"/>
      <c r="H100" s="74"/>
      <c r="I100" s="30"/>
      <c r="J100" s="30"/>
      <c r="K100" s="30"/>
      <c r="L100" s="74"/>
      <c r="M100" s="74"/>
      <c r="N100" s="74"/>
      <c r="O100" s="30"/>
      <c r="P100" s="30"/>
      <c r="Q100" s="30"/>
      <c r="R100" s="74"/>
      <c r="S100" s="74"/>
      <c r="U100" s="30"/>
      <c r="V100" s="30"/>
      <c r="W100" s="30"/>
      <c r="AB100" s="30"/>
      <c r="AC100" s="30"/>
      <c r="AF100" s="30"/>
      <c r="AG100" s="30"/>
      <c r="AI100" s="30"/>
      <c r="AK100" s="30"/>
      <c r="AL100" s="30"/>
      <c r="AP100" s="30"/>
      <c r="AQ100" s="30"/>
      <c r="AS100" s="30"/>
      <c r="AU100" s="30"/>
      <c r="AW100" s="30"/>
      <c r="AZ100" s="30"/>
      <c r="BA100" s="30"/>
      <c r="BE100" s="30"/>
      <c r="BH100" s="30"/>
      <c r="BI100" s="30"/>
      <c r="BL100" s="30"/>
      <c r="BN100" s="30"/>
      <c r="BP100" s="30"/>
      <c r="BS100" s="30"/>
      <c r="BT100" s="30"/>
      <c r="BW100" s="30"/>
      <c r="BX100" s="30"/>
      <c r="BZ100" s="30"/>
      <c r="CC100" s="30"/>
      <c r="CD100" s="30"/>
      <c r="CG100" s="30"/>
      <c r="CK100" s="30"/>
      <c r="CN100" s="30"/>
      <c r="CQ100" s="30"/>
      <c r="CU100" s="30"/>
      <c r="CX100" s="30"/>
    </row>
    <row r="101" spans="1:102" s="47" customFormat="1" x14ac:dyDescent="0.3">
      <c r="A101" s="47" t="s">
        <v>37</v>
      </c>
      <c r="B101" s="47">
        <v>1</v>
      </c>
      <c r="C101" s="31" t="s">
        <v>43</v>
      </c>
      <c r="D101" s="48">
        <f>3600/2400</f>
        <v>1.5</v>
      </c>
      <c r="E101" s="36" t="s">
        <v>105</v>
      </c>
      <c r="F101" s="75">
        <f>D101/D31</f>
        <v>7.4999999999999997E-2</v>
      </c>
      <c r="G101" s="34" t="s">
        <v>31</v>
      </c>
      <c r="H101" s="74"/>
      <c r="I101" s="30"/>
      <c r="J101" s="30"/>
      <c r="K101" s="30"/>
      <c r="L101" s="74"/>
      <c r="M101" s="74"/>
      <c r="N101" s="74"/>
      <c r="O101" s="30"/>
      <c r="P101" s="30"/>
      <c r="Q101" s="30"/>
      <c r="R101" s="74"/>
      <c r="S101" s="74"/>
      <c r="U101" s="30"/>
      <c r="V101" s="30"/>
      <c r="W101" s="30"/>
      <c r="AB101" s="30"/>
      <c r="AC101" s="30"/>
      <c r="AF101" s="30"/>
      <c r="AG101" s="30"/>
      <c r="AI101" s="30"/>
      <c r="AK101" s="30"/>
      <c r="AL101" s="30"/>
      <c r="AP101" s="30"/>
      <c r="AQ101" s="30"/>
      <c r="AS101" s="30"/>
      <c r="AU101" s="30"/>
      <c r="AW101" s="30"/>
      <c r="AZ101" s="30"/>
      <c r="BA101" s="30"/>
      <c r="BE101" s="30"/>
      <c r="BH101" s="30"/>
      <c r="BI101" s="30"/>
      <c r="BL101" s="30"/>
      <c r="BN101" s="30"/>
      <c r="BP101" s="30"/>
      <c r="BS101" s="30"/>
      <c r="BT101" s="30"/>
      <c r="BW101" s="30"/>
      <c r="BX101" s="30"/>
      <c r="BZ101" s="30"/>
      <c r="CC101" s="30"/>
      <c r="CD101" s="30"/>
      <c r="CG101" s="30"/>
      <c r="CK101" s="30"/>
      <c r="CN101" s="30"/>
      <c r="CQ101" s="30"/>
      <c r="CU101" s="30"/>
      <c r="CX101" s="30"/>
    </row>
    <row r="102" spans="1:102" s="63" customFormat="1" x14ac:dyDescent="0.3">
      <c r="A102" s="47" t="s">
        <v>25</v>
      </c>
      <c r="B102" s="47">
        <v>1</v>
      </c>
      <c r="C102" s="31" t="s">
        <v>43</v>
      </c>
      <c r="D102" s="63">
        <v>153.125</v>
      </c>
      <c r="E102" s="36" t="s">
        <v>100</v>
      </c>
      <c r="F102" s="65">
        <f>D102/D39</f>
        <v>1.3671875</v>
      </c>
      <c r="G102" s="30" t="s">
        <v>105</v>
      </c>
      <c r="H102" s="51"/>
      <c r="K102" s="30"/>
      <c r="M102" s="51"/>
      <c r="N102" s="51"/>
      <c r="Q102" s="30"/>
      <c r="W102" s="30"/>
      <c r="AB102" s="30"/>
      <c r="AF102" s="30"/>
      <c r="AH102" s="47"/>
      <c r="AI102" s="30"/>
      <c r="AL102" s="30"/>
      <c r="AN102" s="51"/>
      <c r="AO102" s="51"/>
      <c r="AP102" s="30"/>
      <c r="AS102" s="30"/>
      <c r="AW102" s="30"/>
      <c r="BA102" s="30"/>
      <c r="BE102" s="30"/>
      <c r="BI102" s="30"/>
      <c r="BK102" s="51"/>
      <c r="BL102" s="30"/>
      <c r="BP102" s="30"/>
      <c r="BS102" s="30"/>
      <c r="BW102" s="30"/>
      <c r="BZ102" s="30"/>
      <c r="CC102" s="30"/>
    </row>
    <row r="103" spans="1:102" s="47" customFormat="1" x14ac:dyDescent="0.3">
      <c r="A103" s="107" t="s">
        <v>33</v>
      </c>
      <c r="B103" s="47">
        <v>1</v>
      </c>
      <c r="C103" s="30" t="s">
        <v>28</v>
      </c>
      <c r="D103" s="48">
        <v>1</v>
      </c>
      <c r="E103" s="36" t="s">
        <v>46</v>
      </c>
      <c r="F103" s="65">
        <f>F104</f>
        <v>3.0446428571428572</v>
      </c>
      <c r="G103" s="30" t="s">
        <v>105</v>
      </c>
      <c r="I103" s="63"/>
      <c r="J103" s="63"/>
      <c r="K103" s="30"/>
      <c r="O103" s="63"/>
      <c r="P103" s="63"/>
      <c r="Q103" s="30"/>
      <c r="U103" s="63"/>
      <c r="V103" s="63"/>
      <c r="W103" s="30"/>
      <c r="AB103" s="30"/>
      <c r="AC103" s="63"/>
      <c r="AF103" s="30"/>
      <c r="AG103" s="63"/>
      <c r="AI103" s="30"/>
      <c r="AK103" s="63"/>
      <c r="AL103" s="30"/>
      <c r="AP103" s="30"/>
      <c r="AQ103" s="63"/>
      <c r="AS103" s="30"/>
      <c r="AU103" s="63"/>
      <c r="AW103" s="30"/>
      <c r="AZ103" s="63"/>
      <c r="BA103" s="30"/>
      <c r="BE103" s="30"/>
      <c r="BH103" s="63"/>
      <c r="BI103" s="30"/>
      <c r="BL103" s="30"/>
      <c r="BN103" s="63"/>
      <c r="BP103" s="30"/>
      <c r="BS103" s="30"/>
      <c r="BT103" s="63"/>
      <c r="BW103" s="30"/>
      <c r="BX103" s="63"/>
      <c r="BZ103" s="30"/>
      <c r="CC103" s="30"/>
      <c r="CD103" s="63"/>
      <c r="CG103" s="63"/>
      <c r="CK103" s="63"/>
      <c r="CN103" s="63"/>
      <c r="CQ103" s="63"/>
      <c r="CU103" s="63"/>
      <c r="CX103" s="63"/>
    </row>
    <row r="104" spans="1:102" s="47" customFormat="1" x14ac:dyDescent="0.3">
      <c r="A104" s="107"/>
      <c r="B104" s="47">
        <v>1</v>
      </c>
      <c r="C104" s="30" t="s">
        <v>46</v>
      </c>
      <c r="D104" s="48">
        <f>(355+327)/2</f>
        <v>341</v>
      </c>
      <c r="E104" s="36" t="s">
        <v>100</v>
      </c>
      <c r="F104" s="65">
        <f>D104/D39</f>
        <v>3.0446428571428572</v>
      </c>
      <c r="G104" s="30" t="s">
        <v>105</v>
      </c>
      <c r="I104" s="63"/>
      <c r="J104" s="63"/>
      <c r="K104" s="30"/>
      <c r="O104" s="63"/>
      <c r="P104" s="63"/>
      <c r="Q104" s="30"/>
      <c r="U104" s="63"/>
      <c r="V104" s="63"/>
      <c r="W104" s="30"/>
      <c r="AB104" s="30"/>
      <c r="AC104" s="63"/>
      <c r="AF104" s="30"/>
      <c r="AG104" s="63"/>
      <c r="AI104" s="30"/>
      <c r="AK104" s="63"/>
      <c r="AL104" s="30"/>
      <c r="AP104" s="30"/>
      <c r="AQ104" s="63"/>
      <c r="AS104" s="30"/>
      <c r="AU104" s="63"/>
      <c r="AW104" s="30"/>
      <c r="AZ104" s="63"/>
      <c r="BA104" s="30"/>
      <c r="BE104" s="30"/>
      <c r="BH104" s="63"/>
      <c r="BI104" s="30"/>
      <c r="BL104" s="30"/>
      <c r="BN104" s="63"/>
      <c r="BP104" s="30"/>
      <c r="BS104" s="30"/>
      <c r="BT104" s="63"/>
      <c r="BW104" s="30"/>
      <c r="BX104" s="63"/>
      <c r="BZ104" s="30"/>
      <c r="CC104" s="30"/>
      <c r="CD104" s="63"/>
      <c r="CG104" s="63"/>
      <c r="CK104" s="63"/>
      <c r="CN104" s="63"/>
      <c r="CQ104" s="63"/>
      <c r="CU104" s="63"/>
      <c r="CX104" s="63"/>
    </row>
    <row r="105" spans="1:102" s="47" customFormat="1" x14ac:dyDescent="0.3">
      <c r="A105" s="107"/>
      <c r="B105" s="47">
        <v>1</v>
      </c>
      <c r="C105" s="31" t="s">
        <v>19</v>
      </c>
      <c r="D105" s="48">
        <f>(2.2+2.5)/2</f>
        <v>2.35</v>
      </c>
      <c r="E105" s="36" t="s">
        <v>100</v>
      </c>
      <c r="F105" s="65">
        <f>D105/D39</f>
        <v>2.0982142857142859E-2</v>
      </c>
      <c r="G105" s="30" t="s">
        <v>105</v>
      </c>
      <c r="I105" s="63"/>
      <c r="J105" s="63"/>
      <c r="K105" s="30"/>
      <c r="O105" s="63"/>
      <c r="P105" s="63"/>
      <c r="Q105" s="30"/>
      <c r="U105" s="63"/>
      <c r="V105" s="63"/>
      <c r="W105" s="30"/>
      <c r="AB105" s="30"/>
      <c r="AC105" s="63"/>
      <c r="AF105" s="30"/>
      <c r="AG105" s="63"/>
      <c r="AI105" s="30"/>
      <c r="AK105" s="63"/>
      <c r="AL105" s="30"/>
      <c r="AP105" s="30"/>
      <c r="AQ105" s="63"/>
      <c r="AS105" s="30"/>
      <c r="AU105" s="63"/>
      <c r="AW105" s="30"/>
      <c r="AZ105" s="63"/>
      <c r="BA105" s="30"/>
      <c r="BE105" s="30"/>
      <c r="BH105" s="63"/>
      <c r="BI105" s="30"/>
      <c r="BL105" s="30"/>
      <c r="BN105" s="63"/>
      <c r="BP105" s="30"/>
      <c r="BS105" s="30"/>
      <c r="BT105" s="63"/>
      <c r="BW105" s="30"/>
      <c r="BX105" s="63"/>
      <c r="BZ105" s="30"/>
      <c r="CC105" s="30"/>
      <c r="CD105" s="63"/>
      <c r="CG105" s="63"/>
      <c r="CK105" s="63"/>
      <c r="CN105" s="63"/>
      <c r="CQ105" s="63"/>
      <c r="CU105" s="63"/>
      <c r="CX105" s="63"/>
    </row>
    <row r="106" spans="1:102" s="80" customFormat="1" x14ac:dyDescent="0.3">
      <c r="A106" s="47" t="s">
        <v>95</v>
      </c>
      <c r="B106" s="47">
        <v>1</v>
      </c>
      <c r="C106" s="31" t="s">
        <v>28</v>
      </c>
      <c r="D106" s="48">
        <v>640</v>
      </c>
      <c r="E106" s="36" t="s">
        <v>100</v>
      </c>
      <c r="F106" s="65">
        <f>D106/D39</f>
        <v>5.7142857142857144</v>
      </c>
      <c r="G106" s="30" t="s">
        <v>105</v>
      </c>
      <c r="H106" s="76"/>
      <c r="I106" s="63"/>
      <c r="J106" s="63"/>
      <c r="K106" s="30"/>
      <c r="L106" s="77"/>
      <c r="M106" s="76"/>
      <c r="N106" s="76"/>
      <c r="O106" s="63"/>
      <c r="P106" s="63"/>
      <c r="Q106" s="30"/>
      <c r="R106" s="77"/>
      <c r="S106" s="76"/>
      <c r="T106" s="76"/>
      <c r="U106" s="63"/>
      <c r="V106" s="63"/>
      <c r="W106" s="30"/>
      <c r="X106" s="76"/>
      <c r="Y106" s="77"/>
      <c r="Z106" s="76"/>
      <c r="AA106" s="76"/>
      <c r="AB106" s="30"/>
      <c r="AC106" s="63"/>
      <c r="AD106" s="76"/>
      <c r="AE106" s="76"/>
      <c r="AF106" s="30"/>
      <c r="AG106" s="63"/>
      <c r="AH106" s="77"/>
      <c r="AI106" s="30"/>
      <c r="AJ106" s="76"/>
      <c r="AK106" s="63"/>
      <c r="AL106" s="30"/>
      <c r="AM106" s="78"/>
      <c r="AN106" s="76"/>
      <c r="AO106" s="79"/>
      <c r="AP106" s="30"/>
      <c r="AQ106" s="63"/>
      <c r="AR106" s="76"/>
      <c r="AS106" s="30"/>
      <c r="AT106" s="77"/>
      <c r="AU106" s="63"/>
      <c r="AV106" s="76"/>
      <c r="AW106" s="30"/>
      <c r="AX106" s="76"/>
      <c r="AY106" s="76"/>
      <c r="AZ106" s="63"/>
      <c r="BA106" s="30"/>
      <c r="BB106" s="77"/>
      <c r="BC106" s="76"/>
      <c r="BD106" s="76"/>
      <c r="BE106" s="30"/>
      <c r="BF106" s="77"/>
      <c r="BG106" s="76"/>
      <c r="BH106" s="63"/>
      <c r="BI106" s="30"/>
      <c r="BJ106" s="77"/>
      <c r="BK106" s="76"/>
      <c r="BL106" s="30"/>
      <c r="BM106" s="77"/>
      <c r="BN106" s="63"/>
      <c r="BO106" s="76"/>
      <c r="BP106" s="30"/>
      <c r="BQ106" s="79"/>
      <c r="BR106" s="76"/>
      <c r="BS106" s="30"/>
      <c r="BT106" s="63"/>
      <c r="BW106" s="30"/>
      <c r="BX106" s="63"/>
      <c r="BZ106" s="30"/>
      <c r="CC106" s="30"/>
      <c r="CD106" s="63"/>
      <c r="CG106" s="63"/>
      <c r="CK106" s="63"/>
      <c r="CN106" s="63"/>
      <c r="CQ106" s="63"/>
      <c r="CU106" s="63"/>
      <c r="CX106" s="63"/>
    </row>
    <row r="107" spans="1:102" s="80" customFormat="1" x14ac:dyDescent="0.3">
      <c r="A107" s="107" t="s">
        <v>5</v>
      </c>
      <c r="B107" s="47">
        <v>1</v>
      </c>
      <c r="C107" s="31" t="s">
        <v>21</v>
      </c>
      <c r="D107" s="48">
        <v>196</v>
      </c>
      <c r="E107" s="36" t="s">
        <v>100</v>
      </c>
      <c r="F107" s="65">
        <f>D107/D39</f>
        <v>1.75</v>
      </c>
      <c r="G107" s="30" t="s">
        <v>105</v>
      </c>
      <c r="H107" s="76"/>
      <c r="I107" s="63"/>
      <c r="J107" s="63"/>
      <c r="K107" s="30"/>
      <c r="L107" s="76"/>
      <c r="M107" s="79"/>
      <c r="N107" s="76"/>
      <c r="O107" s="63"/>
      <c r="P107" s="63"/>
      <c r="Q107" s="30"/>
      <c r="R107" s="76"/>
      <c r="S107" s="79"/>
      <c r="T107" s="76"/>
      <c r="U107" s="63"/>
      <c r="V107" s="63"/>
      <c r="W107" s="30"/>
      <c r="X107" s="76"/>
      <c r="Y107" s="76"/>
      <c r="Z107" s="79"/>
      <c r="AA107" s="79"/>
      <c r="AB107" s="30"/>
      <c r="AC107" s="63"/>
      <c r="AD107" s="76"/>
      <c r="AE107" s="76"/>
      <c r="AF107" s="30"/>
      <c r="AG107" s="63"/>
      <c r="AH107" s="76"/>
      <c r="AI107" s="30"/>
      <c r="AJ107" s="79"/>
      <c r="AK107" s="63"/>
      <c r="AL107" s="30"/>
      <c r="AM107" s="76"/>
      <c r="AO107" s="76"/>
      <c r="AP107" s="30"/>
      <c r="AQ107" s="63"/>
      <c r="AR107" s="79"/>
      <c r="AS107" s="30"/>
      <c r="AT107" s="76"/>
      <c r="AU107" s="63"/>
      <c r="AV107" s="79"/>
      <c r="AW107" s="30"/>
      <c r="AX107" s="76"/>
      <c r="AY107" s="76"/>
      <c r="AZ107" s="63"/>
      <c r="BA107" s="30"/>
      <c r="BB107" s="76"/>
      <c r="BC107" s="79"/>
      <c r="BD107" s="79"/>
      <c r="BE107" s="30"/>
      <c r="BF107" s="76"/>
      <c r="BG107" s="79"/>
      <c r="BH107" s="63"/>
      <c r="BI107" s="30"/>
      <c r="BJ107" s="76"/>
      <c r="BK107" s="77"/>
      <c r="BL107" s="30"/>
      <c r="BM107" s="76"/>
      <c r="BN107" s="63"/>
      <c r="BO107" s="79"/>
      <c r="BP107" s="30"/>
      <c r="BQ107" s="76"/>
      <c r="BR107" s="79"/>
      <c r="BS107" s="30"/>
      <c r="BT107" s="63"/>
      <c r="BU107" s="76"/>
      <c r="BW107" s="30"/>
      <c r="BX107" s="63"/>
      <c r="BZ107" s="30"/>
      <c r="CC107" s="30"/>
      <c r="CD107" s="63"/>
      <c r="CG107" s="63"/>
      <c r="CK107" s="63"/>
      <c r="CN107" s="63"/>
      <c r="CQ107" s="63"/>
      <c r="CU107" s="63"/>
      <c r="CX107" s="63"/>
    </row>
    <row r="108" spans="1:102" s="63" customFormat="1" ht="13.8" customHeight="1" x14ac:dyDescent="0.3">
      <c r="A108" s="107"/>
      <c r="B108" s="47">
        <v>1</v>
      </c>
      <c r="C108" s="31" t="s">
        <v>131</v>
      </c>
      <c r="D108" s="48">
        <v>280</v>
      </c>
      <c r="E108" s="36" t="s">
        <v>100</v>
      </c>
      <c r="F108" s="65">
        <f>D108/D39</f>
        <v>2.5</v>
      </c>
      <c r="G108" s="30" t="s">
        <v>105</v>
      </c>
      <c r="K108" s="30"/>
      <c r="Q108" s="30"/>
      <c r="W108" s="30"/>
      <c r="AB108" s="30"/>
      <c r="AF108" s="30"/>
      <c r="AI108" s="30"/>
      <c r="AL108" s="30"/>
      <c r="AP108" s="30"/>
      <c r="AS108" s="30"/>
      <c r="AW108" s="30"/>
      <c r="BA108" s="30"/>
      <c r="BE108" s="30"/>
      <c r="BI108" s="30"/>
      <c r="BL108" s="30"/>
      <c r="BP108" s="30"/>
      <c r="BS108" s="30"/>
      <c r="BW108" s="30"/>
      <c r="BZ108" s="30"/>
      <c r="CC108" s="30"/>
    </row>
    <row r="109" spans="1:102" s="63" customFormat="1" x14ac:dyDescent="0.3">
      <c r="A109" s="68" t="s">
        <v>23</v>
      </c>
      <c r="B109" s="47">
        <v>1</v>
      </c>
      <c r="C109" s="31" t="s">
        <v>111</v>
      </c>
      <c r="D109" s="48">
        <v>112</v>
      </c>
      <c r="E109" s="36" t="s">
        <v>100</v>
      </c>
      <c r="F109" s="65">
        <f>D109/D39</f>
        <v>1</v>
      </c>
      <c r="G109" s="30" t="s">
        <v>105</v>
      </c>
      <c r="K109" s="30"/>
      <c r="Q109" s="30"/>
      <c r="W109" s="30"/>
      <c r="AB109" s="30"/>
      <c r="AF109" s="30"/>
      <c r="AI109" s="30"/>
      <c r="AL109" s="30"/>
      <c r="AP109" s="30"/>
      <c r="AS109" s="30"/>
      <c r="AW109" s="30"/>
      <c r="BA109" s="30"/>
      <c r="BE109" s="30"/>
      <c r="BI109" s="30"/>
      <c r="BL109" s="30"/>
      <c r="BP109" s="30"/>
      <c r="BS109" s="30"/>
      <c r="BW109" s="30"/>
      <c r="BZ109" s="30"/>
      <c r="CC109" s="30"/>
    </row>
    <row r="110" spans="1:102" s="63" customFormat="1" x14ac:dyDescent="0.3">
      <c r="A110" s="68" t="s">
        <v>83</v>
      </c>
      <c r="B110" s="47">
        <v>1</v>
      </c>
      <c r="C110" s="31" t="s">
        <v>46</v>
      </c>
      <c r="D110" s="48">
        <v>0.67513000000000001</v>
      </c>
      <c r="E110" s="36" t="s">
        <v>105</v>
      </c>
      <c r="F110" s="65">
        <f>D110/D31</f>
        <v>3.3756500000000002E-2</v>
      </c>
      <c r="G110" s="30" t="s">
        <v>31</v>
      </c>
      <c r="K110" s="30"/>
      <c r="Q110" s="30"/>
      <c r="W110" s="30"/>
      <c r="AB110" s="30"/>
      <c r="AF110" s="30"/>
      <c r="AI110" s="30"/>
      <c r="AL110" s="30"/>
      <c r="AP110" s="30"/>
      <c r="AS110" s="30"/>
      <c r="AW110" s="30"/>
      <c r="BA110" s="30"/>
      <c r="BE110" s="30"/>
      <c r="BI110" s="30"/>
      <c r="BL110" s="30"/>
      <c r="BP110" s="30"/>
      <c r="BS110" s="30"/>
      <c r="BW110" s="30"/>
      <c r="BZ110" s="30"/>
      <c r="CC110" s="30"/>
    </row>
    <row r="111" spans="1:102" s="63" customFormat="1" x14ac:dyDescent="0.3">
      <c r="A111" s="72" t="s">
        <v>85</v>
      </c>
      <c r="B111" s="47">
        <v>1</v>
      </c>
      <c r="C111" s="31" t="s">
        <v>125</v>
      </c>
      <c r="D111" s="48">
        <v>2.39975</v>
      </c>
      <c r="E111" s="36" t="s">
        <v>105</v>
      </c>
      <c r="F111" s="65"/>
      <c r="G111" s="30"/>
      <c r="K111" s="30"/>
      <c r="Q111" s="30"/>
      <c r="W111" s="30"/>
      <c r="AB111" s="30"/>
      <c r="AF111" s="30"/>
      <c r="AI111" s="30"/>
      <c r="AL111" s="30"/>
      <c r="AP111" s="30"/>
      <c r="AS111" s="30"/>
      <c r="AW111" s="30"/>
      <c r="BA111" s="30"/>
      <c r="BE111" s="30"/>
      <c r="BI111" s="30"/>
      <c r="BL111" s="30"/>
      <c r="BP111" s="30"/>
      <c r="BS111" s="30"/>
      <c r="BW111" s="30"/>
      <c r="BZ111" s="30"/>
      <c r="CC111" s="30"/>
    </row>
    <row r="112" spans="1:102" s="63" customFormat="1" x14ac:dyDescent="0.3">
      <c r="A112" s="68" t="s">
        <v>84</v>
      </c>
      <c r="B112" s="47">
        <v>1</v>
      </c>
      <c r="C112" s="31" t="s">
        <v>43</v>
      </c>
      <c r="D112" s="48">
        <v>746.66600000000005</v>
      </c>
      <c r="E112" s="36" t="s">
        <v>100</v>
      </c>
      <c r="F112" s="65">
        <f>D112/D39</f>
        <v>6.6666607142857144</v>
      </c>
      <c r="G112" s="30" t="s">
        <v>105</v>
      </c>
      <c r="K112" s="30"/>
      <c r="Q112" s="30"/>
      <c r="W112" s="30"/>
      <c r="AB112" s="30"/>
      <c r="AF112" s="30"/>
      <c r="AI112" s="30"/>
      <c r="AL112" s="30"/>
      <c r="AP112" s="30"/>
      <c r="AS112" s="30"/>
      <c r="AW112" s="30"/>
      <c r="BA112" s="30"/>
      <c r="BE112" s="30"/>
      <c r="BI112" s="30"/>
      <c r="BL112" s="30"/>
      <c r="BP112" s="30"/>
      <c r="BS112" s="30"/>
      <c r="BW112" s="30"/>
      <c r="BZ112" s="30"/>
      <c r="CC112" s="30"/>
    </row>
    <row r="113" spans="1:81" s="63" customFormat="1" x14ac:dyDescent="0.3">
      <c r="A113" s="68" t="s">
        <v>132</v>
      </c>
      <c r="B113" s="47">
        <v>1</v>
      </c>
      <c r="C113" s="31" t="s">
        <v>46</v>
      </c>
      <c r="D113" s="48">
        <v>250</v>
      </c>
      <c r="E113" s="36" t="s">
        <v>100</v>
      </c>
      <c r="F113" s="65">
        <f>D113/D39</f>
        <v>2.2321428571428572</v>
      </c>
      <c r="G113" s="30" t="s">
        <v>105</v>
      </c>
      <c r="K113" s="30"/>
      <c r="Q113" s="30"/>
      <c r="W113" s="30"/>
      <c r="AB113" s="30"/>
      <c r="AF113" s="30"/>
      <c r="AI113" s="30"/>
      <c r="AL113" s="30"/>
      <c r="AP113" s="30"/>
      <c r="AS113" s="30"/>
      <c r="AW113" s="30"/>
      <c r="BA113" s="30"/>
      <c r="BE113" s="30"/>
      <c r="BI113" s="30"/>
      <c r="BL113" s="30"/>
      <c r="BP113" s="30"/>
      <c r="BS113" s="30"/>
      <c r="BW113" s="30"/>
      <c r="BZ113" s="30"/>
      <c r="CC113" s="30"/>
    </row>
    <row r="114" spans="1:81" s="63" customFormat="1" x14ac:dyDescent="0.3">
      <c r="A114" s="68" t="s">
        <v>23</v>
      </c>
      <c r="B114" s="47">
        <v>1</v>
      </c>
      <c r="C114" s="31" t="s">
        <v>111</v>
      </c>
      <c r="D114" s="48">
        <v>112</v>
      </c>
      <c r="E114" s="36" t="s">
        <v>100</v>
      </c>
      <c r="F114" s="65">
        <f>D114/D39</f>
        <v>1</v>
      </c>
      <c r="G114" s="30" t="s">
        <v>105</v>
      </c>
      <c r="K114" s="30"/>
      <c r="Q114" s="30"/>
      <c r="W114" s="30"/>
      <c r="AB114" s="30"/>
      <c r="AF114" s="30"/>
      <c r="AI114" s="30"/>
      <c r="AL114" s="30"/>
      <c r="AP114" s="30"/>
      <c r="AS114" s="30"/>
      <c r="AW114" s="30"/>
      <c r="BA114" s="30"/>
      <c r="BE114" s="30"/>
      <c r="BI114" s="30"/>
      <c r="BL114" s="30"/>
      <c r="BP114" s="30"/>
      <c r="BS114" s="30"/>
      <c r="BW114" s="30"/>
      <c r="BZ114" s="30"/>
      <c r="CC114" s="30"/>
    </row>
    <row r="115" spans="1:81" s="63" customFormat="1" x14ac:dyDescent="0.3">
      <c r="A115" s="108" t="s">
        <v>133</v>
      </c>
      <c r="B115" s="47">
        <v>1</v>
      </c>
      <c r="C115" s="31" t="s">
        <v>46</v>
      </c>
      <c r="D115" s="48">
        <v>227</v>
      </c>
      <c r="E115" s="36" t="s">
        <v>100</v>
      </c>
      <c r="F115" s="65">
        <f>D115/D39</f>
        <v>2.0267857142857144</v>
      </c>
      <c r="G115" s="30" t="s">
        <v>105</v>
      </c>
      <c r="K115" s="30"/>
      <c r="Q115" s="30"/>
      <c r="W115" s="30"/>
      <c r="AB115" s="30"/>
      <c r="AF115" s="30"/>
      <c r="AI115" s="30"/>
      <c r="AL115" s="30"/>
      <c r="AP115" s="30"/>
      <c r="AS115" s="30"/>
      <c r="AW115" s="30"/>
      <c r="BA115" s="30"/>
      <c r="BE115" s="30"/>
      <c r="BI115" s="30"/>
      <c r="BL115" s="30"/>
      <c r="BP115" s="30"/>
      <c r="BS115" s="30"/>
      <c r="BW115" s="30"/>
      <c r="BZ115" s="30"/>
      <c r="CC115" s="30"/>
    </row>
    <row r="116" spans="1:81" s="63" customFormat="1" x14ac:dyDescent="0.3">
      <c r="A116" s="108"/>
      <c r="B116" s="47">
        <v>1</v>
      </c>
      <c r="C116" s="30" t="s">
        <v>125</v>
      </c>
      <c r="D116" s="63">
        <v>746.66700000000003</v>
      </c>
      <c r="E116" s="36" t="s">
        <v>100</v>
      </c>
      <c r="F116" s="48">
        <f>D116/D39</f>
        <v>6.6666696428571433</v>
      </c>
      <c r="G116" s="30" t="s">
        <v>105</v>
      </c>
      <c r="H116" s="47"/>
      <c r="K116" s="51"/>
      <c r="L116" s="47"/>
      <c r="M116" s="47"/>
      <c r="N116" s="47"/>
      <c r="Q116" s="51"/>
      <c r="W116" s="51"/>
      <c r="AB116" s="51"/>
      <c r="AF116" s="51"/>
      <c r="AI116" s="51"/>
      <c r="AL116" s="51"/>
      <c r="AP116" s="51"/>
      <c r="AS116" s="51"/>
      <c r="AW116" s="51"/>
      <c r="BA116" s="51"/>
      <c r="BE116" s="51"/>
      <c r="BI116" s="51"/>
      <c r="BL116" s="51"/>
      <c r="BP116" s="51"/>
      <c r="BS116" s="51"/>
      <c r="BW116" s="51"/>
      <c r="BZ116" s="51"/>
      <c r="CC116" s="51"/>
    </row>
    <row r="117" spans="1:81" s="63" customFormat="1" x14ac:dyDescent="0.3">
      <c r="A117" s="108"/>
      <c r="B117" s="47">
        <v>1</v>
      </c>
      <c r="C117" s="30" t="s">
        <v>43</v>
      </c>
      <c r="D117" s="48">
        <v>0.75087000000000004</v>
      </c>
      <c r="E117" s="36" t="s">
        <v>32</v>
      </c>
      <c r="F117" s="48">
        <f>D117*F115</f>
        <v>1.5218525892857144</v>
      </c>
      <c r="G117" s="30" t="s">
        <v>105</v>
      </c>
      <c r="H117" s="47"/>
      <c r="K117" s="51"/>
      <c r="L117" s="47"/>
      <c r="M117" s="47"/>
      <c r="N117" s="47"/>
      <c r="Q117" s="51"/>
      <c r="W117" s="51"/>
      <c r="AB117" s="51"/>
      <c r="AF117" s="51"/>
      <c r="AI117" s="51"/>
      <c r="AL117" s="51"/>
      <c r="AP117" s="51"/>
      <c r="AS117" s="51"/>
      <c r="AW117" s="51"/>
      <c r="BA117" s="51"/>
      <c r="BE117" s="51"/>
      <c r="BI117" s="51"/>
      <c r="BL117" s="51"/>
      <c r="BP117" s="51"/>
      <c r="BS117" s="51"/>
      <c r="BW117" s="51"/>
      <c r="BZ117" s="51"/>
      <c r="CC117" s="51"/>
    </row>
    <row r="118" spans="1:81" x14ac:dyDescent="0.3">
      <c r="E118" s="58"/>
    </row>
    <row r="119" spans="1:81" x14ac:dyDescent="0.3">
      <c r="A119" s="35" t="s">
        <v>170</v>
      </c>
      <c r="E119" s="58"/>
    </row>
    <row r="120" spans="1:81" x14ac:dyDescent="0.3">
      <c r="E120" s="58"/>
    </row>
    <row r="121" spans="1:81" x14ac:dyDescent="0.3">
      <c r="B121" s="47">
        <v>1</v>
      </c>
      <c r="C121" s="30" t="s">
        <v>171</v>
      </c>
      <c r="D121" s="48">
        <v>20</v>
      </c>
      <c r="E121" s="36" t="s">
        <v>14</v>
      </c>
      <c r="F121" s="48">
        <v>240</v>
      </c>
      <c r="G121" s="30" t="s">
        <v>15</v>
      </c>
    </row>
    <row r="122" spans="1:81" x14ac:dyDescent="0.3">
      <c r="A122" s="72" t="s">
        <v>183</v>
      </c>
      <c r="B122" s="47">
        <v>1</v>
      </c>
      <c r="C122" s="30" t="s">
        <v>171</v>
      </c>
      <c r="D122" s="48">
        <f>(108.5+110.5)/2</f>
        <v>109.5</v>
      </c>
      <c r="E122" s="81" t="s">
        <v>184</v>
      </c>
    </row>
    <row r="123" spans="1:81" x14ac:dyDescent="0.3">
      <c r="A123" s="72" t="s">
        <v>190</v>
      </c>
      <c r="B123" s="47">
        <v>1</v>
      </c>
      <c r="C123" s="81" t="s">
        <v>184</v>
      </c>
      <c r="D123" s="48">
        <f>2/F121</f>
        <v>8.3333333333333332E-3</v>
      </c>
      <c r="E123" s="30" t="s">
        <v>171</v>
      </c>
    </row>
    <row r="124" spans="1:81" ht="13.8" customHeight="1" x14ac:dyDescent="0.3"/>
  </sheetData>
  <mergeCells count="25">
    <mergeCell ref="A103:A105"/>
    <mergeCell ref="A107:A108"/>
    <mergeCell ref="A115:A117"/>
    <mergeCell ref="E2:G2"/>
    <mergeCell ref="A75:A76"/>
    <mergeCell ref="A77:A78"/>
    <mergeCell ref="A79:A80"/>
    <mergeCell ref="A81:A83"/>
    <mergeCell ref="A88:A89"/>
    <mergeCell ref="A91:A93"/>
    <mergeCell ref="E26:E27"/>
    <mergeCell ref="B40:B41"/>
    <mergeCell ref="C40:C41"/>
    <mergeCell ref="D40:D41"/>
    <mergeCell ref="E40:E41"/>
    <mergeCell ref="H2:I2"/>
    <mergeCell ref="B26:B27"/>
    <mergeCell ref="C26:C27"/>
    <mergeCell ref="A58:A59"/>
    <mergeCell ref="A94:A95"/>
    <mergeCell ref="A69:A70"/>
    <mergeCell ref="A71:A72"/>
    <mergeCell ref="A73:A74"/>
    <mergeCell ref="D26:D27"/>
    <mergeCell ref="A55:A56"/>
  </mergeCells>
  <pageMargins left="0.75" right="0.75" top="1" bottom="1" header="0.5" footer="0.5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"/>
  <sheetViews>
    <sheetView zoomScale="90" zoomScaleNormal="90" workbookViewId="0">
      <selection activeCell="E13" sqref="E13"/>
    </sheetView>
  </sheetViews>
  <sheetFormatPr defaultRowHeight="14.4" x14ac:dyDescent="0.3"/>
  <cols>
    <col min="1" max="1" width="8.88671875" style="102"/>
    <col min="2" max="2" width="8.88671875" style="101"/>
    <col min="3" max="16384" width="8.88671875" style="102"/>
  </cols>
  <sheetData>
    <row r="2" spans="1:2" x14ac:dyDescent="0.3">
      <c r="A2" s="103"/>
      <c r="B2" s="101" t="s">
        <v>613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HG18"/>
  <sheetViews>
    <sheetView zoomScale="110" zoomScaleNormal="110" workbookViewId="0">
      <pane xSplit="2" ySplit="8" topLeftCell="BH9" activePane="bottomRight" state="frozenSplit"/>
      <selection activeCell="C34" sqref="C34"/>
      <selection pane="topRight" activeCell="C34" sqref="C34"/>
      <selection pane="bottomLeft" activeCell="C34" sqref="C34"/>
      <selection pane="bottomRight" activeCell="BI15" sqref="BI15"/>
    </sheetView>
  </sheetViews>
  <sheetFormatPr defaultColWidth="9.6640625" defaultRowHeight="12" x14ac:dyDescent="0.2"/>
  <cols>
    <col min="1" max="1" width="6.44140625" style="10" customWidth="1"/>
    <col min="2" max="2" width="13.88671875" style="9" customWidth="1"/>
    <col min="3" max="119" width="16.6640625" style="9" customWidth="1"/>
    <col min="120" max="120" width="20.44140625" style="9" customWidth="1"/>
    <col min="121" max="211" width="16.6640625" style="9" customWidth="1"/>
    <col min="212" max="227" width="9.6640625" style="9"/>
    <col min="228" max="228" width="6.44140625" style="9" customWidth="1"/>
    <col min="229" max="229" width="13.88671875" style="9" customWidth="1"/>
    <col min="230" max="230" width="14.33203125" style="9" customWidth="1"/>
    <col min="231" max="247" width="9.6640625" style="9"/>
    <col min="248" max="248" width="12" style="9" customWidth="1"/>
    <col min="249" max="249" width="12.77734375" style="9" customWidth="1"/>
    <col min="250" max="250" width="11.109375" style="9" customWidth="1"/>
    <col min="251" max="251" width="12" style="9" customWidth="1"/>
    <col min="252" max="252" width="9.6640625" style="9"/>
    <col min="253" max="253" width="15.33203125" style="9" customWidth="1"/>
    <col min="254" max="254" width="15.21875" style="9" customWidth="1"/>
    <col min="255" max="255" width="21.44140625" style="9" customWidth="1"/>
    <col min="256" max="271" width="9.6640625" style="9"/>
    <col min="272" max="273" width="13.44140625" style="9" customWidth="1"/>
    <col min="274" max="274" width="9.6640625" style="9"/>
    <col min="275" max="275" width="13.88671875" style="9" customWidth="1"/>
    <col min="276" max="276" width="10.6640625" style="9" customWidth="1"/>
    <col min="277" max="277" width="17.33203125" style="9" customWidth="1"/>
    <col min="278" max="279" width="12.6640625" style="9" customWidth="1"/>
    <col min="280" max="280" width="11.21875" style="9" customWidth="1"/>
    <col min="281" max="281" width="18.33203125" style="9" customWidth="1"/>
    <col min="282" max="282" width="12.88671875" style="9" customWidth="1"/>
    <col min="283" max="284" width="13.21875" style="9" customWidth="1"/>
    <col min="285" max="285" width="10.88671875" style="9" customWidth="1"/>
    <col min="286" max="286" width="11.109375" style="9" customWidth="1"/>
    <col min="287" max="287" width="15.21875" style="9" customWidth="1"/>
    <col min="288" max="288" width="9.6640625" style="9"/>
    <col min="289" max="289" width="11" style="9" customWidth="1"/>
    <col min="290" max="290" width="10.77734375" style="9" customWidth="1"/>
    <col min="291" max="291" width="11.44140625" style="9" customWidth="1"/>
    <col min="292" max="292" width="4" style="9" customWidth="1"/>
    <col min="293" max="483" width="9.6640625" style="9"/>
    <col min="484" max="484" width="6.44140625" style="9" customWidth="1"/>
    <col min="485" max="485" width="13.88671875" style="9" customWidth="1"/>
    <col min="486" max="486" width="14.33203125" style="9" customWidth="1"/>
    <col min="487" max="503" width="9.6640625" style="9"/>
    <col min="504" max="504" width="12" style="9" customWidth="1"/>
    <col min="505" max="505" width="12.77734375" style="9" customWidth="1"/>
    <col min="506" max="506" width="11.109375" style="9" customWidth="1"/>
    <col min="507" max="507" width="12" style="9" customWidth="1"/>
    <col min="508" max="508" width="9.6640625" style="9"/>
    <col min="509" max="509" width="15.33203125" style="9" customWidth="1"/>
    <col min="510" max="510" width="15.21875" style="9" customWidth="1"/>
    <col min="511" max="511" width="21.44140625" style="9" customWidth="1"/>
    <col min="512" max="527" width="9.6640625" style="9"/>
    <col min="528" max="529" width="13.44140625" style="9" customWidth="1"/>
    <col min="530" max="530" width="9.6640625" style="9"/>
    <col min="531" max="531" width="13.88671875" style="9" customWidth="1"/>
    <col min="532" max="532" width="10.6640625" style="9" customWidth="1"/>
    <col min="533" max="533" width="17.33203125" style="9" customWidth="1"/>
    <col min="534" max="535" width="12.6640625" style="9" customWidth="1"/>
    <col min="536" max="536" width="11.21875" style="9" customWidth="1"/>
    <col min="537" max="537" width="18.33203125" style="9" customWidth="1"/>
    <col min="538" max="538" width="12.88671875" style="9" customWidth="1"/>
    <col min="539" max="540" width="13.21875" style="9" customWidth="1"/>
    <col min="541" max="541" width="10.88671875" style="9" customWidth="1"/>
    <col min="542" max="542" width="11.109375" style="9" customWidth="1"/>
    <col min="543" max="543" width="15.21875" style="9" customWidth="1"/>
    <col min="544" max="544" width="9.6640625" style="9"/>
    <col min="545" max="545" width="11" style="9" customWidth="1"/>
    <col min="546" max="546" width="10.77734375" style="9" customWidth="1"/>
    <col min="547" max="547" width="11.44140625" style="9" customWidth="1"/>
    <col min="548" max="548" width="4" style="9" customWidth="1"/>
    <col min="549" max="739" width="9.6640625" style="9"/>
    <col min="740" max="740" width="6.44140625" style="9" customWidth="1"/>
    <col min="741" max="741" width="13.88671875" style="9" customWidth="1"/>
    <col min="742" max="742" width="14.33203125" style="9" customWidth="1"/>
    <col min="743" max="759" width="9.6640625" style="9"/>
    <col min="760" max="760" width="12" style="9" customWidth="1"/>
    <col min="761" max="761" width="12.77734375" style="9" customWidth="1"/>
    <col min="762" max="762" width="11.109375" style="9" customWidth="1"/>
    <col min="763" max="763" width="12" style="9" customWidth="1"/>
    <col min="764" max="764" width="9.6640625" style="9"/>
    <col min="765" max="765" width="15.33203125" style="9" customWidth="1"/>
    <col min="766" max="766" width="15.21875" style="9" customWidth="1"/>
    <col min="767" max="767" width="21.44140625" style="9" customWidth="1"/>
    <col min="768" max="783" width="9.6640625" style="9"/>
    <col min="784" max="785" width="13.44140625" style="9" customWidth="1"/>
    <col min="786" max="786" width="9.6640625" style="9"/>
    <col min="787" max="787" width="13.88671875" style="9" customWidth="1"/>
    <col min="788" max="788" width="10.6640625" style="9" customWidth="1"/>
    <col min="789" max="789" width="17.33203125" style="9" customWidth="1"/>
    <col min="790" max="791" width="12.6640625" style="9" customWidth="1"/>
    <col min="792" max="792" width="11.21875" style="9" customWidth="1"/>
    <col min="793" max="793" width="18.33203125" style="9" customWidth="1"/>
    <col min="794" max="794" width="12.88671875" style="9" customWidth="1"/>
    <col min="795" max="796" width="13.21875" style="9" customWidth="1"/>
    <col min="797" max="797" width="10.88671875" style="9" customWidth="1"/>
    <col min="798" max="798" width="11.109375" style="9" customWidth="1"/>
    <col min="799" max="799" width="15.21875" style="9" customWidth="1"/>
    <col min="800" max="800" width="9.6640625" style="9"/>
    <col min="801" max="801" width="11" style="9" customWidth="1"/>
    <col min="802" max="802" width="10.77734375" style="9" customWidth="1"/>
    <col min="803" max="803" width="11.44140625" style="9" customWidth="1"/>
    <col min="804" max="804" width="4" style="9" customWidth="1"/>
    <col min="805" max="995" width="9.6640625" style="9"/>
    <col min="996" max="996" width="6.44140625" style="9" customWidth="1"/>
    <col min="997" max="997" width="13.88671875" style="9" customWidth="1"/>
    <col min="998" max="998" width="14.33203125" style="9" customWidth="1"/>
    <col min="999" max="1015" width="9.6640625" style="9"/>
    <col min="1016" max="1016" width="12" style="9" customWidth="1"/>
    <col min="1017" max="1017" width="12.77734375" style="9" customWidth="1"/>
    <col min="1018" max="1018" width="11.109375" style="9" customWidth="1"/>
    <col min="1019" max="1019" width="12" style="9" customWidth="1"/>
    <col min="1020" max="1020" width="9.6640625" style="9"/>
    <col min="1021" max="1021" width="15.33203125" style="9" customWidth="1"/>
    <col min="1022" max="1022" width="15.21875" style="9" customWidth="1"/>
    <col min="1023" max="1023" width="21.44140625" style="9" customWidth="1"/>
    <col min="1024" max="1039" width="9.6640625" style="9"/>
    <col min="1040" max="1041" width="13.44140625" style="9" customWidth="1"/>
    <col min="1042" max="1042" width="9.6640625" style="9"/>
    <col min="1043" max="1043" width="13.88671875" style="9" customWidth="1"/>
    <col min="1044" max="1044" width="10.6640625" style="9" customWidth="1"/>
    <col min="1045" max="1045" width="17.33203125" style="9" customWidth="1"/>
    <col min="1046" max="1047" width="12.6640625" style="9" customWidth="1"/>
    <col min="1048" max="1048" width="11.21875" style="9" customWidth="1"/>
    <col min="1049" max="1049" width="18.33203125" style="9" customWidth="1"/>
    <col min="1050" max="1050" width="12.88671875" style="9" customWidth="1"/>
    <col min="1051" max="1052" width="13.21875" style="9" customWidth="1"/>
    <col min="1053" max="1053" width="10.88671875" style="9" customWidth="1"/>
    <col min="1054" max="1054" width="11.109375" style="9" customWidth="1"/>
    <col min="1055" max="1055" width="15.21875" style="9" customWidth="1"/>
    <col min="1056" max="1056" width="9.6640625" style="9"/>
    <col min="1057" max="1057" width="11" style="9" customWidth="1"/>
    <col min="1058" max="1058" width="10.77734375" style="9" customWidth="1"/>
    <col min="1059" max="1059" width="11.44140625" style="9" customWidth="1"/>
    <col min="1060" max="1060" width="4" style="9" customWidth="1"/>
    <col min="1061" max="1251" width="9.6640625" style="9"/>
    <col min="1252" max="1252" width="6.44140625" style="9" customWidth="1"/>
    <col min="1253" max="1253" width="13.88671875" style="9" customWidth="1"/>
    <col min="1254" max="1254" width="14.33203125" style="9" customWidth="1"/>
    <col min="1255" max="1271" width="9.6640625" style="9"/>
    <col min="1272" max="1272" width="12" style="9" customWidth="1"/>
    <col min="1273" max="1273" width="12.77734375" style="9" customWidth="1"/>
    <col min="1274" max="1274" width="11.109375" style="9" customWidth="1"/>
    <col min="1275" max="1275" width="12" style="9" customWidth="1"/>
    <col min="1276" max="1276" width="9.6640625" style="9"/>
    <col min="1277" max="1277" width="15.33203125" style="9" customWidth="1"/>
    <col min="1278" max="1278" width="15.21875" style="9" customWidth="1"/>
    <col min="1279" max="1279" width="21.44140625" style="9" customWidth="1"/>
    <col min="1280" max="1295" width="9.6640625" style="9"/>
    <col min="1296" max="1297" width="13.44140625" style="9" customWidth="1"/>
    <col min="1298" max="1298" width="9.6640625" style="9"/>
    <col min="1299" max="1299" width="13.88671875" style="9" customWidth="1"/>
    <col min="1300" max="1300" width="10.6640625" style="9" customWidth="1"/>
    <col min="1301" max="1301" width="17.33203125" style="9" customWidth="1"/>
    <col min="1302" max="1303" width="12.6640625" style="9" customWidth="1"/>
    <col min="1304" max="1304" width="11.21875" style="9" customWidth="1"/>
    <col min="1305" max="1305" width="18.33203125" style="9" customWidth="1"/>
    <col min="1306" max="1306" width="12.88671875" style="9" customWidth="1"/>
    <col min="1307" max="1308" width="13.21875" style="9" customWidth="1"/>
    <col min="1309" max="1309" width="10.88671875" style="9" customWidth="1"/>
    <col min="1310" max="1310" width="11.109375" style="9" customWidth="1"/>
    <col min="1311" max="1311" width="15.21875" style="9" customWidth="1"/>
    <col min="1312" max="1312" width="9.6640625" style="9"/>
    <col min="1313" max="1313" width="11" style="9" customWidth="1"/>
    <col min="1314" max="1314" width="10.77734375" style="9" customWidth="1"/>
    <col min="1315" max="1315" width="11.44140625" style="9" customWidth="1"/>
    <col min="1316" max="1316" width="4" style="9" customWidth="1"/>
    <col min="1317" max="1507" width="9.6640625" style="9"/>
    <col min="1508" max="1508" width="6.44140625" style="9" customWidth="1"/>
    <col min="1509" max="1509" width="13.88671875" style="9" customWidth="1"/>
    <col min="1510" max="1510" width="14.33203125" style="9" customWidth="1"/>
    <col min="1511" max="1527" width="9.6640625" style="9"/>
    <col min="1528" max="1528" width="12" style="9" customWidth="1"/>
    <col min="1529" max="1529" width="12.77734375" style="9" customWidth="1"/>
    <col min="1530" max="1530" width="11.109375" style="9" customWidth="1"/>
    <col min="1531" max="1531" width="12" style="9" customWidth="1"/>
    <col min="1532" max="1532" width="9.6640625" style="9"/>
    <col min="1533" max="1533" width="15.33203125" style="9" customWidth="1"/>
    <col min="1534" max="1534" width="15.21875" style="9" customWidth="1"/>
    <col min="1535" max="1535" width="21.44140625" style="9" customWidth="1"/>
    <col min="1536" max="1551" width="9.6640625" style="9"/>
    <col min="1552" max="1553" width="13.44140625" style="9" customWidth="1"/>
    <col min="1554" max="1554" width="9.6640625" style="9"/>
    <col min="1555" max="1555" width="13.88671875" style="9" customWidth="1"/>
    <col min="1556" max="1556" width="10.6640625" style="9" customWidth="1"/>
    <col min="1557" max="1557" width="17.33203125" style="9" customWidth="1"/>
    <col min="1558" max="1559" width="12.6640625" style="9" customWidth="1"/>
    <col min="1560" max="1560" width="11.21875" style="9" customWidth="1"/>
    <col min="1561" max="1561" width="18.33203125" style="9" customWidth="1"/>
    <col min="1562" max="1562" width="12.88671875" style="9" customWidth="1"/>
    <col min="1563" max="1564" width="13.21875" style="9" customWidth="1"/>
    <col min="1565" max="1565" width="10.88671875" style="9" customWidth="1"/>
    <col min="1566" max="1566" width="11.109375" style="9" customWidth="1"/>
    <col min="1567" max="1567" width="15.21875" style="9" customWidth="1"/>
    <col min="1568" max="1568" width="9.6640625" style="9"/>
    <col min="1569" max="1569" width="11" style="9" customWidth="1"/>
    <col min="1570" max="1570" width="10.77734375" style="9" customWidth="1"/>
    <col min="1571" max="1571" width="11.44140625" style="9" customWidth="1"/>
    <col min="1572" max="1572" width="4" style="9" customWidth="1"/>
    <col min="1573" max="1763" width="9.6640625" style="9"/>
    <col min="1764" max="1764" width="6.44140625" style="9" customWidth="1"/>
    <col min="1765" max="1765" width="13.88671875" style="9" customWidth="1"/>
    <col min="1766" max="1766" width="14.33203125" style="9" customWidth="1"/>
    <col min="1767" max="1783" width="9.6640625" style="9"/>
    <col min="1784" max="1784" width="12" style="9" customWidth="1"/>
    <col min="1785" max="1785" width="12.77734375" style="9" customWidth="1"/>
    <col min="1786" max="1786" width="11.109375" style="9" customWidth="1"/>
    <col min="1787" max="1787" width="12" style="9" customWidth="1"/>
    <col min="1788" max="1788" width="9.6640625" style="9"/>
    <col min="1789" max="1789" width="15.33203125" style="9" customWidth="1"/>
    <col min="1790" max="1790" width="15.21875" style="9" customWidth="1"/>
    <col min="1791" max="1791" width="21.44140625" style="9" customWidth="1"/>
    <col min="1792" max="1807" width="9.6640625" style="9"/>
    <col min="1808" max="1809" width="13.44140625" style="9" customWidth="1"/>
    <col min="1810" max="1810" width="9.6640625" style="9"/>
    <col min="1811" max="1811" width="13.88671875" style="9" customWidth="1"/>
    <col min="1812" max="1812" width="10.6640625" style="9" customWidth="1"/>
    <col min="1813" max="1813" width="17.33203125" style="9" customWidth="1"/>
    <col min="1814" max="1815" width="12.6640625" style="9" customWidth="1"/>
    <col min="1816" max="1816" width="11.21875" style="9" customWidth="1"/>
    <col min="1817" max="1817" width="18.33203125" style="9" customWidth="1"/>
    <col min="1818" max="1818" width="12.88671875" style="9" customWidth="1"/>
    <col min="1819" max="1820" width="13.21875" style="9" customWidth="1"/>
    <col min="1821" max="1821" width="10.88671875" style="9" customWidth="1"/>
    <col min="1822" max="1822" width="11.109375" style="9" customWidth="1"/>
    <col min="1823" max="1823" width="15.21875" style="9" customWidth="1"/>
    <col min="1824" max="1824" width="9.6640625" style="9"/>
    <col min="1825" max="1825" width="11" style="9" customWidth="1"/>
    <col min="1826" max="1826" width="10.77734375" style="9" customWidth="1"/>
    <col min="1827" max="1827" width="11.44140625" style="9" customWidth="1"/>
    <col min="1828" max="1828" width="4" style="9" customWidth="1"/>
    <col min="1829" max="2019" width="9.6640625" style="9"/>
    <col min="2020" max="2020" width="6.44140625" style="9" customWidth="1"/>
    <col min="2021" max="2021" width="13.88671875" style="9" customWidth="1"/>
    <col min="2022" max="2022" width="14.33203125" style="9" customWidth="1"/>
    <col min="2023" max="2039" width="9.6640625" style="9"/>
    <col min="2040" max="2040" width="12" style="9" customWidth="1"/>
    <col min="2041" max="2041" width="12.77734375" style="9" customWidth="1"/>
    <col min="2042" max="2042" width="11.109375" style="9" customWidth="1"/>
    <col min="2043" max="2043" width="12" style="9" customWidth="1"/>
    <col min="2044" max="2044" width="9.6640625" style="9"/>
    <col min="2045" max="2045" width="15.33203125" style="9" customWidth="1"/>
    <col min="2046" max="2046" width="15.21875" style="9" customWidth="1"/>
    <col min="2047" max="2047" width="21.44140625" style="9" customWidth="1"/>
    <col min="2048" max="2063" width="9.6640625" style="9"/>
    <col min="2064" max="2065" width="13.44140625" style="9" customWidth="1"/>
    <col min="2066" max="2066" width="9.6640625" style="9"/>
    <col min="2067" max="2067" width="13.88671875" style="9" customWidth="1"/>
    <col min="2068" max="2068" width="10.6640625" style="9" customWidth="1"/>
    <col min="2069" max="2069" width="17.33203125" style="9" customWidth="1"/>
    <col min="2070" max="2071" width="12.6640625" style="9" customWidth="1"/>
    <col min="2072" max="2072" width="11.21875" style="9" customWidth="1"/>
    <col min="2073" max="2073" width="18.33203125" style="9" customWidth="1"/>
    <col min="2074" max="2074" width="12.88671875" style="9" customWidth="1"/>
    <col min="2075" max="2076" width="13.21875" style="9" customWidth="1"/>
    <col min="2077" max="2077" width="10.88671875" style="9" customWidth="1"/>
    <col min="2078" max="2078" width="11.109375" style="9" customWidth="1"/>
    <col min="2079" max="2079" width="15.21875" style="9" customWidth="1"/>
    <col min="2080" max="2080" width="9.6640625" style="9"/>
    <col min="2081" max="2081" width="11" style="9" customWidth="1"/>
    <col min="2082" max="2082" width="10.77734375" style="9" customWidth="1"/>
    <col min="2083" max="2083" width="11.44140625" style="9" customWidth="1"/>
    <col min="2084" max="2084" width="4" style="9" customWidth="1"/>
    <col min="2085" max="2275" width="9.6640625" style="9"/>
    <col min="2276" max="2276" width="6.44140625" style="9" customWidth="1"/>
    <col min="2277" max="2277" width="13.88671875" style="9" customWidth="1"/>
    <col min="2278" max="2278" width="14.33203125" style="9" customWidth="1"/>
    <col min="2279" max="2295" width="9.6640625" style="9"/>
    <col min="2296" max="2296" width="12" style="9" customWidth="1"/>
    <col min="2297" max="2297" width="12.77734375" style="9" customWidth="1"/>
    <col min="2298" max="2298" width="11.109375" style="9" customWidth="1"/>
    <col min="2299" max="2299" width="12" style="9" customWidth="1"/>
    <col min="2300" max="2300" width="9.6640625" style="9"/>
    <col min="2301" max="2301" width="15.33203125" style="9" customWidth="1"/>
    <col min="2302" max="2302" width="15.21875" style="9" customWidth="1"/>
    <col min="2303" max="2303" width="21.44140625" style="9" customWidth="1"/>
    <col min="2304" max="2319" width="9.6640625" style="9"/>
    <col min="2320" max="2321" width="13.44140625" style="9" customWidth="1"/>
    <col min="2322" max="2322" width="9.6640625" style="9"/>
    <col min="2323" max="2323" width="13.88671875" style="9" customWidth="1"/>
    <col min="2324" max="2324" width="10.6640625" style="9" customWidth="1"/>
    <col min="2325" max="2325" width="17.33203125" style="9" customWidth="1"/>
    <col min="2326" max="2327" width="12.6640625" style="9" customWidth="1"/>
    <col min="2328" max="2328" width="11.21875" style="9" customWidth="1"/>
    <col min="2329" max="2329" width="18.33203125" style="9" customWidth="1"/>
    <col min="2330" max="2330" width="12.88671875" style="9" customWidth="1"/>
    <col min="2331" max="2332" width="13.21875" style="9" customWidth="1"/>
    <col min="2333" max="2333" width="10.88671875" style="9" customWidth="1"/>
    <col min="2334" max="2334" width="11.109375" style="9" customWidth="1"/>
    <col min="2335" max="2335" width="15.21875" style="9" customWidth="1"/>
    <col min="2336" max="2336" width="9.6640625" style="9"/>
    <col min="2337" max="2337" width="11" style="9" customWidth="1"/>
    <col min="2338" max="2338" width="10.77734375" style="9" customWidth="1"/>
    <col min="2339" max="2339" width="11.44140625" style="9" customWidth="1"/>
    <col min="2340" max="2340" width="4" style="9" customWidth="1"/>
    <col min="2341" max="2531" width="9.6640625" style="9"/>
    <col min="2532" max="2532" width="6.44140625" style="9" customWidth="1"/>
    <col min="2533" max="2533" width="13.88671875" style="9" customWidth="1"/>
    <col min="2534" max="2534" width="14.33203125" style="9" customWidth="1"/>
    <col min="2535" max="2551" width="9.6640625" style="9"/>
    <col min="2552" max="2552" width="12" style="9" customWidth="1"/>
    <col min="2553" max="2553" width="12.77734375" style="9" customWidth="1"/>
    <col min="2554" max="2554" width="11.109375" style="9" customWidth="1"/>
    <col min="2555" max="2555" width="12" style="9" customWidth="1"/>
    <col min="2556" max="2556" width="9.6640625" style="9"/>
    <col min="2557" max="2557" width="15.33203125" style="9" customWidth="1"/>
    <col min="2558" max="2558" width="15.21875" style="9" customWidth="1"/>
    <col min="2559" max="2559" width="21.44140625" style="9" customWidth="1"/>
    <col min="2560" max="2575" width="9.6640625" style="9"/>
    <col min="2576" max="2577" width="13.44140625" style="9" customWidth="1"/>
    <col min="2578" max="2578" width="9.6640625" style="9"/>
    <col min="2579" max="2579" width="13.88671875" style="9" customWidth="1"/>
    <col min="2580" max="2580" width="10.6640625" style="9" customWidth="1"/>
    <col min="2581" max="2581" width="17.33203125" style="9" customWidth="1"/>
    <col min="2582" max="2583" width="12.6640625" style="9" customWidth="1"/>
    <col min="2584" max="2584" width="11.21875" style="9" customWidth="1"/>
    <col min="2585" max="2585" width="18.33203125" style="9" customWidth="1"/>
    <col min="2586" max="2586" width="12.88671875" style="9" customWidth="1"/>
    <col min="2587" max="2588" width="13.21875" style="9" customWidth="1"/>
    <col min="2589" max="2589" width="10.88671875" style="9" customWidth="1"/>
    <col min="2590" max="2590" width="11.109375" style="9" customWidth="1"/>
    <col min="2591" max="2591" width="15.21875" style="9" customWidth="1"/>
    <col min="2592" max="2592" width="9.6640625" style="9"/>
    <col min="2593" max="2593" width="11" style="9" customWidth="1"/>
    <col min="2594" max="2594" width="10.77734375" style="9" customWidth="1"/>
    <col min="2595" max="2595" width="11.44140625" style="9" customWidth="1"/>
    <col min="2596" max="2596" width="4" style="9" customWidth="1"/>
    <col min="2597" max="2787" width="9.6640625" style="9"/>
    <col min="2788" max="2788" width="6.44140625" style="9" customWidth="1"/>
    <col min="2789" max="2789" width="13.88671875" style="9" customWidth="1"/>
    <col min="2790" max="2790" width="14.33203125" style="9" customWidth="1"/>
    <col min="2791" max="2807" width="9.6640625" style="9"/>
    <col min="2808" max="2808" width="12" style="9" customWidth="1"/>
    <col min="2809" max="2809" width="12.77734375" style="9" customWidth="1"/>
    <col min="2810" max="2810" width="11.109375" style="9" customWidth="1"/>
    <col min="2811" max="2811" width="12" style="9" customWidth="1"/>
    <col min="2812" max="2812" width="9.6640625" style="9"/>
    <col min="2813" max="2813" width="15.33203125" style="9" customWidth="1"/>
    <col min="2814" max="2814" width="15.21875" style="9" customWidth="1"/>
    <col min="2815" max="2815" width="21.44140625" style="9" customWidth="1"/>
    <col min="2816" max="2831" width="9.6640625" style="9"/>
    <col min="2832" max="2833" width="13.44140625" style="9" customWidth="1"/>
    <col min="2834" max="2834" width="9.6640625" style="9"/>
    <col min="2835" max="2835" width="13.88671875" style="9" customWidth="1"/>
    <col min="2836" max="2836" width="10.6640625" style="9" customWidth="1"/>
    <col min="2837" max="2837" width="17.33203125" style="9" customWidth="1"/>
    <col min="2838" max="2839" width="12.6640625" style="9" customWidth="1"/>
    <col min="2840" max="2840" width="11.21875" style="9" customWidth="1"/>
    <col min="2841" max="2841" width="18.33203125" style="9" customWidth="1"/>
    <col min="2842" max="2842" width="12.88671875" style="9" customWidth="1"/>
    <col min="2843" max="2844" width="13.21875" style="9" customWidth="1"/>
    <col min="2845" max="2845" width="10.88671875" style="9" customWidth="1"/>
    <col min="2846" max="2846" width="11.109375" style="9" customWidth="1"/>
    <col min="2847" max="2847" width="15.21875" style="9" customWidth="1"/>
    <col min="2848" max="2848" width="9.6640625" style="9"/>
    <col min="2849" max="2849" width="11" style="9" customWidth="1"/>
    <col min="2850" max="2850" width="10.77734375" style="9" customWidth="1"/>
    <col min="2851" max="2851" width="11.44140625" style="9" customWidth="1"/>
    <col min="2852" max="2852" width="4" style="9" customWidth="1"/>
    <col min="2853" max="3043" width="9.6640625" style="9"/>
    <col min="3044" max="3044" width="6.44140625" style="9" customWidth="1"/>
    <col min="3045" max="3045" width="13.88671875" style="9" customWidth="1"/>
    <col min="3046" max="3046" width="14.33203125" style="9" customWidth="1"/>
    <col min="3047" max="3063" width="9.6640625" style="9"/>
    <col min="3064" max="3064" width="12" style="9" customWidth="1"/>
    <col min="3065" max="3065" width="12.77734375" style="9" customWidth="1"/>
    <col min="3066" max="3066" width="11.109375" style="9" customWidth="1"/>
    <col min="3067" max="3067" width="12" style="9" customWidth="1"/>
    <col min="3068" max="3068" width="9.6640625" style="9"/>
    <col min="3069" max="3069" width="15.33203125" style="9" customWidth="1"/>
    <col min="3070" max="3070" width="15.21875" style="9" customWidth="1"/>
    <col min="3071" max="3071" width="21.44140625" style="9" customWidth="1"/>
    <col min="3072" max="3087" width="9.6640625" style="9"/>
    <col min="3088" max="3089" width="13.44140625" style="9" customWidth="1"/>
    <col min="3090" max="3090" width="9.6640625" style="9"/>
    <col min="3091" max="3091" width="13.88671875" style="9" customWidth="1"/>
    <col min="3092" max="3092" width="10.6640625" style="9" customWidth="1"/>
    <col min="3093" max="3093" width="17.33203125" style="9" customWidth="1"/>
    <col min="3094" max="3095" width="12.6640625" style="9" customWidth="1"/>
    <col min="3096" max="3096" width="11.21875" style="9" customWidth="1"/>
    <col min="3097" max="3097" width="18.33203125" style="9" customWidth="1"/>
    <col min="3098" max="3098" width="12.88671875" style="9" customWidth="1"/>
    <col min="3099" max="3100" width="13.21875" style="9" customWidth="1"/>
    <col min="3101" max="3101" width="10.88671875" style="9" customWidth="1"/>
    <col min="3102" max="3102" width="11.109375" style="9" customWidth="1"/>
    <col min="3103" max="3103" width="15.21875" style="9" customWidth="1"/>
    <col min="3104" max="3104" width="9.6640625" style="9"/>
    <col min="3105" max="3105" width="11" style="9" customWidth="1"/>
    <col min="3106" max="3106" width="10.77734375" style="9" customWidth="1"/>
    <col min="3107" max="3107" width="11.44140625" style="9" customWidth="1"/>
    <col min="3108" max="3108" width="4" style="9" customWidth="1"/>
    <col min="3109" max="3299" width="9.6640625" style="9"/>
    <col min="3300" max="3300" width="6.44140625" style="9" customWidth="1"/>
    <col min="3301" max="3301" width="13.88671875" style="9" customWidth="1"/>
    <col min="3302" max="3302" width="14.33203125" style="9" customWidth="1"/>
    <col min="3303" max="3319" width="9.6640625" style="9"/>
    <col min="3320" max="3320" width="12" style="9" customWidth="1"/>
    <col min="3321" max="3321" width="12.77734375" style="9" customWidth="1"/>
    <col min="3322" max="3322" width="11.109375" style="9" customWidth="1"/>
    <col min="3323" max="3323" width="12" style="9" customWidth="1"/>
    <col min="3324" max="3324" width="9.6640625" style="9"/>
    <col min="3325" max="3325" width="15.33203125" style="9" customWidth="1"/>
    <col min="3326" max="3326" width="15.21875" style="9" customWidth="1"/>
    <col min="3327" max="3327" width="21.44140625" style="9" customWidth="1"/>
    <col min="3328" max="3343" width="9.6640625" style="9"/>
    <col min="3344" max="3345" width="13.44140625" style="9" customWidth="1"/>
    <col min="3346" max="3346" width="9.6640625" style="9"/>
    <col min="3347" max="3347" width="13.88671875" style="9" customWidth="1"/>
    <col min="3348" max="3348" width="10.6640625" style="9" customWidth="1"/>
    <col min="3349" max="3349" width="17.33203125" style="9" customWidth="1"/>
    <col min="3350" max="3351" width="12.6640625" style="9" customWidth="1"/>
    <col min="3352" max="3352" width="11.21875" style="9" customWidth="1"/>
    <col min="3353" max="3353" width="18.33203125" style="9" customWidth="1"/>
    <col min="3354" max="3354" width="12.88671875" style="9" customWidth="1"/>
    <col min="3355" max="3356" width="13.21875" style="9" customWidth="1"/>
    <col min="3357" max="3357" width="10.88671875" style="9" customWidth="1"/>
    <col min="3358" max="3358" width="11.109375" style="9" customWidth="1"/>
    <col min="3359" max="3359" width="15.21875" style="9" customWidth="1"/>
    <col min="3360" max="3360" width="9.6640625" style="9"/>
    <col min="3361" max="3361" width="11" style="9" customWidth="1"/>
    <col min="3362" max="3362" width="10.77734375" style="9" customWidth="1"/>
    <col min="3363" max="3363" width="11.44140625" style="9" customWidth="1"/>
    <col min="3364" max="3364" width="4" style="9" customWidth="1"/>
    <col min="3365" max="3555" width="9.6640625" style="9"/>
    <col min="3556" max="3556" width="6.44140625" style="9" customWidth="1"/>
    <col min="3557" max="3557" width="13.88671875" style="9" customWidth="1"/>
    <col min="3558" max="3558" width="14.33203125" style="9" customWidth="1"/>
    <col min="3559" max="3575" width="9.6640625" style="9"/>
    <col min="3576" max="3576" width="12" style="9" customWidth="1"/>
    <col min="3577" max="3577" width="12.77734375" style="9" customWidth="1"/>
    <col min="3578" max="3578" width="11.109375" style="9" customWidth="1"/>
    <col min="3579" max="3579" width="12" style="9" customWidth="1"/>
    <col min="3580" max="3580" width="9.6640625" style="9"/>
    <col min="3581" max="3581" width="15.33203125" style="9" customWidth="1"/>
    <col min="3582" max="3582" width="15.21875" style="9" customWidth="1"/>
    <col min="3583" max="3583" width="21.44140625" style="9" customWidth="1"/>
    <col min="3584" max="3599" width="9.6640625" style="9"/>
    <col min="3600" max="3601" width="13.44140625" style="9" customWidth="1"/>
    <col min="3602" max="3602" width="9.6640625" style="9"/>
    <col min="3603" max="3603" width="13.88671875" style="9" customWidth="1"/>
    <col min="3604" max="3604" width="10.6640625" style="9" customWidth="1"/>
    <col min="3605" max="3605" width="17.33203125" style="9" customWidth="1"/>
    <col min="3606" max="3607" width="12.6640625" style="9" customWidth="1"/>
    <col min="3608" max="3608" width="11.21875" style="9" customWidth="1"/>
    <col min="3609" max="3609" width="18.33203125" style="9" customWidth="1"/>
    <col min="3610" max="3610" width="12.88671875" style="9" customWidth="1"/>
    <col min="3611" max="3612" width="13.21875" style="9" customWidth="1"/>
    <col min="3613" max="3613" width="10.88671875" style="9" customWidth="1"/>
    <col min="3614" max="3614" width="11.109375" style="9" customWidth="1"/>
    <col min="3615" max="3615" width="15.21875" style="9" customWidth="1"/>
    <col min="3616" max="3616" width="9.6640625" style="9"/>
    <col min="3617" max="3617" width="11" style="9" customWidth="1"/>
    <col min="3618" max="3618" width="10.77734375" style="9" customWidth="1"/>
    <col min="3619" max="3619" width="11.44140625" style="9" customWidth="1"/>
    <col min="3620" max="3620" width="4" style="9" customWidth="1"/>
    <col min="3621" max="3811" width="9.6640625" style="9"/>
    <col min="3812" max="3812" width="6.44140625" style="9" customWidth="1"/>
    <col min="3813" max="3813" width="13.88671875" style="9" customWidth="1"/>
    <col min="3814" max="3814" width="14.33203125" style="9" customWidth="1"/>
    <col min="3815" max="3831" width="9.6640625" style="9"/>
    <col min="3832" max="3832" width="12" style="9" customWidth="1"/>
    <col min="3833" max="3833" width="12.77734375" style="9" customWidth="1"/>
    <col min="3834" max="3834" width="11.109375" style="9" customWidth="1"/>
    <col min="3835" max="3835" width="12" style="9" customWidth="1"/>
    <col min="3836" max="3836" width="9.6640625" style="9"/>
    <col min="3837" max="3837" width="15.33203125" style="9" customWidth="1"/>
    <col min="3838" max="3838" width="15.21875" style="9" customWidth="1"/>
    <col min="3839" max="3839" width="21.44140625" style="9" customWidth="1"/>
    <col min="3840" max="3855" width="9.6640625" style="9"/>
    <col min="3856" max="3857" width="13.44140625" style="9" customWidth="1"/>
    <col min="3858" max="3858" width="9.6640625" style="9"/>
    <col min="3859" max="3859" width="13.88671875" style="9" customWidth="1"/>
    <col min="3860" max="3860" width="10.6640625" style="9" customWidth="1"/>
    <col min="3861" max="3861" width="17.33203125" style="9" customWidth="1"/>
    <col min="3862" max="3863" width="12.6640625" style="9" customWidth="1"/>
    <col min="3864" max="3864" width="11.21875" style="9" customWidth="1"/>
    <col min="3865" max="3865" width="18.33203125" style="9" customWidth="1"/>
    <col min="3866" max="3866" width="12.88671875" style="9" customWidth="1"/>
    <col min="3867" max="3868" width="13.21875" style="9" customWidth="1"/>
    <col min="3869" max="3869" width="10.88671875" style="9" customWidth="1"/>
    <col min="3870" max="3870" width="11.109375" style="9" customWidth="1"/>
    <col min="3871" max="3871" width="15.21875" style="9" customWidth="1"/>
    <col min="3872" max="3872" width="9.6640625" style="9"/>
    <col min="3873" max="3873" width="11" style="9" customWidth="1"/>
    <col min="3874" max="3874" width="10.77734375" style="9" customWidth="1"/>
    <col min="3875" max="3875" width="11.44140625" style="9" customWidth="1"/>
    <col min="3876" max="3876" width="4" style="9" customWidth="1"/>
    <col min="3877" max="4067" width="9.6640625" style="9"/>
    <col min="4068" max="4068" width="6.44140625" style="9" customWidth="1"/>
    <col min="4069" max="4069" width="13.88671875" style="9" customWidth="1"/>
    <col min="4070" max="4070" width="14.33203125" style="9" customWidth="1"/>
    <col min="4071" max="4087" width="9.6640625" style="9"/>
    <col min="4088" max="4088" width="12" style="9" customWidth="1"/>
    <col min="4089" max="4089" width="12.77734375" style="9" customWidth="1"/>
    <col min="4090" max="4090" width="11.109375" style="9" customWidth="1"/>
    <col min="4091" max="4091" width="12" style="9" customWidth="1"/>
    <col min="4092" max="4092" width="9.6640625" style="9"/>
    <col min="4093" max="4093" width="15.33203125" style="9" customWidth="1"/>
    <col min="4094" max="4094" width="15.21875" style="9" customWidth="1"/>
    <col min="4095" max="4095" width="21.44140625" style="9" customWidth="1"/>
    <col min="4096" max="4111" width="9.6640625" style="9"/>
    <col min="4112" max="4113" width="13.44140625" style="9" customWidth="1"/>
    <col min="4114" max="4114" width="9.6640625" style="9"/>
    <col min="4115" max="4115" width="13.88671875" style="9" customWidth="1"/>
    <col min="4116" max="4116" width="10.6640625" style="9" customWidth="1"/>
    <col min="4117" max="4117" width="17.33203125" style="9" customWidth="1"/>
    <col min="4118" max="4119" width="12.6640625" style="9" customWidth="1"/>
    <col min="4120" max="4120" width="11.21875" style="9" customWidth="1"/>
    <col min="4121" max="4121" width="18.33203125" style="9" customWidth="1"/>
    <col min="4122" max="4122" width="12.88671875" style="9" customWidth="1"/>
    <col min="4123" max="4124" width="13.21875" style="9" customWidth="1"/>
    <col min="4125" max="4125" width="10.88671875" style="9" customWidth="1"/>
    <col min="4126" max="4126" width="11.109375" style="9" customWidth="1"/>
    <col min="4127" max="4127" width="15.21875" style="9" customWidth="1"/>
    <col min="4128" max="4128" width="9.6640625" style="9"/>
    <col min="4129" max="4129" width="11" style="9" customWidth="1"/>
    <col min="4130" max="4130" width="10.77734375" style="9" customWidth="1"/>
    <col min="4131" max="4131" width="11.44140625" style="9" customWidth="1"/>
    <col min="4132" max="4132" width="4" style="9" customWidth="1"/>
    <col min="4133" max="4323" width="9.6640625" style="9"/>
    <col min="4324" max="4324" width="6.44140625" style="9" customWidth="1"/>
    <col min="4325" max="4325" width="13.88671875" style="9" customWidth="1"/>
    <col min="4326" max="4326" width="14.33203125" style="9" customWidth="1"/>
    <col min="4327" max="4343" width="9.6640625" style="9"/>
    <col min="4344" max="4344" width="12" style="9" customWidth="1"/>
    <col min="4345" max="4345" width="12.77734375" style="9" customWidth="1"/>
    <col min="4346" max="4346" width="11.109375" style="9" customWidth="1"/>
    <col min="4347" max="4347" width="12" style="9" customWidth="1"/>
    <col min="4348" max="4348" width="9.6640625" style="9"/>
    <col min="4349" max="4349" width="15.33203125" style="9" customWidth="1"/>
    <col min="4350" max="4350" width="15.21875" style="9" customWidth="1"/>
    <col min="4351" max="4351" width="21.44140625" style="9" customWidth="1"/>
    <col min="4352" max="4367" width="9.6640625" style="9"/>
    <col min="4368" max="4369" width="13.44140625" style="9" customWidth="1"/>
    <col min="4370" max="4370" width="9.6640625" style="9"/>
    <col min="4371" max="4371" width="13.88671875" style="9" customWidth="1"/>
    <col min="4372" max="4372" width="10.6640625" style="9" customWidth="1"/>
    <col min="4373" max="4373" width="17.33203125" style="9" customWidth="1"/>
    <col min="4374" max="4375" width="12.6640625" style="9" customWidth="1"/>
    <col min="4376" max="4376" width="11.21875" style="9" customWidth="1"/>
    <col min="4377" max="4377" width="18.33203125" style="9" customWidth="1"/>
    <col min="4378" max="4378" width="12.88671875" style="9" customWidth="1"/>
    <col min="4379" max="4380" width="13.21875" style="9" customWidth="1"/>
    <col min="4381" max="4381" width="10.88671875" style="9" customWidth="1"/>
    <col min="4382" max="4382" width="11.109375" style="9" customWidth="1"/>
    <col min="4383" max="4383" width="15.21875" style="9" customWidth="1"/>
    <col min="4384" max="4384" width="9.6640625" style="9"/>
    <col min="4385" max="4385" width="11" style="9" customWidth="1"/>
    <col min="4386" max="4386" width="10.77734375" style="9" customWidth="1"/>
    <col min="4387" max="4387" width="11.44140625" style="9" customWidth="1"/>
    <col min="4388" max="4388" width="4" style="9" customWidth="1"/>
    <col min="4389" max="4579" width="9.6640625" style="9"/>
    <col min="4580" max="4580" width="6.44140625" style="9" customWidth="1"/>
    <col min="4581" max="4581" width="13.88671875" style="9" customWidth="1"/>
    <col min="4582" max="4582" width="14.33203125" style="9" customWidth="1"/>
    <col min="4583" max="4599" width="9.6640625" style="9"/>
    <col min="4600" max="4600" width="12" style="9" customWidth="1"/>
    <col min="4601" max="4601" width="12.77734375" style="9" customWidth="1"/>
    <col min="4602" max="4602" width="11.109375" style="9" customWidth="1"/>
    <col min="4603" max="4603" width="12" style="9" customWidth="1"/>
    <col min="4604" max="4604" width="9.6640625" style="9"/>
    <col min="4605" max="4605" width="15.33203125" style="9" customWidth="1"/>
    <col min="4606" max="4606" width="15.21875" style="9" customWidth="1"/>
    <col min="4607" max="4607" width="21.44140625" style="9" customWidth="1"/>
    <col min="4608" max="4623" width="9.6640625" style="9"/>
    <col min="4624" max="4625" width="13.44140625" style="9" customWidth="1"/>
    <col min="4626" max="4626" width="9.6640625" style="9"/>
    <col min="4627" max="4627" width="13.88671875" style="9" customWidth="1"/>
    <col min="4628" max="4628" width="10.6640625" style="9" customWidth="1"/>
    <col min="4629" max="4629" width="17.33203125" style="9" customWidth="1"/>
    <col min="4630" max="4631" width="12.6640625" style="9" customWidth="1"/>
    <col min="4632" max="4632" width="11.21875" style="9" customWidth="1"/>
    <col min="4633" max="4633" width="18.33203125" style="9" customWidth="1"/>
    <col min="4634" max="4634" width="12.88671875" style="9" customWidth="1"/>
    <col min="4635" max="4636" width="13.21875" style="9" customWidth="1"/>
    <col min="4637" max="4637" width="10.88671875" style="9" customWidth="1"/>
    <col min="4638" max="4638" width="11.109375" style="9" customWidth="1"/>
    <col min="4639" max="4639" width="15.21875" style="9" customWidth="1"/>
    <col min="4640" max="4640" width="9.6640625" style="9"/>
    <col min="4641" max="4641" width="11" style="9" customWidth="1"/>
    <col min="4642" max="4642" width="10.77734375" style="9" customWidth="1"/>
    <col min="4643" max="4643" width="11.44140625" style="9" customWidth="1"/>
    <col min="4644" max="4644" width="4" style="9" customWidth="1"/>
    <col min="4645" max="4835" width="9.6640625" style="9"/>
    <col min="4836" max="4836" width="6.44140625" style="9" customWidth="1"/>
    <col min="4837" max="4837" width="13.88671875" style="9" customWidth="1"/>
    <col min="4838" max="4838" width="14.33203125" style="9" customWidth="1"/>
    <col min="4839" max="4855" width="9.6640625" style="9"/>
    <col min="4856" max="4856" width="12" style="9" customWidth="1"/>
    <col min="4857" max="4857" width="12.77734375" style="9" customWidth="1"/>
    <col min="4858" max="4858" width="11.109375" style="9" customWidth="1"/>
    <col min="4859" max="4859" width="12" style="9" customWidth="1"/>
    <col min="4860" max="4860" width="9.6640625" style="9"/>
    <col min="4861" max="4861" width="15.33203125" style="9" customWidth="1"/>
    <col min="4862" max="4862" width="15.21875" style="9" customWidth="1"/>
    <col min="4863" max="4863" width="21.44140625" style="9" customWidth="1"/>
    <col min="4864" max="4879" width="9.6640625" style="9"/>
    <col min="4880" max="4881" width="13.44140625" style="9" customWidth="1"/>
    <col min="4882" max="4882" width="9.6640625" style="9"/>
    <col min="4883" max="4883" width="13.88671875" style="9" customWidth="1"/>
    <col min="4884" max="4884" width="10.6640625" style="9" customWidth="1"/>
    <col min="4885" max="4885" width="17.33203125" style="9" customWidth="1"/>
    <col min="4886" max="4887" width="12.6640625" style="9" customWidth="1"/>
    <col min="4888" max="4888" width="11.21875" style="9" customWidth="1"/>
    <col min="4889" max="4889" width="18.33203125" style="9" customWidth="1"/>
    <col min="4890" max="4890" width="12.88671875" style="9" customWidth="1"/>
    <col min="4891" max="4892" width="13.21875" style="9" customWidth="1"/>
    <col min="4893" max="4893" width="10.88671875" style="9" customWidth="1"/>
    <col min="4894" max="4894" width="11.109375" style="9" customWidth="1"/>
    <col min="4895" max="4895" width="15.21875" style="9" customWidth="1"/>
    <col min="4896" max="4896" width="9.6640625" style="9"/>
    <col min="4897" max="4897" width="11" style="9" customWidth="1"/>
    <col min="4898" max="4898" width="10.77734375" style="9" customWidth="1"/>
    <col min="4899" max="4899" width="11.44140625" style="9" customWidth="1"/>
    <col min="4900" max="4900" width="4" style="9" customWidth="1"/>
    <col min="4901" max="5091" width="9.6640625" style="9"/>
    <col min="5092" max="5092" width="6.44140625" style="9" customWidth="1"/>
    <col min="5093" max="5093" width="13.88671875" style="9" customWidth="1"/>
    <col min="5094" max="5094" width="14.33203125" style="9" customWidth="1"/>
    <col min="5095" max="5111" width="9.6640625" style="9"/>
    <col min="5112" max="5112" width="12" style="9" customWidth="1"/>
    <col min="5113" max="5113" width="12.77734375" style="9" customWidth="1"/>
    <col min="5114" max="5114" width="11.109375" style="9" customWidth="1"/>
    <col min="5115" max="5115" width="12" style="9" customWidth="1"/>
    <col min="5116" max="5116" width="9.6640625" style="9"/>
    <col min="5117" max="5117" width="15.33203125" style="9" customWidth="1"/>
    <col min="5118" max="5118" width="15.21875" style="9" customWidth="1"/>
    <col min="5119" max="5119" width="21.44140625" style="9" customWidth="1"/>
    <col min="5120" max="5135" width="9.6640625" style="9"/>
    <col min="5136" max="5137" width="13.44140625" style="9" customWidth="1"/>
    <col min="5138" max="5138" width="9.6640625" style="9"/>
    <col min="5139" max="5139" width="13.88671875" style="9" customWidth="1"/>
    <col min="5140" max="5140" width="10.6640625" style="9" customWidth="1"/>
    <col min="5141" max="5141" width="17.33203125" style="9" customWidth="1"/>
    <col min="5142" max="5143" width="12.6640625" style="9" customWidth="1"/>
    <col min="5144" max="5144" width="11.21875" style="9" customWidth="1"/>
    <col min="5145" max="5145" width="18.33203125" style="9" customWidth="1"/>
    <col min="5146" max="5146" width="12.88671875" style="9" customWidth="1"/>
    <col min="5147" max="5148" width="13.21875" style="9" customWidth="1"/>
    <col min="5149" max="5149" width="10.88671875" style="9" customWidth="1"/>
    <col min="5150" max="5150" width="11.109375" style="9" customWidth="1"/>
    <col min="5151" max="5151" width="15.21875" style="9" customWidth="1"/>
    <col min="5152" max="5152" width="9.6640625" style="9"/>
    <col min="5153" max="5153" width="11" style="9" customWidth="1"/>
    <col min="5154" max="5154" width="10.77734375" style="9" customWidth="1"/>
    <col min="5155" max="5155" width="11.44140625" style="9" customWidth="1"/>
    <col min="5156" max="5156" width="4" style="9" customWidth="1"/>
    <col min="5157" max="5347" width="9.6640625" style="9"/>
    <col min="5348" max="5348" width="6.44140625" style="9" customWidth="1"/>
    <col min="5349" max="5349" width="13.88671875" style="9" customWidth="1"/>
    <col min="5350" max="5350" width="14.33203125" style="9" customWidth="1"/>
    <col min="5351" max="5367" width="9.6640625" style="9"/>
    <col min="5368" max="5368" width="12" style="9" customWidth="1"/>
    <col min="5369" max="5369" width="12.77734375" style="9" customWidth="1"/>
    <col min="5370" max="5370" width="11.109375" style="9" customWidth="1"/>
    <col min="5371" max="5371" width="12" style="9" customWidth="1"/>
    <col min="5372" max="5372" width="9.6640625" style="9"/>
    <col min="5373" max="5373" width="15.33203125" style="9" customWidth="1"/>
    <col min="5374" max="5374" width="15.21875" style="9" customWidth="1"/>
    <col min="5375" max="5375" width="21.44140625" style="9" customWidth="1"/>
    <col min="5376" max="5391" width="9.6640625" style="9"/>
    <col min="5392" max="5393" width="13.44140625" style="9" customWidth="1"/>
    <col min="5394" max="5394" width="9.6640625" style="9"/>
    <col min="5395" max="5395" width="13.88671875" style="9" customWidth="1"/>
    <col min="5396" max="5396" width="10.6640625" style="9" customWidth="1"/>
    <col min="5397" max="5397" width="17.33203125" style="9" customWidth="1"/>
    <col min="5398" max="5399" width="12.6640625" style="9" customWidth="1"/>
    <col min="5400" max="5400" width="11.21875" style="9" customWidth="1"/>
    <col min="5401" max="5401" width="18.33203125" style="9" customWidth="1"/>
    <col min="5402" max="5402" width="12.88671875" style="9" customWidth="1"/>
    <col min="5403" max="5404" width="13.21875" style="9" customWidth="1"/>
    <col min="5405" max="5405" width="10.88671875" style="9" customWidth="1"/>
    <col min="5406" max="5406" width="11.109375" style="9" customWidth="1"/>
    <col min="5407" max="5407" width="15.21875" style="9" customWidth="1"/>
    <col min="5408" max="5408" width="9.6640625" style="9"/>
    <col min="5409" max="5409" width="11" style="9" customWidth="1"/>
    <col min="5410" max="5410" width="10.77734375" style="9" customWidth="1"/>
    <col min="5411" max="5411" width="11.44140625" style="9" customWidth="1"/>
    <col min="5412" max="5412" width="4" style="9" customWidth="1"/>
    <col min="5413" max="5603" width="9.6640625" style="9"/>
    <col min="5604" max="5604" width="6.44140625" style="9" customWidth="1"/>
    <col min="5605" max="5605" width="13.88671875" style="9" customWidth="1"/>
    <col min="5606" max="5606" width="14.33203125" style="9" customWidth="1"/>
    <col min="5607" max="5623" width="9.6640625" style="9"/>
    <col min="5624" max="5624" width="12" style="9" customWidth="1"/>
    <col min="5625" max="5625" width="12.77734375" style="9" customWidth="1"/>
    <col min="5626" max="5626" width="11.109375" style="9" customWidth="1"/>
    <col min="5627" max="5627" width="12" style="9" customWidth="1"/>
    <col min="5628" max="5628" width="9.6640625" style="9"/>
    <col min="5629" max="5629" width="15.33203125" style="9" customWidth="1"/>
    <col min="5630" max="5630" width="15.21875" style="9" customWidth="1"/>
    <col min="5631" max="5631" width="21.44140625" style="9" customWidth="1"/>
    <col min="5632" max="5647" width="9.6640625" style="9"/>
    <col min="5648" max="5649" width="13.44140625" style="9" customWidth="1"/>
    <col min="5650" max="5650" width="9.6640625" style="9"/>
    <col min="5651" max="5651" width="13.88671875" style="9" customWidth="1"/>
    <col min="5652" max="5652" width="10.6640625" style="9" customWidth="1"/>
    <col min="5653" max="5653" width="17.33203125" style="9" customWidth="1"/>
    <col min="5654" max="5655" width="12.6640625" style="9" customWidth="1"/>
    <col min="5656" max="5656" width="11.21875" style="9" customWidth="1"/>
    <col min="5657" max="5657" width="18.33203125" style="9" customWidth="1"/>
    <col min="5658" max="5658" width="12.88671875" style="9" customWidth="1"/>
    <col min="5659" max="5660" width="13.21875" style="9" customWidth="1"/>
    <col min="5661" max="5661" width="10.88671875" style="9" customWidth="1"/>
    <col min="5662" max="5662" width="11.109375" style="9" customWidth="1"/>
    <col min="5663" max="5663" width="15.21875" style="9" customWidth="1"/>
    <col min="5664" max="5664" width="9.6640625" style="9"/>
    <col min="5665" max="5665" width="11" style="9" customWidth="1"/>
    <col min="5666" max="5666" width="10.77734375" style="9" customWidth="1"/>
    <col min="5667" max="5667" width="11.44140625" style="9" customWidth="1"/>
    <col min="5668" max="5668" width="4" style="9" customWidth="1"/>
    <col min="5669" max="5859" width="9.6640625" style="9"/>
    <col min="5860" max="5860" width="6.44140625" style="9" customWidth="1"/>
    <col min="5861" max="5861" width="13.88671875" style="9" customWidth="1"/>
    <col min="5862" max="5862" width="14.33203125" style="9" customWidth="1"/>
    <col min="5863" max="5879" width="9.6640625" style="9"/>
    <col min="5880" max="5880" width="12" style="9" customWidth="1"/>
    <col min="5881" max="5881" width="12.77734375" style="9" customWidth="1"/>
    <col min="5882" max="5882" width="11.109375" style="9" customWidth="1"/>
    <col min="5883" max="5883" width="12" style="9" customWidth="1"/>
    <col min="5884" max="5884" width="9.6640625" style="9"/>
    <col min="5885" max="5885" width="15.33203125" style="9" customWidth="1"/>
    <col min="5886" max="5886" width="15.21875" style="9" customWidth="1"/>
    <col min="5887" max="5887" width="21.44140625" style="9" customWidth="1"/>
    <col min="5888" max="5903" width="9.6640625" style="9"/>
    <col min="5904" max="5905" width="13.44140625" style="9" customWidth="1"/>
    <col min="5906" max="5906" width="9.6640625" style="9"/>
    <col min="5907" max="5907" width="13.88671875" style="9" customWidth="1"/>
    <col min="5908" max="5908" width="10.6640625" style="9" customWidth="1"/>
    <col min="5909" max="5909" width="17.33203125" style="9" customWidth="1"/>
    <col min="5910" max="5911" width="12.6640625" style="9" customWidth="1"/>
    <col min="5912" max="5912" width="11.21875" style="9" customWidth="1"/>
    <col min="5913" max="5913" width="18.33203125" style="9" customWidth="1"/>
    <col min="5914" max="5914" width="12.88671875" style="9" customWidth="1"/>
    <col min="5915" max="5916" width="13.21875" style="9" customWidth="1"/>
    <col min="5917" max="5917" width="10.88671875" style="9" customWidth="1"/>
    <col min="5918" max="5918" width="11.109375" style="9" customWidth="1"/>
    <col min="5919" max="5919" width="15.21875" style="9" customWidth="1"/>
    <col min="5920" max="5920" width="9.6640625" style="9"/>
    <col min="5921" max="5921" width="11" style="9" customWidth="1"/>
    <col min="5922" max="5922" width="10.77734375" style="9" customWidth="1"/>
    <col min="5923" max="5923" width="11.44140625" style="9" customWidth="1"/>
    <col min="5924" max="5924" width="4" style="9" customWidth="1"/>
    <col min="5925" max="6115" width="9.6640625" style="9"/>
    <col min="6116" max="6116" width="6.44140625" style="9" customWidth="1"/>
    <col min="6117" max="6117" width="13.88671875" style="9" customWidth="1"/>
    <col min="6118" max="6118" width="14.33203125" style="9" customWidth="1"/>
    <col min="6119" max="6135" width="9.6640625" style="9"/>
    <col min="6136" max="6136" width="12" style="9" customWidth="1"/>
    <col min="6137" max="6137" width="12.77734375" style="9" customWidth="1"/>
    <col min="6138" max="6138" width="11.109375" style="9" customWidth="1"/>
    <col min="6139" max="6139" width="12" style="9" customWidth="1"/>
    <col min="6140" max="6140" width="9.6640625" style="9"/>
    <col min="6141" max="6141" width="15.33203125" style="9" customWidth="1"/>
    <col min="6142" max="6142" width="15.21875" style="9" customWidth="1"/>
    <col min="6143" max="6143" width="21.44140625" style="9" customWidth="1"/>
    <col min="6144" max="6159" width="9.6640625" style="9"/>
    <col min="6160" max="6161" width="13.44140625" style="9" customWidth="1"/>
    <col min="6162" max="6162" width="9.6640625" style="9"/>
    <col min="6163" max="6163" width="13.88671875" style="9" customWidth="1"/>
    <col min="6164" max="6164" width="10.6640625" style="9" customWidth="1"/>
    <col min="6165" max="6165" width="17.33203125" style="9" customWidth="1"/>
    <col min="6166" max="6167" width="12.6640625" style="9" customWidth="1"/>
    <col min="6168" max="6168" width="11.21875" style="9" customWidth="1"/>
    <col min="6169" max="6169" width="18.33203125" style="9" customWidth="1"/>
    <col min="6170" max="6170" width="12.88671875" style="9" customWidth="1"/>
    <col min="6171" max="6172" width="13.21875" style="9" customWidth="1"/>
    <col min="6173" max="6173" width="10.88671875" style="9" customWidth="1"/>
    <col min="6174" max="6174" width="11.109375" style="9" customWidth="1"/>
    <col min="6175" max="6175" width="15.21875" style="9" customWidth="1"/>
    <col min="6176" max="6176" width="9.6640625" style="9"/>
    <col min="6177" max="6177" width="11" style="9" customWidth="1"/>
    <col min="6178" max="6178" width="10.77734375" style="9" customWidth="1"/>
    <col min="6179" max="6179" width="11.44140625" style="9" customWidth="1"/>
    <col min="6180" max="6180" width="4" style="9" customWidth="1"/>
    <col min="6181" max="6371" width="9.6640625" style="9"/>
    <col min="6372" max="6372" width="6.44140625" style="9" customWidth="1"/>
    <col min="6373" max="6373" width="13.88671875" style="9" customWidth="1"/>
    <col min="6374" max="6374" width="14.33203125" style="9" customWidth="1"/>
    <col min="6375" max="6391" width="9.6640625" style="9"/>
    <col min="6392" max="6392" width="12" style="9" customWidth="1"/>
    <col min="6393" max="6393" width="12.77734375" style="9" customWidth="1"/>
    <col min="6394" max="6394" width="11.109375" style="9" customWidth="1"/>
    <col min="6395" max="6395" width="12" style="9" customWidth="1"/>
    <col min="6396" max="6396" width="9.6640625" style="9"/>
    <col min="6397" max="6397" width="15.33203125" style="9" customWidth="1"/>
    <col min="6398" max="6398" width="15.21875" style="9" customWidth="1"/>
    <col min="6399" max="6399" width="21.44140625" style="9" customWidth="1"/>
    <col min="6400" max="6415" width="9.6640625" style="9"/>
    <col min="6416" max="6417" width="13.44140625" style="9" customWidth="1"/>
    <col min="6418" max="6418" width="9.6640625" style="9"/>
    <col min="6419" max="6419" width="13.88671875" style="9" customWidth="1"/>
    <col min="6420" max="6420" width="10.6640625" style="9" customWidth="1"/>
    <col min="6421" max="6421" width="17.33203125" style="9" customWidth="1"/>
    <col min="6422" max="6423" width="12.6640625" style="9" customWidth="1"/>
    <col min="6424" max="6424" width="11.21875" style="9" customWidth="1"/>
    <col min="6425" max="6425" width="18.33203125" style="9" customWidth="1"/>
    <col min="6426" max="6426" width="12.88671875" style="9" customWidth="1"/>
    <col min="6427" max="6428" width="13.21875" style="9" customWidth="1"/>
    <col min="6429" max="6429" width="10.88671875" style="9" customWidth="1"/>
    <col min="6430" max="6430" width="11.109375" style="9" customWidth="1"/>
    <col min="6431" max="6431" width="15.21875" style="9" customWidth="1"/>
    <col min="6432" max="6432" width="9.6640625" style="9"/>
    <col min="6433" max="6433" width="11" style="9" customWidth="1"/>
    <col min="6434" max="6434" width="10.77734375" style="9" customWidth="1"/>
    <col min="6435" max="6435" width="11.44140625" style="9" customWidth="1"/>
    <col min="6436" max="6436" width="4" style="9" customWidth="1"/>
    <col min="6437" max="6627" width="9.6640625" style="9"/>
    <col min="6628" max="6628" width="6.44140625" style="9" customWidth="1"/>
    <col min="6629" max="6629" width="13.88671875" style="9" customWidth="1"/>
    <col min="6630" max="6630" width="14.33203125" style="9" customWidth="1"/>
    <col min="6631" max="6647" width="9.6640625" style="9"/>
    <col min="6648" max="6648" width="12" style="9" customWidth="1"/>
    <col min="6649" max="6649" width="12.77734375" style="9" customWidth="1"/>
    <col min="6650" max="6650" width="11.109375" style="9" customWidth="1"/>
    <col min="6651" max="6651" width="12" style="9" customWidth="1"/>
    <col min="6652" max="6652" width="9.6640625" style="9"/>
    <col min="6653" max="6653" width="15.33203125" style="9" customWidth="1"/>
    <col min="6654" max="6654" width="15.21875" style="9" customWidth="1"/>
    <col min="6655" max="6655" width="21.44140625" style="9" customWidth="1"/>
    <col min="6656" max="6671" width="9.6640625" style="9"/>
    <col min="6672" max="6673" width="13.44140625" style="9" customWidth="1"/>
    <col min="6674" max="6674" width="9.6640625" style="9"/>
    <col min="6675" max="6675" width="13.88671875" style="9" customWidth="1"/>
    <col min="6676" max="6676" width="10.6640625" style="9" customWidth="1"/>
    <col min="6677" max="6677" width="17.33203125" style="9" customWidth="1"/>
    <col min="6678" max="6679" width="12.6640625" style="9" customWidth="1"/>
    <col min="6680" max="6680" width="11.21875" style="9" customWidth="1"/>
    <col min="6681" max="6681" width="18.33203125" style="9" customWidth="1"/>
    <col min="6682" max="6682" width="12.88671875" style="9" customWidth="1"/>
    <col min="6683" max="6684" width="13.21875" style="9" customWidth="1"/>
    <col min="6685" max="6685" width="10.88671875" style="9" customWidth="1"/>
    <col min="6686" max="6686" width="11.109375" style="9" customWidth="1"/>
    <col min="6687" max="6687" width="15.21875" style="9" customWidth="1"/>
    <col min="6688" max="6688" width="9.6640625" style="9"/>
    <col min="6689" max="6689" width="11" style="9" customWidth="1"/>
    <col min="6690" max="6690" width="10.77734375" style="9" customWidth="1"/>
    <col min="6691" max="6691" width="11.44140625" style="9" customWidth="1"/>
    <col min="6692" max="6692" width="4" style="9" customWidth="1"/>
    <col min="6693" max="6883" width="9.6640625" style="9"/>
    <col min="6884" max="6884" width="6.44140625" style="9" customWidth="1"/>
    <col min="6885" max="6885" width="13.88671875" style="9" customWidth="1"/>
    <col min="6886" max="6886" width="14.33203125" style="9" customWidth="1"/>
    <col min="6887" max="6903" width="9.6640625" style="9"/>
    <col min="6904" max="6904" width="12" style="9" customWidth="1"/>
    <col min="6905" max="6905" width="12.77734375" style="9" customWidth="1"/>
    <col min="6906" max="6906" width="11.109375" style="9" customWidth="1"/>
    <col min="6907" max="6907" width="12" style="9" customWidth="1"/>
    <col min="6908" max="6908" width="9.6640625" style="9"/>
    <col min="6909" max="6909" width="15.33203125" style="9" customWidth="1"/>
    <col min="6910" max="6910" width="15.21875" style="9" customWidth="1"/>
    <col min="6911" max="6911" width="21.44140625" style="9" customWidth="1"/>
    <col min="6912" max="6927" width="9.6640625" style="9"/>
    <col min="6928" max="6929" width="13.44140625" style="9" customWidth="1"/>
    <col min="6930" max="6930" width="9.6640625" style="9"/>
    <col min="6931" max="6931" width="13.88671875" style="9" customWidth="1"/>
    <col min="6932" max="6932" width="10.6640625" style="9" customWidth="1"/>
    <col min="6933" max="6933" width="17.33203125" style="9" customWidth="1"/>
    <col min="6934" max="6935" width="12.6640625" style="9" customWidth="1"/>
    <col min="6936" max="6936" width="11.21875" style="9" customWidth="1"/>
    <col min="6937" max="6937" width="18.33203125" style="9" customWidth="1"/>
    <col min="6938" max="6938" width="12.88671875" style="9" customWidth="1"/>
    <col min="6939" max="6940" width="13.21875" style="9" customWidth="1"/>
    <col min="6941" max="6941" width="10.88671875" style="9" customWidth="1"/>
    <col min="6942" max="6942" width="11.109375" style="9" customWidth="1"/>
    <col min="6943" max="6943" width="15.21875" style="9" customWidth="1"/>
    <col min="6944" max="6944" width="9.6640625" style="9"/>
    <col min="6945" max="6945" width="11" style="9" customWidth="1"/>
    <col min="6946" max="6946" width="10.77734375" style="9" customWidth="1"/>
    <col min="6947" max="6947" width="11.44140625" style="9" customWidth="1"/>
    <col min="6948" max="6948" width="4" style="9" customWidth="1"/>
    <col min="6949" max="7139" width="9.6640625" style="9"/>
    <col min="7140" max="7140" width="6.44140625" style="9" customWidth="1"/>
    <col min="7141" max="7141" width="13.88671875" style="9" customWidth="1"/>
    <col min="7142" max="7142" width="14.33203125" style="9" customWidth="1"/>
    <col min="7143" max="7159" width="9.6640625" style="9"/>
    <col min="7160" max="7160" width="12" style="9" customWidth="1"/>
    <col min="7161" max="7161" width="12.77734375" style="9" customWidth="1"/>
    <col min="7162" max="7162" width="11.109375" style="9" customWidth="1"/>
    <col min="7163" max="7163" width="12" style="9" customWidth="1"/>
    <col min="7164" max="7164" width="9.6640625" style="9"/>
    <col min="7165" max="7165" width="15.33203125" style="9" customWidth="1"/>
    <col min="7166" max="7166" width="15.21875" style="9" customWidth="1"/>
    <col min="7167" max="7167" width="21.44140625" style="9" customWidth="1"/>
    <col min="7168" max="7183" width="9.6640625" style="9"/>
    <col min="7184" max="7185" width="13.44140625" style="9" customWidth="1"/>
    <col min="7186" max="7186" width="9.6640625" style="9"/>
    <col min="7187" max="7187" width="13.88671875" style="9" customWidth="1"/>
    <col min="7188" max="7188" width="10.6640625" style="9" customWidth="1"/>
    <col min="7189" max="7189" width="17.33203125" style="9" customWidth="1"/>
    <col min="7190" max="7191" width="12.6640625" style="9" customWidth="1"/>
    <col min="7192" max="7192" width="11.21875" style="9" customWidth="1"/>
    <col min="7193" max="7193" width="18.33203125" style="9" customWidth="1"/>
    <col min="7194" max="7194" width="12.88671875" style="9" customWidth="1"/>
    <col min="7195" max="7196" width="13.21875" style="9" customWidth="1"/>
    <col min="7197" max="7197" width="10.88671875" style="9" customWidth="1"/>
    <col min="7198" max="7198" width="11.109375" style="9" customWidth="1"/>
    <col min="7199" max="7199" width="15.21875" style="9" customWidth="1"/>
    <col min="7200" max="7200" width="9.6640625" style="9"/>
    <col min="7201" max="7201" width="11" style="9" customWidth="1"/>
    <col min="7202" max="7202" width="10.77734375" style="9" customWidth="1"/>
    <col min="7203" max="7203" width="11.44140625" style="9" customWidth="1"/>
    <col min="7204" max="7204" width="4" style="9" customWidth="1"/>
    <col min="7205" max="7395" width="9.6640625" style="9"/>
    <col min="7396" max="7396" width="6.44140625" style="9" customWidth="1"/>
    <col min="7397" max="7397" width="13.88671875" style="9" customWidth="1"/>
    <col min="7398" max="7398" width="14.33203125" style="9" customWidth="1"/>
    <col min="7399" max="7415" width="9.6640625" style="9"/>
    <col min="7416" max="7416" width="12" style="9" customWidth="1"/>
    <col min="7417" max="7417" width="12.77734375" style="9" customWidth="1"/>
    <col min="7418" max="7418" width="11.109375" style="9" customWidth="1"/>
    <col min="7419" max="7419" width="12" style="9" customWidth="1"/>
    <col min="7420" max="7420" width="9.6640625" style="9"/>
    <col min="7421" max="7421" width="15.33203125" style="9" customWidth="1"/>
    <col min="7422" max="7422" width="15.21875" style="9" customWidth="1"/>
    <col min="7423" max="7423" width="21.44140625" style="9" customWidth="1"/>
    <col min="7424" max="7439" width="9.6640625" style="9"/>
    <col min="7440" max="7441" width="13.44140625" style="9" customWidth="1"/>
    <col min="7442" max="7442" width="9.6640625" style="9"/>
    <col min="7443" max="7443" width="13.88671875" style="9" customWidth="1"/>
    <col min="7444" max="7444" width="10.6640625" style="9" customWidth="1"/>
    <col min="7445" max="7445" width="17.33203125" style="9" customWidth="1"/>
    <col min="7446" max="7447" width="12.6640625" style="9" customWidth="1"/>
    <col min="7448" max="7448" width="11.21875" style="9" customWidth="1"/>
    <col min="7449" max="7449" width="18.33203125" style="9" customWidth="1"/>
    <col min="7450" max="7450" width="12.88671875" style="9" customWidth="1"/>
    <col min="7451" max="7452" width="13.21875" style="9" customWidth="1"/>
    <col min="7453" max="7453" width="10.88671875" style="9" customWidth="1"/>
    <col min="7454" max="7454" width="11.109375" style="9" customWidth="1"/>
    <col min="7455" max="7455" width="15.21875" style="9" customWidth="1"/>
    <col min="7456" max="7456" width="9.6640625" style="9"/>
    <col min="7457" max="7457" width="11" style="9" customWidth="1"/>
    <col min="7458" max="7458" width="10.77734375" style="9" customWidth="1"/>
    <col min="7459" max="7459" width="11.44140625" style="9" customWidth="1"/>
    <col min="7460" max="7460" width="4" style="9" customWidth="1"/>
    <col min="7461" max="7651" width="9.6640625" style="9"/>
    <col min="7652" max="7652" width="6.44140625" style="9" customWidth="1"/>
    <col min="7653" max="7653" width="13.88671875" style="9" customWidth="1"/>
    <col min="7654" max="7654" width="14.33203125" style="9" customWidth="1"/>
    <col min="7655" max="7671" width="9.6640625" style="9"/>
    <col min="7672" max="7672" width="12" style="9" customWidth="1"/>
    <col min="7673" max="7673" width="12.77734375" style="9" customWidth="1"/>
    <col min="7674" max="7674" width="11.109375" style="9" customWidth="1"/>
    <col min="7675" max="7675" width="12" style="9" customWidth="1"/>
    <col min="7676" max="7676" width="9.6640625" style="9"/>
    <col min="7677" max="7677" width="15.33203125" style="9" customWidth="1"/>
    <col min="7678" max="7678" width="15.21875" style="9" customWidth="1"/>
    <col min="7679" max="7679" width="21.44140625" style="9" customWidth="1"/>
    <col min="7680" max="7695" width="9.6640625" style="9"/>
    <col min="7696" max="7697" width="13.44140625" style="9" customWidth="1"/>
    <col min="7698" max="7698" width="9.6640625" style="9"/>
    <col min="7699" max="7699" width="13.88671875" style="9" customWidth="1"/>
    <col min="7700" max="7700" width="10.6640625" style="9" customWidth="1"/>
    <col min="7701" max="7701" width="17.33203125" style="9" customWidth="1"/>
    <col min="7702" max="7703" width="12.6640625" style="9" customWidth="1"/>
    <col min="7704" max="7704" width="11.21875" style="9" customWidth="1"/>
    <col min="7705" max="7705" width="18.33203125" style="9" customWidth="1"/>
    <col min="7706" max="7706" width="12.88671875" style="9" customWidth="1"/>
    <col min="7707" max="7708" width="13.21875" style="9" customWidth="1"/>
    <col min="7709" max="7709" width="10.88671875" style="9" customWidth="1"/>
    <col min="7710" max="7710" width="11.109375" style="9" customWidth="1"/>
    <col min="7711" max="7711" width="15.21875" style="9" customWidth="1"/>
    <col min="7712" max="7712" width="9.6640625" style="9"/>
    <col min="7713" max="7713" width="11" style="9" customWidth="1"/>
    <col min="7714" max="7714" width="10.77734375" style="9" customWidth="1"/>
    <col min="7715" max="7715" width="11.44140625" style="9" customWidth="1"/>
    <col min="7716" max="7716" width="4" style="9" customWidth="1"/>
    <col min="7717" max="7907" width="9.6640625" style="9"/>
    <col min="7908" max="7908" width="6.44140625" style="9" customWidth="1"/>
    <col min="7909" max="7909" width="13.88671875" style="9" customWidth="1"/>
    <col min="7910" max="7910" width="14.33203125" style="9" customWidth="1"/>
    <col min="7911" max="7927" width="9.6640625" style="9"/>
    <col min="7928" max="7928" width="12" style="9" customWidth="1"/>
    <col min="7929" max="7929" width="12.77734375" style="9" customWidth="1"/>
    <col min="7930" max="7930" width="11.109375" style="9" customWidth="1"/>
    <col min="7931" max="7931" width="12" style="9" customWidth="1"/>
    <col min="7932" max="7932" width="9.6640625" style="9"/>
    <col min="7933" max="7933" width="15.33203125" style="9" customWidth="1"/>
    <col min="7934" max="7934" width="15.21875" style="9" customWidth="1"/>
    <col min="7935" max="7935" width="21.44140625" style="9" customWidth="1"/>
    <col min="7936" max="7951" width="9.6640625" style="9"/>
    <col min="7952" max="7953" width="13.44140625" style="9" customWidth="1"/>
    <col min="7954" max="7954" width="9.6640625" style="9"/>
    <col min="7955" max="7955" width="13.88671875" style="9" customWidth="1"/>
    <col min="7956" max="7956" width="10.6640625" style="9" customWidth="1"/>
    <col min="7957" max="7957" width="17.33203125" style="9" customWidth="1"/>
    <col min="7958" max="7959" width="12.6640625" style="9" customWidth="1"/>
    <col min="7960" max="7960" width="11.21875" style="9" customWidth="1"/>
    <col min="7961" max="7961" width="18.33203125" style="9" customWidth="1"/>
    <col min="7962" max="7962" width="12.88671875" style="9" customWidth="1"/>
    <col min="7963" max="7964" width="13.21875" style="9" customWidth="1"/>
    <col min="7965" max="7965" width="10.88671875" style="9" customWidth="1"/>
    <col min="7966" max="7966" width="11.109375" style="9" customWidth="1"/>
    <col min="7967" max="7967" width="15.21875" style="9" customWidth="1"/>
    <col min="7968" max="7968" width="9.6640625" style="9"/>
    <col min="7969" max="7969" width="11" style="9" customWidth="1"/>
    <col min="7970" max="7970" width="10.77734375" style="9" customWidth="1"/>
    <col min="7971" max="7971" width="11.44140625" style="9" customWidth="1"/>
    <col min="7972" max="7972" width="4" style="9" customWidth="1"/>
    <col min="7973" max="8163" width="9.6640625" style="9"/>
    <col min="8164" max="8164" width="6.44140625" style="9" customWidth="1"/>
    <col min="8165" max="8165" width="13.88671875" style="9" customWidth="1"/>
    <col min="8166" max="8166" width="14.33203125" style="9" customWidth="1"/>
    <col min="8167" max="8183" width="9.6640625" style="9"/>
    <col min="8184" max="8184" width="12" style="9" customWidth="1"/>
    <col min="8185" max="8185" width="12.77734375" style="9" customWidth="1"/>
    <col min="8186" max="8186" width="11.109375" style="9" customWidth="1"/>
    <col min="8187" max="8187" width="12" style="9" customWidth="1"/>
    <col min="8188" max="8188" width="9.6640625" style="9"/>
    <col min="8189" max="8189" width="15.33203125" style="9" customWidth="1"/>
    <col min="8190" max="8190" width="15.21875" style="9" customWidth="1"/>
    <col min="8191" max="8191" width="21.44140625" style="9" customWidth="1"/>
    <col min="8192" max="8207" width="9.6640625" style="9"/>
    <col min="8208" max="8209" width="13.44140625" style="9" customWidth="1"/>
    <col min="8210" max="8210" width="9.6640625" style="9"/>
    <col min="8211" max="8211" width="13.88671875" style="9" customWidth="1"/>
    <col min="8212" max="8212" width="10.6640625" style="9" customWidth="1"/>
    <col min="8213" max="8213" width="17.33203125" style="9" customWidth="1"/>
    <col min="8214" max="8215" width="12.6640625" style="9" customWidth="1"/>
    <col min="8216" max="8216" width="11.21875" style="9" customWidth="1"/>
    <col min="8217" max="8217" width="18.33203125" style="9" customWidth="1"/>
    <col min="8218" max="8218" width="12.88671875" style="9" customWidth="1"/>
    <col min="8219" max="8220" width="13.21875" style="9" customWidth="1"/>
    <col min="8221" max="8221" width="10.88671875" style="9" customWidth="1"/>
    <col min="8222" max="8222" width="11.109375" style="9" customWidth="1"/>
    <col min="8223" max="8223" width="15.21875" style="9" customWidth="1"/>
    <col min="8224" max="8224" width="9.6640625" style="9"/>
    <col min="8225" max="8225" width="11" style="9" customWidth="1"/>
    <col min="8226" max="8226" width="10.77734375" style="9" customWidth="1"/>
    <col min="8227" max="8227" width="11.44140625" style="9" customWidth="1"/>
    <col min="8228" max="8228" width="4" style="9" customWidth="1"/>
    <col min="8229" max="8419" width="9.6640625" style="9"/>
    <col min="8420" max="8420" width="6.44140625" style="9" customWidth="1"/>
    <col min="8421" max="8421" width="13.88671875" style="9" customWidth="1"/>
    <col min="8422" max="8422" width="14.33203125" style="9" customWidth="1"/>
    <col min="8423" max="8439" width="9.6640625" style="9"/>
    <col min="8440" max="8440" width="12" style="9" customWidth="1"/>
    <col min="8441" max="8441" width="12.77734375" style="9" customWidth="1"/>
    <col min="8442" max="8442" width="11.109375" style="9" customWidth="1"/>
    <col min="8443" max="8443" width="12" style="9" customWidth="1"/>
    <col min="8444" max="8444" width="9.6640625" style="9"/>
    <col min="8445" max="8445" width="15.33203125" style="9" customWidth="1"/>
    <col min="8446" max="8446" width="15.21875" style="9" customWidth="1"/>
    <col min="8447" max="8447" width="21.44140625" style="9" customWidth="1"/>
    <col min="8448" max="8463" width="9.6640625" style="9"/>
    <col min="8464" max="8465" width="13.44140625" style="9" customWidth="1"/>
    <col min="8466" max="8466" width="9.6640625" style="9"/>
    <col min="8467" max="8467" width="13.88671875" style="9" customWidth="1"/>
    <col min="8468" max="8468" width="10.6640625" style="9" customWidth="1"/>
    <col min="8469" max="8469" width="17.33203125" style="9" customWidth="1"/>
    <col min="8470" max="8471" width="12.6640625" style="9" customWidth="1"/>
    <col min="8472" max="8472" width="11.21875" style="9" customWidth="1"/>
    <col min="8473" max="8473" width="18.33203125" style="9" customWidth="1"/>
    <col min="8474" max="8474" width="12.88671875" style="9" customWidth="1"/>
    <col min="8475" max="8476" width="13.21875" style="9" customWidth="1"/>
    <col min="8477" max="8477" width="10.88671875" style="9" customWidth="1"/>
    <col min="8478" max="8478" width="11.109375" style="9" customWidth="1"/>
    <col min="8479" max="8479" width="15.21875" style="9" customWidth="1"/>
    <col min="8480" max="8480" width="9.6640625" style="9"/>
    <col min="8481" max="8481" width="11" style="9" customWidth="1"/>
    <col min="8482" max="8482" width="10.77734375" style="9" customWidth="1"/>
    <col min="8483" max="8483" width="11.44140625" style="9" customWidth="1"/>
    <col min="8484" max="8484" width="4" style="9" customWidth="1"/>
    <col min="8485" max="8675" width="9.6640625" style="9"/>
    <col min="8676" max="8676" width="6.44140625" style="9" customWidth="1"/>
    <col min="8677" max="8677" width="13.88671875" style="9" customWidth="1"/>
    <col min="8678" max="8678" width="14.33203125" style="9" customWidth="1"/>
    <col min="8679" max="8695" width="9.6640625" style="9"/>
    <col min="8696" max="8696" width="12" style="9" customWidth="1"/>
    <col min="8697" max="8697" width="12.77734375" style="9" customWidth="1"/>
    <col min="8698" max="8698" width="11.109375" style="9" customWidth="1"/>
    <col min="8699" max="8699" width="12" style="9" customWidth="1"/>
    <col min="8700" max="8700" width="9.6640625" style="9"/>
    <col min="8701" max="8701" width="15.33203125" style="9" customWidth="1"/>
    <col min="8702" max="8702" width="15.21875" style="9" customWidth="1"/>
    <col min="8703" max="8703" width="21.44140625" style="9" customWidth="1"/>
    <col min="8704" max="8719" width="9.6640625" style="9"/>
    <col min="8720" max="8721" width="13.44140625" style="9" customWidth="1"/>
    <col min="8722" max="8722" width="9.6640625" style="9"/>
    <col min="8723" max="8723" width="13.88671875" style="9" customWidth="1"/>
    <col min="8724" max="8724" width="10.6640625" style="9" customWidth="1"/>
    <col min="8725" max="8725" width="17.33203125" style="9" customWidth="1"/>
    <col min="8726" max="8727" width="12.6640625" style="9" customWidth="1"/>
    <col min="8728" max="8728" width="11.21875" style="9" customWidth="1"/>
    <col min="8729" max="8729" width="18.33203125" style="9" customWidth="1"/>
    <col min="8730" max="8730" width="12.88671875" style="9" customWidth="1"/>
    <col min="8731" max="8732" width="13.21875" style="9" customWidth="1"/>
    <col min="8733" max="8733" width="10.88671875" style="9" customWidth="1"/>
    <col min="8734" max="8734" width="11.109375" style="9" customWidth="1"/>
    <col min="8735" max="8735" width="15.21875" style="9" customWidth="1"/>
    <col min="8736" max="8736" width="9.6640625" style="9"/>
    <col min="8737" max="8737" width="11" style="9" customWidth="1"/>
    <col min="8738" max="8738" width="10.77734375" style="9" customWidth="1"/>
    <col min="8739" max="8739" width="11.44140625" style="9" customWidth="1"/>
    <col min="8740" max="8740" width="4" style="9" customWidth="1"/>
    <col min="8741" max="8931" width="9.6640625" style="9"/>
    <col min="8932" max="8932" width="6.44140625" style="9" customWidth="1"/>
    <col min="8933" max="8933" width="13.88671875" style="9" customWidth="1"/>
    <col min="8934" max="8934" width="14.33203125" style="9" customWidth="1"/>
    <col min="8935" max="8951" width="9.6640625" style="9"/>
    <col min="8952" max="8952" width="12" style="9" customWidth="1"/>
    <col min="8953" max="8953" width="12.77734375" style="9" customWidth="1"/>
    <col min="8954" max="8954" width="11.109375" style="9" customWidth="1"/>
    <col min="8955" max="8955" width="12" style="9" customWidth="1"/>
    <col min="8956" max="8956" width="9.6640625" style="9"/>
    <col min="8957" max="8957" width="15.33203125" style="9" customWidth="1"/>
    <col min="8958" max="8958" width="15.21875" style="9" customWidth="1"/>
    <col min="8959" max="8959" width="21.44140625" style="9" customWidth="1"/>
    <col min="8960" max="8975" width="9.6640625" style="9"/>
    <col min="8976" max="8977" width="13.44140625" style="9" customWidth="1"/>
    <col min="8978" max="8978" width="9.6640625" style="9"/>
    <col min="8979" max="8979" width="13.88671875" style="9" customWidth="1"/>
    <col min="8980" max="8980" width="10.6640625" style="9" customWidth="1"/>
    <col min="8981" max="8981" width="17.33203125" style="9" customWidth="1"/>
    <col min="8982" max="8983" width="12.6640625" style="9" customWidth="1"/>
    <col min="8984" max="8984" width="11.21875" style="9" customWidth="1"/>
    <col min="8985" max="8985" width="18.33203125" style="9" customWidth="1"/>
    <col min="8986" max="8986" width="12.88671875" style="9" customWidth="1"/>
    <col min="8987" max="8988" width="13.21875" style="9" customWidth="1"/>
    <col min="8989" max="8989" width="10.88671875" style="9" customWidth="1"/>
    <col min="8990" max="8990" width="11.109375" style="9" customWidth="1"/>
    <col min="8991" max="8991" width="15.21875" style="9" customWidth="1"/>
    <col min="8992" max="8992" width="9.6640625" style="9"/>
    <col min="8993" max="8993" width="11" style="9" customWidth="1"/>
    <col min="8994" max="8994" width="10.77734375" style="9" customWidth="1"/>
    <col min="8995" max="8995" width="11.44140625" style="9" customWidth="1"/>
    <col min="8996" max="8996" width="4" style="9" customWidth="1"/>
    <col min="8997" max="9187" width="9.6640625" style="9"/>
    <col min="9188" max="9188" width="6.44140625" style="9" customWidth="1"/>
    <col min="9189" max="9189" width="13.88671875" style="9" customWidth="1"/>
    <col min="9190" max="9190" width="14.33203125" style="9" customWidth="1"/>
    <col min="9191" max="9207" width="9.6640625" style="9"/>
    <col min="9208" max="9208" width="12" style="9" customWidth="1"/>
    <col min="9209" max="9209" width="12.77734375" style="9" customWidth="1"/>
    <col min="9210" max="9210" width="11.109375" style="9" customWidth="1"/>
    <col min="9211" max="9211" width="12" style="9" customWidth="1"/>
    <col min="9212" max="9212" width="9.6640625" style="9"/>
    <col min="9213" max="9213" width="15.33203125" style="9" customWidth="1"/>
    <col min="9214" max="9214" width="15.21875" style="9" customWidth="1"/>
    <col min="9215" max="9215" width="21.44140625" style="9" customWidth="1"/>
    <col min="9216" max="9231" width="9.6640625" style="9"/>
    <col min="9232" max="9233" width="13.44140625" style="9" customWidth="1"/>
    <col min="9234" max="9234" width="9.6640625" style="9"/>
    <col min="9235" max="9235" width="13.88671875" style="9" customWidth="1"/>
    <col min="9236" max="9236" width="10.6640625" style="9" customWidth="1"/>
    <col min="9237" max="9237" width="17.33203125" style="9" customWidth="1"/>
    <col min="9238" max="9239" width="12.6640625" style="9" customWidth="1"/>
    <col min="9240" max="9240" width="11.21875" style="9" customWidth="1"/>
    <col min="9241" max="9241" width="18.33203125" style="9" customWidth="1"/>
    <col min="9242" max="9242" width="12.88671875" style="9" customWidth="1"/>
    <col min="9243" max="9244" width="13.21875" style="9" customWidth="1"/>
    <col min="9245" max="9245" width="10.88671875" style="9" customWidth="1"/>
    <col min="9246" max="9246" width="11.109375" style="9" customWidth="1"/>
    <col min="9247" max="9247" width="15.21875" style="9" customWidth="1"/>
    <col min="9248" max="9248" width="9.6640625" style="9"/>
    <col min="9249" max="9249" width="11" style="9" customWidth="1"/>
    <col min="9250" max="9250" width="10.77734375" style="9" customWidth="1"/>
    <col min="9251" max="9251" width="11.44140625" style="9" customWidth="1"/>
    <col min="9252" max="9252" width="4" style="9" customWidth="1"/>
    <col min="9253" max="9443" width="9.6640625" style="9"/>
    <col min="9444" max="9444" width="6.44140625" style="9" customWidth="1"/>
    <col min="9445" max="9445" width="13.88671875" style="9" customWidth="1"/>
    <col min="9446" max="9446" width="14.33203125" style="9" customWidth="1"/>
    <col min="9447" max="9463" width="9.6640625" style="9"/>
    <col min="9464" max="9464" width="12" style="9" customWidth="1"/>
    <col min="9465" max="9465" width="12.77734375" style="9" customWidth="1"/>
    <col min="9466" max="9466" width="11.109375" style="9" customWidth="1"/>
    <col min="9467" max="9467" width="12" style="9" customWidth="1"/>
    <col min="9468" max="9468" width="9.6640625" style="9"/>
    <col min="9469" max="9469" width="15.33203125" style="9" customWidth="1"/>
    <col min="9470" max="9470" width="15.21875" style="9" customWidth="1"/>
    <col min="9471" max="9471" width="21.44140625" style="9" customWidth="1"/>
    <col min="9472" max="9487" width="9.6640625" style="9"/>
    <col min="9488" max="9489" width="13.44140625" style="9" customWidth="1"/>
    <col min="9490" max="9490" width="9.6640625" style="9"/>
    <col min="9491" max="9491" width="13.88671875" style="9" customWidth="1"/>
    <col min="9492" max="9492" width="10.6640625" style="9" customWidth="1"/>
    <col min="9493" max="9493" width="17.33203125" style="9" customWidth="1"/>
    <col min="9494" max="9495" width="12.6640625" style="9" customWidth="1"/>
    <col min="9496" max="9496" width="11.21875" style="9" customWidth="1"/>
    <col min="9497" max="9497" width="18.33203125" style="9" customWidth="1"/>
    <col min="9498" max="9498" width="12.88671875" style="9" customWidth="1"/>
    <col min="9499" max="9500" width="13.21875" style="9" customWidth="1"/>
    <col min="9501" max="9501" width="10.88671875" style="9" customWidth="1"/>
    <col min="9502" max="9502" width="11.109375" style="9" customWidth="1"/>
    <col min="9503" max="9503" width="15.21875" style="9" customWidth="1"/>
    <col min="9504" max="9504" width="9.6640625" style="9"/>
    <col min="9505" max="9505" width="11" style="9" customWidth="1"/>
    <col min="9506" max="9506" width="10.77734375" style="9" customWidth="1"/>
    <col min="9507" max="9507" width="11.44140625" style="9" customWidth="1"/>
    <col min="9508" max="9508" width="4" style="9" customWidth="1"/>
    <col min="9509" max="9699" width="9.6640625" style="9"/>
    <col min="9700" max="9700" width="6.44140625" style="9" customWidth="1"/>
    <col min="9701" max="9701" width="13.88671875" style="9" customWidth="1"/>
    <col min="9702" max="9702" width="14.33203125" style="9" customWidth="1"/>
    <col min="9703" max="9719" width="9.6640625" style="9"/>
    <col min="9720" max="9720" width="12" style="9" customWidth="1"/>
    <col min="9721" max="9721" width="12.77734375" style="9" customWidth="1"/>
    <col min="9722" max="9722" width="11.109375" style="9" customWidth="1"/>
    <col min="9723" max="9723" width="12" style="9" customWidth="1"/>
    <col min="9724" max="9724" width="9.6640625" style="9"/>
    <col min="9725" max="9725" width="15.33203125" style="9" customWidth="1"/>
    <col min="9726" max="9726" width="15.21875" style="9" customWidth="1"/>
    <col min="9727" max="9727" width="21.44140625" style="9" customWidth="1"/>
    <col min="9728" max="9743" width="9.6640625" style="9"/>
    <col min="9744" max="9745" width="13.44140625" style="9" customWidth="1"/>
    <col min="9746" max="9746" width="9.6640625" style="9"/>
    <col min="9747" max="9747" width="13.88671875" style="9" customWidth="1"/>
    <col min="9748" max="9748" width="10.6640625" style="9" customWidth="1"/>
    <col min="9749" max="9749" width="17.33203125" style="9" customWidth="1"/>
    <col min="9750" max="9751" width="12.6640625" style="9" customWidth="1"/>
    <col min="9752" max="9752" width="11.21875" style="9" customWidth="1"/>
    <col min="9753" max="9753" width="18.33203125" style="9" customWidth="1"/>
    <col min="9754" max="9754" width="12.88671875" style="9" customWidth="1"/>
    <col min="9755" max="9756" width="13.21875" style="9" customWidth="1"/>
    <col min="9757" max="9757" width="10.88671875" style="9" customWidth="1"/>
    <col min="9758" max="9758" width="11.109375" style="9" customWidth="1"/>
    <col min="9759" max="9759" width="15.21875" style="9" customWidth="1"/>
    <col min="9760" max="9760" width="9.6640625" style="9"/>
    <col min="9761" max="9761" width="11" style="9" customWidth="1"/>
    <col min="9762" max="9762" width="10.77734375" style="9" customWidth="1"/>
    <col min="9763" max="9763" width="11.44140625" style="9" customWidth="1"/>
    <col min="9764" max="9764" width="4" style="9" customWidth="1"/>
    <col min="9765" max="9955" width="9.6640625" style="9"/>
    <col min="9956" max="9956" width="6.44140625" style="9" customWidth="1"/>
    <col min="9957" max="9957" width="13.88671875" style="9" customWidth="1"/>
    <col min="9958" max="9958" width="14.33203125" style="9" customWidth="1"/>
    <col min="9959" max="9975" width="9.6640625" style="9"/>
    <col min="9976" max="9976" width="12" style="9" customWidth="1"/>
    <col min="9977" max="9977" width="12.77734375" style="9" customWidth="1"/>
    <col min="9978" max="9978" width="11.109375" style="9" customWidth="1"/>
    <col min="9979" max="9979" width="12" style="9" customWidth="1"/>
    <col min="9980" max="9980" width="9.6640625" style="9"/>
    <col min="9981" max="9981" width="15.33203125" style="9" customWidth="1"/>
    <col min="9982" max="9982" width="15.21875" style="9" customWidth="1"/>
    <col min="9983" max="9983" width="21.44140625" style="9" customWidth="1"/>
    <col min="9984" max="9999" width="9.6640625" style="9"/>
    <col min="10000" max="10001" width="13.44140625" style="9" customWidth="1"/>
    <col min="10002" max="10002" width="9.6640625" style="9"/>
    <col min="10003" max="10003" width="13.88671875" style="9" customWidth="1"/>
    <col min="10004" max="10004" width="10.6640625" style="9" customWidth="1"/>
    <col min="10005" max="10005" width="17.33203125" style="9" customWidth="1"/>
    <col min="10006" max="10007" width="12.6640625" style="9" customWidth="1"/>
    <col min="10008" max="10008" width="11.21875" style="9" customWidth="1"/>
    <col min="10009" max="10009" width="18.33203125" style="9" customWidth="1"/>
    <col min="10010" max="10010" width="12.88671875" style="9" customWidth="1"/>
    <col min="10011" max="10012" width="13.21875" style="9" customWidth="1"/>
    <col min="10013" max="10013" width="10.88671875" style="9" customWidth="1"/>
    <col min="10014" max="10014" width="11.109375" style="9" customWidth="1"/>
    <col min="10015" max="10015" width="15.21875" style="9" customWidth="1"/>
    <col min="10016" max="10016" width="9.6640625" style="9"/>
    <col min="10017" max="10017" width="11" style="9" customWidth="1"/>
    <col min="10018" max="10018" width="10.77734375" style="9" customWidth="1"/>
    <col min="10019" max="10019" width="11.44140625" style="9" customWidth="1"/>
    <col min="10020" max="10020" width="4" style="9" customWidth="1"/>
    <col min="10021" max="10211" width="9.6640625" style="9"/>
    <col min="10212" max="10212" width="6.44140625" style="9" customWidth="1"/>
    <col min="10213" max="10213" width="13.88671875" style="9" customWidth="1"/>
    <col min="10214" max="10214" width="14.33203125" style="9" customWidth="1"/>
    <col min="10215" max="10231" width="9.6640625" style="9"/>
    <col min="10232" max="10232" width="12" style="9" customWidth="1"/>
    <col min="10233" max="10233" width="12.77734375" style="9" customWidth="1"/>
    <col min="10234" max="10234" width="11.109375" style="9" customWidth="1"/>
    <col min="10235" max="10235" width="12" style="9" customWidth="1"/>
    <col min="10236" max="10236" width="9.6640625" style="9"/>
    <col min="10237" max="10237" width="15.33203125" style="9" customWidth="1"/>
    <col min="10238" max="10238" width="15.21875" style="9" customWidth="1"/>
    <col min="10239" max="10239" width="21.44140625" style="9" customWidth="1"/>
    <col min="10240" max="10255" width="9.6640625" style="9"/>
    <col min="10256" max="10257" width="13.44140625" style="9" customWidth="1"/>
    <col min="10258" max="10258" width="9.6640625" style="9"/>
    <col min="10259" max="10259" width="13.88671875" style="9" customWidth="1"/>
    <col min="10260" max="10260" width="10.6640625" style="9" customWidth="1"/>
    <col min="10261" max="10261" width="17.33203125" style="9" customWidth="1"/>
    <col min="10262" max="10263" width="12.6640625" style="9" customWidth="1"/>
    <col min="10264" max="10264" width="11.21875" style="9" customWidth="1"/>
    <col min="10265" max="10265" width="18.33203125" style="9" customWidth="1"/>
    <col min="10266" max="10266" width="12.88671875" style="9" customWidth="1"/>
    <col min="10267" max="10268" width="13.21875" style="9" customWidth="1"/>
    <col min="10269" max="10269" width="10.88671875" style="9" customWidth="1"/>
    <col min="10270" max="10270" width="11.109375" style="9" customWidth="1"/>
    <col min="10271" max="10271" width="15.21875" style="9" customWidth="1"/>
    <col min="10272" max="10272" width="9.6640625" style="9"/>
    <col min="10273" max="10273" width="11" style="9" customWidth="1"/>
    <col min="10274" max="10274" width="10.77734375" style="9" customWidth="1"/>
    <col min="10275" max="10275" width="11.44140625" style="9" customWidth="1"/>
    <col min="10276" max="10276" width="4" style="9" customWidth="1"/>
    <col min="10277" max="10467" width="9.6640625" style="9"/>
    <col min="10468" max="10468" width="6.44140625" style="9" customWidth="1"/>
    <col min="10469" max="10469" width="13.88671875" style="9" customWidth="1"/>
    <col min="10470" max="10470" width="14.33203125" style="9" customWidth="1"/>
    <col min="10471" max="10487" width="9.6640625" style="9"/>
    <col min="10488" max="10488" width="12" style="9" customWidth="1"/>
    <col min="10489" max="10489" width="12.77734375" style="9" customWidth="1"/>
    <col min="10490" max="10490" width="11.109375" style="9" customWidth="1"/>
    <col min="10491" max="10491" width="12" style="9" customWidth="1"/>
    <col min="10492" max="10492" width="9.6640625" style="9"/>
    <col min="10493" max="10493" width="15.33203125" style="9" customWidth="1"/>
    <col min="10494" max="10494" width="15.21875" style="9" customWidth="1"/>
    <col min="10495" max="10495" width="21.44140625" style="9" customWidth="1"/>
    <col min="10496" max="10511" width="9.6640625" style="9"/>
    <col min="10512" max="10513" width="13.44140625" style="9" customWidth="1"/>
    <col min="10514" max="10514" width="9.6640625" style="9"/>
    <col min="10515" max="10515" width="13.88671875" style="9" customWidth="1"/>
    <col min="10516" max="10516" width="10.6640625" style="9" customWidth="1"/>
    <col min="10517" max="10517" width="17.33203125" style="9" customWidth="1"/>
    <col min="10518" max="10519" width="12.6640625" style="9" customWidth="1"/>
    <col min="10520" max="10520" width="11.21875" style="9" customWidth="1"/>
    <col min="10521" max="10521" width="18.33203125" style="9" customWidth="1"/>
    <col min="10522" max="10522" width="12.88671875" style="9" customWidth="1"/>
    <col min="10523" max="10524" width="13.21875" style="9" customWidth="1"/>
    <col min="10525" max="10525" width="10.88671875" style="9" customWidth="1"/>
    <col min="10526" max="10526" width="11.109375" style="9" customWidth="1"/>
    <col min="10527" max="10527" width="15.21875" style="9" customWidth="1"/>
    <col min="10528" max="10528" width="9.6640625" style="9"/>
    <col min="10529" max="10529" width="11" style="9" customWidth="1"/>
    <col min="10530" max="10530" width="10.77734375" style="9" customWidth="1"/>
    <col min="10531" max="10531" width="11.44140625" style="9" customWidth="1"/>
    <col min="10532" max="10532" width="4" style="9" customWidth="1"/>
    <col min="10533" max="10723" width="9.6640625" style="9"/>
    <col min="10724" max="10724" width="6.44140625" style="9" customWidth="1"/>
    <col min="10725" max="10725" width="13.88671875" style="9" customWidth="1"/>
    <col min="10726" max="10726" width="14.33203125" style="9" customWidth="1"/>
    <col min="10727" max="10743" width="9.6640625" style="9"/>
    <col min="10744" max="10744" width="12" style="9" customWidth="1"/>
    <col min="10745" max="10745" width="12.77734375" style="9" customWidth="1"/>
    <col min="10746" max="10746" width="11.109375" style="9" customWidth="1"/>
    <col min="10747" max="10747" width="12" style="9" customWidth="1"/>
    <col min="10748" max="10748" width="9.6640625" style="9"/>
    <col min="10749" max="10749" width="15.33203125" style="9" customWidth="1"/>
    <col min="10750" max="10750" width="15.21875" style="9" customWidth="1"/>
    <col min="10751" max="10751" width="21.44140625" style="9" customWidth="1"/>
    <col min="10752" max="10767" width="9.6640625" style="9"/>
    <col min="10768" max="10769" width="13.44140625" style="9" customWidth="1"/>
    <col min="10770" max="10770" width="9.6640625" style="9"/>
    <col min="10771" max="10771" width="13.88671875" style="9" customWidth="1"/>
    <col min="10772" max="10772" width="10.6640625" style="9" customWidth="1"/>
    <col min="10773" max="10773" width="17.33203125" style="9" customWidth="1"/>
    <col min="10774" max="10775" width="12.6640625" style="9" customWidth="1"/>
    <col min="10776" max="10776" width="11.21875" style="9" customWidth="1"/>
    <col min="10777" max="10777" width="18.33203125" style="9" customWidth="1"/>
    <col min="10778" max="10778" width="12.88671875" style="9" customWidth="1"/>
    <col min="10779" max="10780" width="13.21875" style="9" customWidth="1"/>
    <col min="10781" max="10781" width="10.88671875" style="9" customWidth="1"/>
    <col min="10782" max="10782" width="11.109375" style="9" customWidth="1"/>
    <col min="10783" max="10783" width="15.21875" style="9" customWidth="1"/>
    <col min="10784" max="10784" width="9.6640625" style="9"/>
    <col min="10785" max="10785" width="11" style="9" customWidth="1"/>
    <col min="10786" max="10786" width="10.77734375" style="9" customWidth="1"/>
    <col min="10787" max="10787" width="11.44140625" style="9" customWidth="1"/>
    <col min="10788" max="10788" width="4" style="9" customWidth="1"/>
    <col min="10789" max="10979" width="9.6640625" style="9"/>
    <col min="10980" max="10980" width="6.44140625" style="9" customWidth="1"/>
    <col min="10981" max="10981" width="13.88671875" style="9" customWidth="1"/>
    <col min="10982" max="10982" width="14.33203125" style="9" customWidth="1"/>
    <col min="10983" max="10999" width="9.6640625" style="9"/>
    <col min="11000" max="11000" width="12" style="9" customWidth="1"/>
    <col min="11001" max="11001" width="12.77734375" style="9" customWidth="1"/>
    <col min="11002" max="11002" width="11.109375" style="9" customWidth="1"/>
    <col min="11003" max="11003" width="12" style="9" customWidth="1"/>
    <col min="11004" max="11004" width="9.6640625" style="9"/>
    <col min="11005" max="11005" width="15.33203125" style="9" customWidth="1"/>
    <col min="11006" max="11006" width="15.21875" style="9" customWidth="1"/>
    <col min="11007" max="11007" width="21.44140625" style="9" customWidth="1"/>
    <col min="11008" max="11023" width="9.6640625" style="9"/>
    <col min="11024" max="11025" width="13.44140625" style="9" customWidth="1"/>
    <col min="11026" max="11026" width="9.6640625" style="9"/>
    <col min="11027" max="11027" width="13.88671875" style="9" customWidth="1"/>
    <col min="11028" max="11028" width="10.6640625" style="9" customWidth="1"/>
    <col min="11029" max="11029" width="17.33203125" style="9" customWidth="1"/>
    <col min="11030" max="11031" width="12.6640625" style="9" customWidth="1"/>
    <col min="11032" max="11032" width="11.21875" style="9" customWidth="1"/>
    <col min="11033" max="11033" width="18.33203125" style="9" customWidth="1"/>
    <col min="11034" max="11034" width="12.88671875" style="9" customWidth="1"/>
    <col min="11035" max="11036" width="13.21875" style="9" customWidth="1"/>
    <col min="11037" max="11037" width="10.88671875" style="9" customWidth="1"/>
    <col min="11038" max="11038" width="11.109375" style="9" customWidth="1"/>
    <col min="11039" max="11039" width="15.21875" style="9" customWidth="1"/>
    <col min="11040" max="11040" width="9.6640625" style="9"/>
    <col min="11041" max="11041" width="11" style="9" customWidth="1"/>
    <col min="11042" max="11042" width="10.77734375" style="9" customWidth="1"/>
    <col min="11043" max="11043" width="11.44140625" style="9" customWidth="1"/>
    <col min="11044" max="11044" width="4" style="9" customWidth="1"/>
    <col min="11045" max="11235" width="9.6640625" style="9"/>
    <col min="11236" max="11236" width="6.44140625" style="9" customWidth="1"/>
    <col min="11237" max="11237" width="13.88671875" style="9" customWidth="1"/>
    <col min="11238" max="11238" width="14.33203125" style="9" customWidth="1"/>
    <col min="11239" max="11255" width="9.6640625" style="9"/>
    <col min="11256" max="11256" width="12" style="9" customWidth="1"/>
    <col min="11257" max="11257" width="12.77734375" style="9" customWidth="1"/>
    <col min="11258" max="11258" width="11.109375" style="9" customWidth="1"/>
    <col min="11259" max="11259" width="12" style="9" customWidth="1"/>
    <col min="11260" max="11260" width="9.6640625" style="9"/>
    <col min="11261" max="11261" width="15.33203125" style="9" customWidth="1"/>
    <col min="11262" max="11262" width="15.21875" style="9" customWidth="1"/>
    <col min="11263" max="11263" width="21.44140625" style="9" customWidth="1"/>
    <col min="11264" max="11279" width="9.6640625" style="9"/>
    <col min="11280" max="11281" width="13.44140625" style="9" customWidth="1"/>
    <col min="11282" max="11282" width="9.6640625" style="9"/>
    <col min="11283" max="11283" width="13.88671875" style="9" customWidth="1"/>
    <col min="11284" max="11284" width="10.6640625" style="9" customWidth="1"/>
    <col min="11285" max="11285" width="17.33203125" style="9" customWidth="1"/>
    <col min="11286" max="11287" width="12.6640625" style="9" customWidth="1"/>
    <col min="11288" max="11288" width="11.21875" style="9" customWidth="1"/>
    <col min="11289" max="11289" width="18.33203125" style="9" customWidth="1"/>
    <col min="11290" max="11290" width="12.88671875" style="9" customWidth="1"/>
    <col min="11291" max="11292" width="13.21875" style="9" customWidth="1"/>
    <col min="11293" max="11293" width="10.88671875" style="9" customWidth="1"/>
    <col min="11294" max="11294" width="11.109375" style="9" customWidth="1"/>
    <col min="11295" max="11295" width="15.21875" style="9" customWidth="1"/>
    <col min="11296" max="11296" width="9.6640625" style="9"/>
    <col min="11297" max="11297" width="11" style="9" customWidth="1"/>
    <col min="11298" max="11298" width="10.77734375" style="9" customWidth="1"/>
    <col min="11299" max="11299" width="11.44140625" style="9" customWidth="1"/>
    <col min="11300" max="11300" width="4" style="9" customWidth="1"/>
    <col min="11301" max="11491" width="9.6640625" style="9"/>
    <col min="11492" max="11492" width="6.44140625" style="9" customWidth="1"/>
    <col min="11493" max="11493" width="13.88671875" style="9" customWidth="1"/>
    <col min="11494" max="11494" width="14.33203125" style="9" customWidth="1"/>
    <col min="11495" max="11511" width="9.6640625" style="9"/>
    <col min="11512" max="11512" width="12" style="9" customWidth="1"/>
    <col min="11513" max="11513" width="12.77734375" style="9" customWidth="1"/>
    <col min="11514" max="11514" width="11.109375" style="9" customWidth="1"/>
    <col min="11515" max="11515" width="12" style="9" customWidth="1"/>
    <col min="11516" max="11516" width="9.6640625" style="9"/>
    <col min="11517" max="11517" width="15.33203125" style="9" customWidth="1"/>
    <col min="11518" max="11518" width="15.21875" style="9" customWidth="1"/>
    <col min="11519" max="11519" width="21.44140625" style="9" customWidth="1"/>
    <col min="11520" max="11535" width="9.6640625" style="9"/>
    <col min="11536" max="11537" width="13.44140625" style="9" customWidth="1"/>
    <col min="11538" max="11538" width="9.6640625" style="9"/>
    <col min="11539" max="11539" width="13.88671875" style="9" customWidth="1"/>
    <col min="11540" max="11540" width="10.6640625" style="9" customWidth="1"/>
    <col min="11541" max="11541" width="17.33203125" style="9" customWidth="1"/>
    <col min="11542" max="11543" width="12.6640625" style="9" customWidth="1"/>
    <col min="11544" max="11544" width="11.21875" style="9" customWidth="1"/>
    <col min="11545" max="11545" width="18.33203125" style="9" customWidth="1"/>
    <col min="11546" max="11546" width="12.88671875" style="9" customWidth="1"/>
    <col min="11547" max="11548" width="13.21875" style="9" customWidth="1"/>
    <col min="11549" max="11549" width="10.88671875" style="9" customWidth="1"/>
    <col min="11550" max="11550" width="11.109375" style="9" customWidth="1"/>
    <col min="11551" max="11551" width="15.21875" style="9" customWidth="1"/>
    <col min="11552" max="11552" width="9.6640625" style="9"/>
    <col min="11553" max="11553" width="11" style="9" customWidth="1"/>
    <col min="11554" max="11554" width="10.77734375" style="9" customWidth="1"/>
    <col min="11555" max="11555" width="11.44140625" style="9" customWidth="1"/>
    <col min="11556" max="11556" width="4" style="9" customWidth="1"/>
    <col min="11557" max="11747" width="9.6640625" style="9"/>
    <col min="11748" max="11748" width="6.44140625" style="9" customWidth="1"/>
    <col min="11749" max="11749" width="13.88671875" style="9" customWidth="1"/>
    <col min="11750" max="11750" width="14.33203125" style="9" customWidth="1"/>
    <col min="11751" max="11767" width="9.6640625" style="9"/>
    <col min="11768" max="11768" width="12" style="9" customWidth="1"/>
    <col min="11769" max="11769" width="12.77734375" style="9" customWidth="1"/>
    <col min="11770" max="11770" width="11.109375" style="9" customWidth="1"/>
    <col min="11771" max="11771" width="12" style="9" customWidth="1"/>
    <col min="11772" max="11772" width="9.6640625" style="9"/>
    <col min="11773" max="11773" width="15.33203125" style="9" customWidth="1"/>
    <col min="11774" max="11774" width="15.21875" style="9" customWidth="1"/>
    <col min="11775" max="11775" width="21.44140625" style="9" customWidth="1"/>
    <col min="11776" max="11791" width="9.6640625" style="9"/>
    <col min="11792" max="11793" width="13.44140625" style="9" customWidth="1"/>
    <col min="11794" max="11794" width="9.6640625" style="9"/>
    <col min="11795" max="11795" width="13.88671875" style="9" customWidth="1"/>
    <col min="11796" max="11796" width="10.6640625" style="9" customWidth="1"/>
    <col min="11797" max="11797" width="17.33203125" style="9" customWidth="1"/>
    <col min="11798" max="11799" width="12.6640625" style="9" customWidth="1"/>
    <col min="11800" max="11800" width="11.21875" style="9" customWidth="1"/>
    <col min="11801" max="11801" width="18.33203125" style="9" customWidth="1"/>
    <col min="11802" max="11802" width="12.88671875" style="9" customWidth="1"/>
    <col min="11803" max="11804" width="13.21875" style="9" customWidth="1"/>
    <col min="11805" max="11805" width="10.88671875" style="9" customWidth="1"/>
    <col min="11806" max="11806" width="11.109375" style="9" customWidth="1"/>
    <col min="11807" max="11807" width="15.21875" style="9" customWidth="1"/>
    <col min="11808" max="11808" width="9.6640625" style="9"/>
    <col min="11809" max="11809" width="11" style="9" customWidth="1"/>
    <col min="11810" max="11810" width="10.77734375" style="9" customWidth="1"/>
    <col min="11811" max="11811" width="11.44140625" style="9" customWidth="1"/>
    <col min="11812" max="11812" width="4" style="9" customWidth="1"/>
    <col min="11813" max="12003" width="9.6640625" style="9"/>
    <col min="12004" max="12004" width="6.44140625" style="9" customWidth="1"/>
    <col min="12005" max="12005" width="13.88671875" style="9" customWidth="1"/>
    <col min="12006" max="12006" width="14.33203125" style="9" customWidth="1"/>
    <col min="12007" max="12023" width="9.6640625" style="9"/>
    <col min="12024" max="12024" width="12" style="9" customWidth="1"/>
    <col min="12025" max="12025" width="12.77734375" style="9" customWidth="1"/>
    <col min="12026" max="12026" width="11.109375" style="9" customWidth="1"/>
    <col min="12027" max="12027" width="12" style="9" customWidth="1"/>
    <col min="12028" max="12028" width="9.6640625" style="9"/>
    <col min="12029" max="12029" width="15.33203125" style="9" customWidth="1"/>
    <col min="12030" max="12030" width="15.21875" style="9" customWidth="1"/>
    <col min="12031" max="12031" width="21.44140625" style="9" customWidth="1"/>
    <col min="12032" max="12047" width="9.6640625" style="9"/>
    <col min="12048" max="12049" width="13.44140625" style="9" customWidth="1"/>
    <col min="12050" max="12050" width="9.6640625" style="9"/>
    <col min="12051" max="12051" width="13.88671875" style="9" customWidth="1"/>
    <col min="12052" max="12052" width="10.6640625" style="9" customWidth="1"/>
    <col min="12053" max="12053" width="17.33203125" style="9" customWidth="1"/>
    <col min="12054" max="12055" width="12.6640625" style="9" customWidth="1"/>
    <col min="12056" max="12056" width="11.21875" style="9" customWidth="1"/>
    <col min="12057" max="12057" width="18.33203125" style="9" customWidth="1"/>
    <col min="12058" max="12058" width="12.88671875" style="9" customWidth="1"/>
    <col min="12059" max="12060" width="13.21875" style="9" customWidth="1"/>
    <col min="12061" max="12061" width="10.88671875" style="9" customWidth="1"/>
    <col min="12062" max="12062" width="11.109375" style="9" customWidth="1"/>
    <col min="12063" max="12063" width="15.21875" style="9" customWidth="1"/>
    <col min="12064" max="12064" width="9.6640625" style="9"/>
    <col min="12065" max="12065" width="11" style="9" customWidth="1"/>
    <col min="12066" max="12066" width="10.77734375" style="9" customWidth="1"/>
    <col min="12067" max="12067" width="11.44140625" style="9" customWidth="1"/>
    <col min="12068" max="12068" width="4" style="9" customWidth="1"/>
    <col min="12069" max="12259" width="9.6640625" style="9"/>
    <col min="12260" max="12260" width="6.44140625" style="9" customWidth="1"/>
    <col min="12261" max="12261" width="13.88671875" style="9" customWidth="1"/>
    <col min="12262" max="12262" width="14.33203125" style="9" customWidth="1"/>
    <col min="12263" max="12279" width="9.6640625" style="9"/>
    <col min="12280" max="12280" width="12" style="9" customWidth="1"/>
    <col min="12281" max="12281" width="12.77734375" style="9" customWidth="1"/>
    <col min="12282" max="12282" width="11.109375" style="9" customWidth="1"/>
    <col min="12283" max="12283" width="12" style="9" customWidth="1"/>
    <col min="12284" max="12284" width="9.6640625" style="9"/>
    <col min="12285" max="12285" width="15.33203125" style="9" customWidth="1"/>
    <col min="12286" max="12286" width="15.21875" style="9" customWidth="1"/>
    <col min="12287" max="12287" width="21.44140625" style="9" customWidth="1"/>
    <col min="12288" max="12303" width="9.6640625" style="9"/>
    <col min="12304" max="12305" width="13.44140625" style="9" customWidth="1"/>
    <col min="12306" max="12306" width="9.6640625" style="9"/>
    <col min="12307" max="12307" width="13.88671875" style="9" customWidth="1"/>
    <col min="12308" max="12308" width="10.6640625" style="9" customWidth="1"/>
    <col min="12309" max="12309" width="17.33203125" style="9" customWidth="1"/>
    <col min="12310" max="12311" width="12.6640625" style="9" customWidth="1"/>
    <col min="12312" max="12312" width="11.21875" style="9" customWidth="1"/>
    <col min="12313" max="12313" width="18.33203125" style="9" customWidth="1"/>
    <col min="12314" max="12314" width="12.88671875" style="9" customWidth="1"/>
    <col min="12315" max="12316" width="13.21875" style="9" customWidth="1"/>
    <col min="12317" max="12317" width="10.88671875" style="9" customWidth="1"/>
    <col min="12318" max="12318" width="11.109375" style="9" customWidth="1"/>
    <col min="12319" max="12319" width="15.21875" style="9" customWidth="1"/>
    <col min="12320" max="12320" width="9.6640625" style="9"/>
    <col min="12321" max="12321" width="11" style="9" customWidth="1"/>
    <col min="12322" max="12322" width="10.77734375" style="9" customWidth="1"/>
    <col min="12323" max="12323" width="11.44140625" style="9" customWidth="1"/>
    <col min="12324" max="12324" width="4" style="9" customWidth="1"/>
    <col min="12325" max="12515" width="9.6640625" style="9"/>
    <col min="12516" max="12516" width="6.44140625" style="9" customWidth="1"/>
    <col min="12517" max="12517" width="13.88671875" style="9" customWidth="1"/>
    <col min="12518" max="12518" width="14.33203125" style="9" customWidth="1"/>
    <col min="12519" max="12535" width="9.6640625" style="9"/>
    <col min="12536" max="12536" width="12" style="9" customWidth="1"/>
    <col min="12537" max="12537" width="12.77734375" style="9" customWidth="1"/>
    <col min="12538" max="12538" width="11.109375" style="9" customWidth="1"/>
    <col min="12539" max="12539" width="12" style="9" customWidth="1"/>
    <col min="12540" max="12540" width="9.6640625" style="9"/>
    <col min="12541" max="12541" width="15.33203125" style="9" customWidth="1"/>
    <col min="12542" max="12542" width="15.21875" style="9" customWidth="1"/>
    <col min="12543" max="12543" width="21.44140625" style="9" customWidth="1"/>
    <col min="12544" max="12559" width="9.6640625" style="9"/>
    <col min="12560" max="12561" width="13.44140625" style="9" customWidth="1"/>
    <col min="12562" max="12562" width="9.6640625" style="9"/>
    <col min="12563" max="12563" width="13.88671875" style="9" customWidth="1"/>
    <col min="12564" max="12564" width="10.6640625" style="9" customWidth="1"/>
    <col min="12565" max="12565" width="17.33203125" style="9" customWidth="1"/>
    <col min="12566" max="12567" width="12.6640625" style="9" customWidth="1"/>
    <col min="12568" max="12568" width="11.21875" style="9" customWidth="1"/>
    <col min="12569" max="12569" width="18.33203125" style="9" customWidth="1"/>
    <col min="12570" max="12570" width="12.88671875" style="9" customWidth="1"/>
    <col min="12571" max="12572" width="13.21875" style="9" customWidth="1"/>
    <col min="12573" max="12573" width="10.88671875" style="9" customWidth="1"/>
    <col min="12574" max="12574" width="11.109375" style="9" customWidth="1"/>
    <col min="12575" max="12575" width="15.21875" style="9" customWidth="1"/>
    <col min="12576" max="12576" width="9.6640625" style="9"/>
    <col min="12577" max="12577" width="11" style="9" customWidth="1"/>
    <col min="12578" max="12578" width="10.77734375" style="9" customWidth="1"/>
    <col min="12579" max="12579" width="11.44140625" style="9" customWidth="1"/>
    <col min="12580" max="12580" width="4" style="9" customWidth="1"/>
    <col min="12581" max="12771" width="9.6640625" style="9"/>
    <col min="12772" max="12772" width="6.44140625" style="9" customWidth="1"/>
    <col min="12773" max="12773" width="13.88671875" style="9" customWidth="1"/>
    <col min="12774" max="12774" width="14.33203125" style="9" customWidth="1"/>
    <col min="12775" max="12791" width="9.6640625" style="9"/>
    <col min="12792" max="12792" width="12" style="9" customWidth="1"/>
    <col min="12793" max="12793" width="12.77734375" style="9" customWidth="1"/>
    <col min="12794" max="12794" width="11.109375" style="9" customWidth="1"/>
    <col min="12795" max="12795" width="12" style="9" customWidth="1"/>
    <col min="12796" max="12796" width="9.6640625" style="9"/>
    <col min="12797" max="12797" width="15.33203125" style="9" customWidth="1"/>
    <col min="12798" max="12798" width="15.21875" style="9" customWidth="1"/>
    <col min="12799" max="12799" width="21.44140625" style="9" customWidth="1"/>
    <col min="12800" max="12815" width="9.6640625" style="9"/>
    <col min="12816" max="12817" width="13.44140625" style="9" customWidth="1"/>
    <col min="12818" max="12818" width="9.6640625" style="9"/>
    <col min="12819" max="12819" width="13.88671875" style="9" customWidth="1"/>
    <col min="12820" max="12820" width="10.6640625" style="9" customWidth="1"/>
    <col min="12821" max="12821" width="17.33203125" style="9" customWidth="1"/>
    <col min="12822" max="12823" width="12.6640625" style="9" customWidth="1"/>
    <col min="12824" max="12824" width="11.21875" style="9" customWidth="1"/>
    <col min="12825" max="12825" width="18.33203125" style="9" customWidth="1"/>
    <col min="12826" max="12826" width="12.88671875" style="9" customWidth="1"/>
    <col min="12827" max="12828" width="13.21875" style="9" customWidth="1"/>
    <col min="12829" max="12829" width="10.88671875" style="9" customWidth="1"/>
    <col min="12830" max="12830" width="11.109375" style="9" customWidth="1"/>
    <col min="12831" max="12831" width="15.21875" style="9" customWidth="1"/>
    <col min="12832" max="12832" width="9.6640625" style="9"/>
    <col min="12833" max="12833" width="11" style="9" customWidth="1"/>
    <col min="12834" max="12834" width="10.77734375" style="9" customWidth="1"/>
    <col min="12835" max="12835" width="11.44140625" style="9" customWidth="1"/>
    <col min="12836" max="12836" width="4" style="9" customWidth="1"/>
    <col min="12837" max="13027" width="9.6640625" style="9"/>
    <col min="13028" max="13028" width="6.44140625" style="9" customWidth="1"/>
    <col min="13029" max="13029" width="13.88671875" style="9" customWidth="1"/>
    <col min="13030" max="13030" width="14.33203125" style="9" customWidth="1"/>
    <col min="13031" max="13047" width="9.6640625" style="9"/>
    <col min="13048" max="13048" width="12" style="9" customWidth="1"/>
    <col min="13049" max="13049" width="12.77734375" style="9" customWidth="1"/>
    <col min="13050" max="13050" width="11.109375" style="9" customWidth="1"/>
    <col min="13051" max="13051" width="12" style="9" customWidth="1"/>
    <col min="13052" max="13052" width="9.6640625" style="9"/>
    <col min="13053" max="13053" width="15.33203125" style="9" customWidth="1"/>
    <col min="13054" max="13054" width="15.21875" style="9" customWidth="1"/>
    <col min="13055" max="13055" width="21.44140625" style="9" customWidth="1"/>
    <col min="13056" max="13071" width="9.6640625" style="9"/>
    <col min="13072" max="13073" width="13.44140625" style="9" customWidth="1"/>
    <col min="13074" max="13074" width="9.6640625" style="9"/>
    <col min="13075" max="13075" width="13.88671875" style="9" customWidth="1"/>
    <col min="13076" max="13076" width="10.6640625" style="9" customWidth="1"/>
    <col min="13077" max="13077" width="17.33203125" style="9" customWidth="1"/>
    <col min="13078" max="13079" width="12.6640625" style="9" customWidth="1"/>
    <col min="13080" max="13080" width="11.21875" style="9" customWidth="1"/>
    <col min="13081" max="13081" width="18.33203125" style="9" customWidth="1"/>
    <col min="13082" max="13082" width="12.88671875" style="9" customWidth="1"/>
    <col min="13083" max="13084" width="13.21875" style="9" customWidth="1"/>
    <col min="13085" max="13085" width="10.88671875" style="9" customWidth="1"/>
    <col min="13086" max="13086" width="11.109375" style="9" customWidth="1"/>
    <col min="13087" max="13087" width="15.21875" style="9" customWidth="1"/>
    <col min="13088" max="13088" width="9.6640625" style="9"/>
    <col min="13089" max="13089" width="11" style="9" customWidth="1"/>
    <col min="13090" max="13090" width="10.77734375" style="9" customWidth="1"/>
    <col min="13091" max="13091" width="11.44140625" style="9" customWidth="1"/>
    <col min="13092" max="13092" width="4" style="9" customWidth="1"/>
    <col min="13093" max="13283" width="9.6640625" style="9"/>
    <col min="13284" max="13284" width="6.44140625" style="9" customWidth="1"/>
    <col min="13285" max="13285" width="13.88671875" style="9" customWidth="1"/>
    <col min="13286" max="13286" width="14.33203125" style="9" customWidth="1"/>
    <col min="13287" max="13303" width="9.6640625" style="9"/>
    <col min="13304" max="13304" width="12" style="9" customWidth="1"/>
    <col min="13305" max="13305" width="12.77734375" style="9" customWidth="1"/>
    <col min="13306" max="13306" width="11.109375" style="9" customWidth="1"/>
    <col min="13307" max="13307" width="12" style="9" customWidth="1"/>
    <col min="13308" max="13308" width="9.6640625" style="9"/>
    <col min="13309" max="13309" width="15.33203125" style="9" customWidth="1"/>
    <col min="13310" max="13310" width="15.21875" style="9" customWidth="1"/>
    <col min="13311" max="13311" width="21.44140625" style="9" customWidth="1"/>
    <col min="13312" max="13327" width="9.6640625" style="9"/>
    <col min="13328" max="13329" width="13.44140625" style="9" customWidth="1"/>
    <col min="13330" max="13330" width="9.6640625" style="9"/>
    <col min="13331" max="13331" width="13.88671875" style="9" customWidth="1"/>
    <col min="13332" max="13332" width="10.6640625" style="9" customWidth="1"/>
    <col min="13333" max="13333" width="17.33203125" style="9" customWidth="1"/>
    <col min="13334" max="13335" width="12.6640625" style="9" customWidth="1"/>
    <col min="13336" max="13336" width="11.21875" style="9" customWidth="1"/>
    <col min="13337" max="13337" width="18.33203125" style="9" customWidth="1"/>
    <col min="13338" max="13338" width="12.88671875" style="9" customWidth="1"/>
    <col min="13339" max="13340" width="13.21875" style="9" customWidth="1"/>
    <col min="13341" max="13341" width="10.88671875" style="9" customWidth="1"/>
    <col min="13342" max="13342" width="11.109375" style="9" customWidth="1"/>
    <col min="13343" max="13343" width="15.21875" style="9" customWidth="1"/>
    <col min="13344" max="13344" width="9.6640625" style="9"/>
    <col min="13345" max="13345" width="11" style="9" customWidth="1"/>
    <col min="13346" max="13346" width="10.77734375" style="9" customWidth="1"/>
    <col min="13347" max="13347" width="11.44140625" style="9" customWidth="1"/>
    <col min="13348" max="13348" width="4" style="9" customWidth="1"/>
    <col min="13349" max="13539" width="9.6640625" style="9"/>
    <col min="13540" max="13540" width="6.44140625" style="9" customWidth="1"/>
    <col min="13541" max="13541" width="13.88671875" style="9" customWidth="1"/>
    <col min="13542" max="13542" width="14.33203125" style="9" customWidth="1"/>
    <col min="13543" max="13559" width="9.6640625" style="9"/>
    <col min="13560" max="13560" width="12" style="9" customWidth="1"/>
    <col min="13561" max="13561" width="12.77734375" style="9" customWidth="1"/>
    <col min="13562" max="13562" width="11.109375" style="9" customWidth="1"/>
    <col min="13563" max="13563" width="12" style="9" customWidth="1"/>
    <col min="13564" max="13564" width="9.6640625" style="9"/>
    <col min="13565" max="13565" width="15.33203125" style="9" customWidth="1"/>
    <col min="13566" max="13566" width="15.21875" style="9" customWidth="1"/>
    <col min="13567" max="13567" width="21.44140625" style="9" customWidth="1"/>
    <col min="13568" max="13583" width="9.6640625" style="9"/>
    <col min="13584" max="13585" width="13.44140625" style="9" customWidth="1"/>
    <col min="13586" max="13586" width="9.6640625" style="9"/>
    <col min="13587" max="13587" width="13.88671875" style="9" customWidth="1"/>
    <col min="13588" max="13588" width="10.6640625" style="9" customWidth="1"/>
    <col min="13589" max="13589" width="17.33203125" style="9" customWidth="1"/>
    <col min="13590" max="13591" width="12.6640625" style="9" customWidth="1"/>
    <col min="13592" max="13592" width="11.21875" style="9" customWidth="1"/>
    <col min="13593" max="13593" width="18.33203125" style="9" customWidth="1"/>
    <col min="13594" max="13594" width="12.88671875" style="9" customWidth="1"/>
    <col min="13595" max="13596" width="13.21875" style="9" customWidth="1"/>
    <col min="13597" max="13597" width="10.88671875" style="9" customWidth="1"/>
    <col min="13598" max="13598" width="11.109375" style="9" customWidth="1"/>
    <col min="13599" max="13599" width="15.21875" style="9" customWidth="1"/>
    <col min="13600" max="13600" width="9.6640625" style="9"/>
    <col min="13601" max="13601" width="11" style="9" customWidth="1"/>
    <col min="13602" max="13602" width="10.77734375" style="9" customWidth="1"/>
    <col min="13603" max="13603" width="11.44140625" style="9" customWidth="1"/>
    <col min="13604" max="13604" width="4" style="9" customWidth="1"/>
    <col min="13605" max="13795" width="9.6640625" style="9"/>
    <col min="13796" max="13796" width="6.44140625" style="9" customWidth="1"/>
    <col min="13797" max="13797" width="13.88671875" style="9" customWidth="1"/>
    <col min="13798" max="13798" width="14.33203125" style="9" customWidth="1"/>
    <col min="13799" max="13815" width="9.6640625" style="9"/>
    <col min="13816" max="13816" width="12" style="9" customWidth="1"/>
    <col min="13817" max="13817" width="12.77734375" style="9" customWidth="1"/>
    <col min="13818" max="13818" width="11.109375" style="9" customWidth="1"/>
    <col min="13819" max="13819" width="12" style="9" customWidth="1"/>
    <col min="13820" max="13820" width="9.6640625" style="9"/>
    <col min="13821" max="13821" width="15.33203125" style="9" customWidth="1"/>
    <col min="13822" max="13822" width="15.21875" style="9" customWidth="1"/>
    <col min="13823" max="13823" width="21.44140625" style="9" customWidth="1"/>
    <col min="13824" max="13839" width="9.6640625" style="9"/>
    <col min="13840" max="13841" width="13.44140625" style="9" customWidth="1"/>
    <col min="13842" max="13842" width="9.6640625" style="9"/>
    <col min="13843" max="13843" width="13.88671875" style="9" customWidth="1"/>
    <col min="13844" max="13844" width="10.6640625" style="9" customWidth="1"/>
    <col min="13845" max="13845" width="17.33203125" style="9" customWidth="1"/>
    <col min="13846" max="13847" width="12.6640625" style="9" customWidth="1"/>
    <col min="13848" max="13848" width="11.21875" style="9" customWidth="1"/>
    <col min="13849" max="13849" width="18.33203125" style="9" customWidth="1"/>
    <col min="13850" max="13850" width="12.88671875" style="9" customWidth="1"/>
    <col min="13851" max="13852" width="13.21875" style="9" customWidth="1"/>
    <col min="13853" max="13853" width="10.88671875" style="9" customWidth="1"/>
    <col min="13854" max="13854" width="11.109375" style="9" customWidth="1"/>
    <col min="13855" max="13855" width="15.21875" style="9" customWidth="1"/>
    <col min="13856" max="13856" width="9.6640625" style="9"/>
    <col min="13857" max="13857" width="11" style="9" customWidth="1"/>
    <col min="13858" max="13858" width="10.77734375" style="9" customWidth="1"/>
    <col min="13859" max="13859" width="11.44140625" style="9" customWidth="1"/>
    <col min="13860" max="13860" width="4" style="9" customWidth="1"/>
    <col min="13861" max="14051" width="9.6640625" style="9"/>
    <col min="14052" max="14052" width="6.44140625" style="9" customWidth="1"/>
    <col min="14053" max="14053" width="13.88671875" style="9" customWidth="1"/>
    <col min="14054" max="14054" width="14.33203125" style="9" customWidth="1"/>
    <col min="14055" max="14071" width="9.6640625" style="9"/>
    <col min="14072" max="14072" width="12" style="9" customWidth="1"/>
    <col min="14073" max="14073" width="12.77734375" style="9" customWidth="1"/>
    <col min="14074" max="14074" width="11.109375" style="9" customWidth="1"/>
    <col min="14075" max="14075" width="12" style="9" customWidth="1"/>
    <col min="14076" max="14076" width="9.6640625" style="9"/>
    <col min="14077" max="14077" width="15.33203125" style="9" customWidth="1"/>
    <col min="14078" max="14078" width="15.21875" style="9" customWidth="1"/>
    <col min="14079" max="14079" width="21.44140625" style="9" customWidth="1"/>
    <col min="14080" max="14095" width="9.6640625" style="9"/>
    <col min="14096" max="14097" width="13.44140625" style="9" customWidth="1"/>
    <col min="14098" max="14098" width="9.6640625" style="9"/>
    <col min="14099" max="14099" width="13.88671875" style="9" customWidth="1"/>
    <col min="14100" max="14100" width="10.6640625" style="9" customWidth="1"/>
    <col min="14101" max="14101" width="17.33203125" style="9" customWidth="1"/>
    <col min="14102" max="14103" width="12.6640625" style="9" customWidth="1"/>
    <col min="14104" max="14104" width="11.21875" style="9" customWidth="1"/>
    <col min="14105" max="14105" width="18.33203125" style="9" customWidth="1"/>
    <col min="14106" max="14106" width="12.88671875" style="9" customWidth="1"/>
    <col min="14107" max="14108" width="13.21875" style="9" customWidth="1"/>
    <col min="14109" max="14109" width="10.88671875" style="9" customWidth="1"/>
    <col min="14110" max="14110" width="11.109375" style="9" customWidth="1"/>
    <col min="14111" max="14111" width="15.21875" style="9" customWidth="1"/>
    <col min="14112" max="14112" width="9.6640625" style="9"/>
    <col min="14113" max="14113" width="11" style="9" customWidth="1"/>
    <col min="14114" max="14114" width="10.77734375" style="9" customWidth="1"/>
    <col min="14115" max="14115" width="11.44140625" style="9" customWidth="1"/>
    <col min="14116" max="14116" width="4" style="9" customWidth="1"/>
    <col min="14117" max="14307" width="9.6640625" style="9"/>
    <col min="14308" max="14308" width="6.44140625" style="9" customWidth="1"/>
    <col min="14309" max="14309" width="13.88671875" style="9" customWidth="1"/>
    <col min="14310" max="14310" width="14.33203125" style="9" customWidth="1"/>
    <col min="14311" max="14327" width="9.6640625" style="9"/>
    <col min="14328" max="14328" width="12" style="9" customWidth="1"/>
    <col min="14329" max="14329" width="12.77734375" style="9" customWidth="1"/>
    <col min="14330" max="14330" width="11.109375" style="9" customWidth="1"/>
    <col min="14331" max="14331" width="12" style="9" customWidth="1"/>
    <col min="14332" max="14332" width="9.6640625" style="9"/>
    <col min="14333" max="14333" width="15.33203125" style="9" customWidth="1"/>
    <col min="14334" max="14334" width="15.21875" style="9" customWidth="1"/>
    <col min="14335" max="14335" width="21.44140625" style="9" customWidth="1"/>
    <col min="14336" max="14351" width="9.6640625" style="9"/>
    <col min="14352" max="14353" width="13.44140625" style="9" customWidth="1"/>
    <col min="14354" max="14354" width="9.6640625" style="9"/>
    <col min="14355" max="14355" width="13.88671875" style="9" customWidth="1"/>
    <col min="14356" max="14356" width="10.6640625" style="9" customWidth="1"/>
    <col min="14357" max="14357" width="17.33203125" style="9" customWidth="1"/>
    <col min="14358" max="14359" width="12.6640625" style="9" customWidth="1"/>
    <col min="14360" max="14360" width="11.21875" style="9" customWidth="1"/>
    <col min="14361" max="14361" width="18.33203125" style="9" customWidth="1"/>
    <col min="14362" max="14362" width="12.88671875" style="9" customWidth="1"/>
    <col min="14363" max="14364" width="13.21875" style="9" customWidth="1"/>
    <col min="14365" max="14365" width="10.88671875" style="9" customWidth="1"/>
    <col min="14366" max="14366" width="11.109375" style="9" customWidth="1"/>
    <col min="14367" max="14367" width="15.21875" style="9" customWidth="1"/>
    <col min="14368" max="14368" width="9.6640625" style="9"/>
    <col min="14369" max="14369" width="11" style="9" customWidth="1"/>
    <col min="14370" max="14370" width="10.77734375" style="9" customWidth="1"/>
    <col min="14371" max="14371" width="11.44140625" style="9" customWidth="1"/>
    <col min="14372" max="14372" width="4" style="9" customWidth="1"/>
    <col min="14373" max="14563" width="9.6640625" style="9"/>
    <col min="14564" max="14564" width="6.44140625" style="9" customWidth="1"/>
    <col min="14565" max="14565" width="13.88671875" style="9" customWidth="1"/>
    <col min="14566" max="14566" width="14.33203125" style="9" customWidth="1"/>
    <col min="14567" max="14583" width="9.6640625" style="9"/>
    <col min="14584" max="14584" width="12" style="9" customWidth="1"/>
    <col min="14585" max="14585" width="12.77734375" style="9" customWidth="1"/>
    <col min="14586" max="14586" width="11.109375" style="9" customWidth="1"/>
    <col min="14587" max="14587" width="12" style="9" customWidth="1"/>
    <col min="14588" max="14588" width="9.6640625" style="9"/>
    <col min="14589" max="14589" width="15.33203125" style="9" customWidth="1"/>
    <col min="14590" max="14590" width="15.21875" style="9" customWidth="1"/>
    <col min="14591" max="14591" width="21.44140625" style="9" customWidth="1"/>
    <col min="14592" max="14607" width="9.6640625" style="9"/>
    <col min="14608" max="14609" width="13.44140625" style="9" customWidth="1"/>
    <col min="14610" max="14610" width="9.6640625" style="9"/>
    <col min="14611" max="14611" width="13.88671875" style="9" customWidth="1"/>
    <col min="14612" max="14612" width="10.6640625" style="9" customWidth="1"/>
    <col min="14613" max="14613" width="17.33203125" style="9" customWidth="1"/>
    <col min="14614" max="14615" width="12.6640625" style="9" customWidth="1"/>
    <col min="14616" max="14616" width="11.21875" style="9" customWidth="1"/>
    <col min="14617" max="14617" width="18.33203125" style="9" customWidth="1"/>
    <col min="14618" max="14618" width="12.88671875" style="9" customWidth="1"/>
    <col min="14619" max="14620" width="13.21875" style="9" customWidth="1"/>
    <col min="14621" max="14621" width="10.88671875" style="9" customWidth="1"/>
    <col min="14622" max="14622" width="11.109375" style="9" customWidth="1"/>
    <col min="14623" max="14623" width="15.21875" style="9" customWidth="1"/>
    <col min="14624" max="14624" width="9.6640625" style="9"/>
    <col min="14625" max="14625" width="11" style="9" customWidth="1"/>
    <col min="14626" max="14626" width="10.77734375" style="9" customWidth="1"/>
    <col min="14627" max="14627" width="11.44140625" style="9" customWidth="1"/>
    <col min="14628" max="14628" width="4" style="9" customWidth="1"/>
    <col min="14629" max="14819" width="9.6640625" style="9"/>
    <col min="14820" max="14820" width="6.44140625" style="9" customWidth="1"/>
    <col min="14821" max="14821" width="13.88671875" style="9" customWidth="1"/>
    <col min="14822" max="14822" width="14.33203125" style="9" customWidth="1"/>
    <col min="14823" max="14839" width="9.6640625" style="9"/>
    <col min="14840" max="14840" width="12" style="9" customWidth="1"/>
    <col min="14841" max="14841" width="12.77734375" style="9" customWidth="1"/>
    <col min="14842" max="14842" width="11.109375" style="9" customWidth="1"/>
    <col min="14843" max="14843" width="12" style="9" customWidth="1"/>
    <col min="14844" max="14844" width="9.6640625" style="9"/>
    <col min="14845" max="14845" width="15.33203125" style="9" customWidth="1"/>
    <col min="14846" max="14846" width="15.21875" style="9" customWidth="1"/>
    <col min="14847" max="14847" width="21.44140625" style="9" customWidth="1"/>
    <col min="14848" max="14863" width="9.6640625" style="9"/>
    <col min="14864" max="14865" width="13.44140625" style="9" customWidth="1"/>
    <col min="14866" max="14866" width="9.6640625" style="9"/>
    <col min="14867" max="14867" width="13.88671875" style="9" customWidth="1"/>
    <col min="14868" max="14868" width="10.6640625" style="9" customWidth="1"/>
    <col min="14869" max="14869" width="17.33203125" style="9" customWidth="1"/>
    <col min="14870" max="14871" width="12.6640625" style="9" customWidth="1"/>
    <col min="14872" max="14872" width="11.21875" style="9" customWidth="1"/>
    <col min="14873" max="14873" width="18.33203125" style="9" customWidth="1"/>
    <col min="14874" max="14874" width="12.88671875" style="9" customWidth="1"/>
    <col min="14875" max="14876" width="13.21875" style="9" customWidth="1"/>
    <col min="14877" max="14877" width="10.88671875" style="9" customWidth="1"/>
    <col min="14878" max="14878" width="11.109375" style="9" customWidth="1"/>
    <col min="14879" max="14879" width="15.21875" style="9" customWidth="1"/>
    <col min="14880" max="14880" width="9.6640625" style="9"/>
    <col min="14881" max="14881" width="11" style="9" customWidth="1"/>
    <col min="14882" max="14882" width="10.77734375" style="9" customWidth="1"/>
    <col min="14883" max="14883" width="11.44140625" style="9" customWidth="1"/>
    <col min="14884" max="14884" width="4" style="9" customWidth="1"/>
    <col min="14885" max="15075" width="9.6640625" style="9"/>
    <col min="15076" max="15076" width="6.44140625" style="9" customWidth="1"/>
    <col min="15077" max="15077" width="13.88671875" style="9" customWidth="1"/>
    <col min="15078" max="15078" width="14.33203125" style="9" customWidth="1"/>
    <col min="15079" max="15095" width="9.6640625" style="9"/>
    <col min="15096" max="15096" width="12" style="9" customWidth="1"/>
    <col min="15097" max="15097" width="12.77734375" style="9" customWidth="1"/>
    <col min="15098" max="15098" width="11.109375" style="9" customWidth="1"/>
    <col min="15099" max="15099" width="12" style="9" customWidth="1"/>
    <col min="15100" max="15100" width="9.6640625" style="9"/>
    <col min="15101" max="15101" width="15.33203125" style="9" customWidth="1"/>
    <col min="15102" max="15102" width="15.21875" style="9" customWidth="1"/>
    <col min="15103" max="15103" width="21.44140625" style="9" customWidth="1"/>
    <col min="15104" max="15119" width="9.6640625" style="9"/>
    <col min="15120" max="15121" width="13.44140625" style="9" customWidth="1"/>
    <col min="15122" max="15122" width="9.6640625" style="9"/>
    <col min="15123" max="15123" width="13.88671875" style="9" customWidth="1"/>
    <col min="15124" max="15124" width="10.6640625" style="9" customWidth="1"/>
    <col min="15125" max="15125" width="17.33203125" style="9" customWidth="1"/>
    <col min="15126" max="15127" width="12.6640625" style="9" customWidth="1"/>
    <col min="15128" max="15128" width="11.21875" style="9" customWidth="1"/>
    <col min="15129" max="15129" width="18.33203125" style="9" customWidth="1"/>
    <col min="15130" max="15130" width="12.88671875" style="9" customWidth="1"/>
    <col min="15131" max="15132" width="13.21875" style="9" customWidth="1"/>
    <col min="15133" max="15133" width="10.88671875" style="9" customWidth="1"/>
    <col min="15134" max="15134" width="11.109375" style="9" customWidth="1"/>
    <col min="15135" max="15135" width="15.21875" style="9" customWidth="1"/>
    <col min="15136" max="15136" width="9.6640625" style="9"/>
    <col min="15137" max="15137" width="11" style="9" customWidth="1"/>
    <col min="15138" max="15138" width="10.77734375" style="9" customWidth="1"/>
    <col min="15139" max="15139" width="11.44140625" style="9" customWidth="1"/>
    <col min="15140" max="15140" width="4" style="9" customWidth="1"/>
    <col min="15141" max="15331" width="9.6640625" style="9"/>
    <col min="15332" max="15332" width="6.44140625" style="9" customWidth="1"/>
    <col min="15333" max="15333" width="13.88671875" style="9" customWidth="1"/>
    <col min="15334" max="15334" width="14.33203125" style="9" customWidth="1"/>
    <col min="15335" max="15351" width="9.6640625" style="9"/>
    <col min="15352" max="15352" width="12" style="9" customWidth="1"/>
    <col min="15353" max="15353" width="12.77734375" style="9" customWidth="1"/>
    <col min="15354" max="15354" width="11.109375" style="9" customWidth="1"/>
    <col min="15355" max="15355" width="12" style="9" customWidth="1"/>
    <col min="15356" max="15356" width="9.6640625" style="9"/>
    <col min="15357" max="15357" width="15.33203125" style="9" customWidth="1"/>
    <col min="15358" max="15358" width="15.21875" style="9" customWidth="1"/>
    <col min="15359" max="15359" width="21.44140625" style="9" customWidth="1"/>
    <col min="15360" max="15375" width="9.6640625" style="9"/>
    <col min="15376" max="15377" width="13.44140625" style="9" customWidth="1"/>
    <col min="15378" max="15378" width="9.6640625" style="9"/>
    <col min="15379" max="15379" width="13.88671875" style="9" customWidth="1"/>
    <col min="15380" max="15380" width="10.6640625" style="9" customWidth="1"/>
    <col min="15381" max="15381" width="17.33203125" style="9" customWidth="1"/>
    <col min="15382" max="15383" width="12.6640625" style="9" customWidth="1"/>
    <col min="15384" max="15384" width="11.21875" style="9" customWidth="1"/>
    <col min="15385" max="15385" width="18.33203125" style="9" customWidth="1"/>
    <col min="15386" max="15386" width="12.88671875" style="9" customWidth="1"/>
    <col min="15387" max="15388" width="13.21875" style="9" customWidth="1"/>
    <col min="15389" max="15389" width="10.88671875" style="9" customWidth="1"/>
    <col min="15390" max="15390" width="11.109375" style="9" customWidth="1"/>
    <col min="15391" max="15391" width="15.21875" style="9" customWidth="1"/>
    <col min="15392" max="15392" width="9.6640625" style="9"/>
    <col min="15393" max="15393" width="11" style="9" customWidth="1"/>
    <col min="15394" max="15394" width="10.77734375" style="9" customWidth="1"/>
    <col min="15395" max="15395" width="11.44140625" style="9" customWidth="1"/>
    <col min="15396" max="15396" width="4" style="9" customWidth="1"/>
    <col min="15397" max="15587" width="9.6640625" style="9"/>
    <col min="15588" max="15588" width="6.44140625" style="9" customWidth="1"/>
    <col min="15589" max="15589" width="13.88671875" style="9" customWidth="1"/>
    <col min="15590" max="15590" width="14.33203125" style="9" customWidth="1"/>
    <col min="15591" max="15607" width="9.6640625" style="9"/>
    <col min="15608" max="15608" width="12" style="9" customWidth="1"/>
    <col min="15609" max="15609" width="12.77734375" style="9" customWidth="1"/>
    <col min="15610" max="15610" width="11.109375" style="9" customWidth="1"/>
    <col min="15611" max="15611" width="12" style="9" customWidth="1"/>
    <col min="15612" max="15612" width="9.6640625" style="9"/>
    <col min="15613" max="15613" width="15.33203125" style="9" customWidth="1"/>
    <col min="15614" max="15614" width="15.21875" style="9" customWidth="1"/>
    <col min="15615" max="15615" width="21.44140625" style="9" customWidth="1"/>
    <col min="15616" max="15631" width="9.6640625" style="9"/>
    <col min="15632" max="15633" width="13.44140625" style="9" customWidth="1"/>
    <col min="15634" max="15634" width="9.6640625" style="9"/>
    <col min="15635" max="15635" width="13.88671875" style="9" customWidth="1"/>
    <col min="15636" max="15636" width="10.6640625" style="9" customWidth="1"/>
    <col min="15637" max="15637" width="17.33203125" style="9" customWidth="1"/>
    <col min="15638" max="15639" width="12.6640625" style="9" customWidth="1"/>
    <col min="15640" max="15640" width="11.21875" style="9" customWidth="1"/>
    <col min="15641" max="15641" width="18.33203125" style="9" customWidth="1"/>
    <col min="15642" max="15642" width="12.88671875" style="9" customWidth="1"/>
    <col min="15643" max="15644" width="13.21875" style="9" customWidth="1"/>
    <col min="15645" max="15645" width="10.88671875" style="9" customWidth="1"/>
    <col min="15646" max="15646" width="11.109375" style="9" customWidth="1"/>
    <col min="15647" max="15647" width="15.21875" style="9" customWidth="1"/>
    <col min="15648" max="15648" width="9.6640625" style="9"/>
    <col min="15649" max="15649" width="11" style="9" customWidth="1"/>
    <col min="15650" max="15650" width="10.77734375" style="9" customWidth="1"/>
    <col min="15651" max="15651" width="11.44140625" style="9" customWidth="1"/>
    <col min="15652" max="15652" width="4" style="9" customWidth="1"/>
    <col min="15653" max="15843" width="9.6640625" style="9"/>
    <col min="15844" max="15844" width="6.44140625" style="9" customWidth="1"/>
    <col min="15845" max="15845" width="13.88671875" style="9" customWidth="1"/>
    <col min="15846" max="15846" width="14.33203125" style="9" customWidth="1"/>
    <col min="15847" max="15863" width="9.6640625" style="9"/>
    <col min="15864" max="15864" width="12" style="9" customWidth="1"/>
    <col min="15865" max="15865" width="12.77734375" style="9" customWidth="1"/>
    <col min="15866" max="15866" width="11.109375" style="9" customWidth="1"/>
    <col min="15867" max="15867" width="12" style="9" customWidth="1"/>
    <col min="15868" max="15868" width="9.6640625" style="9"/>
    <col min="15869" max="15869" width="15.33203125" style="9" customWidth="1"/>
    <col min="15870" max="15870" width="15.21875" style="9" customWidth="1"/>
    <col min="15871" max="15871" width="21.44140625" style="9" customWidth="1"/>
    <col min="15872" max="15887" width="9.6640625" style="9"/>
    <col min="15888" max="15889" width="13.44140625" style="9" customWidth="1"/>
    <col min="15890" max="15890" width="9.6640625" style="9"/>
    <col min="15891" max="15891" width="13.88671875" style="9" customWidth="1"/>
    <col min="15892" max="15892" width="10.6640625" style="9" customWidth="1"/>
    <col min="15893" max="15893" width="17.33203125" style="9" customWidth="1"/>
    <col min="15894" max="15895" width="12.6640625" style="9" customWidth="1"/>
    <col min="15896" max="15896" width="11.21875" style="9" customWidth="1"/>
    <col min="15897" max="15897" width="18.33203125" style="9" customWidth="1"/>
    <col min="15898" max="15898" width="12.88671875" style="9" customWidth="1"/>
    <col min="15899" max="15900" width="13.21875" style="9" customWidth="1"/>
    <col min="15901" max="15901" width="10.88671875" style="9" customWidth="1"/>
    <col min="15902" max="15902" width="11.109375" style="9" customWidth="1"/>
    <col min="15903" max="15903" width="15.21875" style="9" customWidth="1"/>
    <col min="15904" max="15904" width="9.6640625" style="9"/>
    <col min="15905" max="15905" width="11" style="9" customWidth="1"/>
    <col min="15906" max="15906" width="10.77734375" style="9" customWidth="1"/>
    <col min="15907" max="15907" width="11.44140625" style="9" customWidth="1"/>
    <col min="15908" max="15908" width="4" style="9" customWidth="1"/>
    <col min="15909" max="16099" width="9.6640625" style="9"/>
    <col min="16100" max="16100" width="6.44140625" style="9" customWidth="1"/>
    <col min="16101" max="16101" width="13.88671875" style="9" customWidth="1"/>
    <col min="16102" max="16102" width="14.33203125" style="9" customWidth="1"/>
    <col min="16103" max="16119" width="9.6640625" style="9"/>
    <col min="16120" max="16120" width="12" style="9" customWidth="1"/>
    <col min="16121" max="16121" width="12.77734375" style="9" customWidth="1"/>
    <col min="16122" max="16122" width="11.109375" style="9" customWidth="1"/>
    <col min="16123" max="16123" width="12" style="9" customWidth="1"/>
    <col min="16124" max="16124" width="9.6640625" style="9"/>
    <col min="16125" max="16125" width="15.33203125" style="9" customWidth="1"/>
    <col min="16126" max="16126" width="15.21875" style="9" customWidth="1"/>
    <col min="16127" max="16127" width="21.44140625" style="9" customWidth="1"/>
    <col min="16128" max="16143" width="9.6640625" style="9"/>
    <col min="16144" max="16145" width="13.44140625" style="9" customWidth="1"/>
    <col min="16146" max="16146" width="9.6640625" style="9"/>
    <col min="16147" max="16147" width="13.88671875" style="9" customWidth="1"/>
    <col min="16148" max="16148" width="10.6640625" style="9" customWidth="1"/>
    <col min="16149" max="16149" width="17.33203125" style="9" customWidth="1"/>
    <col min="16150" max="16151" width="12.6640625" style="9" customWidth="1"/>
    <col min="16152" max="16152" width="11.21875" style="9" customWidth="1"/>
    <col min="16153" max="16153" width="18.33203125" style="9" customWidth="1"/>
    <col min="16154" max="16154" width="12.88671875" style="9" customWidth="1"/>
    <col min="16155" max="16156" width="13.21875" style="9" customWidth="1"/>
    <col min="16157" max="16157" width="10.88671875" style="9" customWidth="1"/>
    <col min="16158" max="16158" width="11.109375" style="9" customWidth="1"/>
    <col min="16159" max="16159" width="15.21875" style="9" customWidth="1"/>
    <col min="16160" max="16160" width="9.6640625" style="9"/>
    <col min="16161" max="16161" width="11" style="9" customWidth="1"/>
    <col min="16162" max="16162" width="10.77734375" style="9" customWidth="1"/>
    <col min="16163" max="16163" width="11.44140625" style="9" customWidth="1"/>
    <col min="16164" max="16164" width="4" style="9" customWidth="1"/>
    <col min="16165" max="16384" width="9.6640625" style="9"/>
  </cols>
  <sheetData>
    <row r="1" spans="1:215" ht="13.2" x14ac:dyDescent="0.2">
      <c r="A1" s="8" t="s">
        <v>75</v>
      </c>
    </row>
    <row r="2" spans="1:215" x14ac:dyDescent="0.2">
      <c r="C2" s="11" t="s">
        <v>76</v>
      </c>
    </row>
    <row r="3" spans="1:215" s="10" customFormat="1" x14ac:dyDescent="0.2">
      <c r="A3" s="12"/>
      <c r="B3" s="13" t="s">
        <v>77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</row>
    <row r="4" spans="1:215" s="10" customFormat="1" x14ac:dyDescent="0.2">
      <c r="A4" s="12"/>
      <c r="B4" s="15" t="s">
        <v>78</v>
      </c>
      <c r="C4" s="14" t="s">
        <v>527</v>
      </c>
      <c r="D4" s="14" t="s">
        <v>527</v>
      </c>
      <c r="E4" s="14" t="s">
        <v>527</v>
      </c>
      <c r="F4" s="14" t="s">
        <v>527</v>
      </c>
      <c r="G4" s="14" t="s">
        <v>527</v>
      </c>
      <c r="H4" s="14" t="s">
        <v>527</v>
      </c>
      <c r="I4" s="14" t="s">
        <v>527</v>
      </c>
      <c r="J4" s="14" t="s">
        <v>527</v>
      </c>
      <c r="K4" s="14" t="s">
        <v>527</v>
      </c>
      <c r="L4" s="14" t="s">
        <v>527</v>
      </c>
      <c r="M4" s="14" t="s">
        <v>527</v>
      </c>
      <c r="N4" s="14" t="s">
        <v>527</v>
      </c>
      <c r="O4" s="14" t="s">
        <v>527</v>
      </c>
      <c r="P4" s="14" t="s">
        <v>527</v>
      </c>
      <c r="Q4" s="14" t="s">
        <v>527</v>
      </c>
      <c r="R4" s="14" t="s">
        <v>527</v>
      </c>
      <c r="S4" s="14" t="s">
        <v>527</v>
      </c>
      <c r="T4" s="14" t="s">
        <v>527</v>
      </c>
      <c r="U4" s="14" t="s">
        <v>527</v>
      </c>
      <c r="V4" s="14" t="s">
        <v>527</v>
      </c>
      <c r="W4" s="14" t="s">
        <v>527</v>
      </c>
      <c r="X4" s="14" t="s">
        <v>527</v>
      </c>
      <c r="Y4" s="14" t="s">
        <v>527</v>
      </c>
      <c r="Z4" s="14" t="s">
        <v>527</v>
      </c>
      <c r="AA4" s="14" t="s">
        <v>527</v>
      </c>
      <c r="AB4" s="14" t="s">
        <v>527</v>
      </c>
      <c r="AC4" s="14" t="s">
        <v>527</v>
      </c>
      <c r="AD4" s="14" t="s">
        <v>527</v>
      </c>
      <c r="AE4" s="14" t="s">
        <v>527</v>
      </c>
      <c r="AF4" s="14" t="s">
        <v>527</v>
      </c>
      <c r="AG4" s="14" t="s">
        <v>527</v>
      </c>
      <c r="AH4" s="14" t="s">
        <v>527</v>
      </c>
      <c r="AI4" s="14" t="s">
        <v>527</v>
      </c>
      <c r="AJ4" s="14" t="s">
        <v>527</v>
      </c>
      <c r="AK4" s="14" t="s">
        <v>527</v>
      </c>
      <c r="AL4" s="14" t="s">
        <v>527</v>
      </c>
      <c r="AM4" s="14" t="s">
        <v>527</v>
      </c>
      <c r="AN4" s="14" t="s">
        <v>527</v>
      </c>
      <c r="AO4" s="14" t="s">
        <v>527</v>
      </c>
      <c r="AP4" s="14" t="s">
        <v>527</v>
      </c>
      <c r="AQ4" s="14" t="s">
        <v>527</v>
      </c>
      <c r="AR4" s="14" t="s">
        <v>527</v>
      </c>
      <c r="AS4" s="14" t="s">
        <v>527</v>
      </c>
      <c r="AT4" s="14" t="s">
        <v>527</v>
      </c>
      <c r="AU4" s="14" t="s">
        <v>527</v>
      </c>
      <c r="AV4" s="14" t="s">
        <v>527</v>
      </c>
      <c r="AW4" s="14" t="s">
        <v>527</v>
      </c>
      <c r="AX4" s="14" t="s">
        <v>527</v>
      </c>
      <c r="AY4" s="14" t="s">
        <v>527</v>
      </c>
      <c r="AZ4" s="14" t="s">
        <v>527</v>
      </c>
      <c r="BA4" s="14" t="s">
        <v>527</v>
      </c>
      <c r="BB4" s="14" t="s">
        <v>527</v>
      </c>
      <c r="BC4" s="14" t="s">
        <v>527</v>
      </c>
      <c r="BD4" s="14" t="s">
        <v>527</v>
      </c>
      <c r="BE4" s="14" t="s">
        <v>527</v>
      </c>
      <c r="BF4" s="14" t="s">
        <v>527</v>
      </c>
      <c r="BG4" s="14" t="s">
        <v>527</v>
      </c>
      <c r="BH4" s="14" t="s">
        <v>527</v>
      </c>
      <c r="BI4" s="14" t="s">
        <v>527</v>
      </c>
      <c r="BJ4" s="14" t="s">
        <v>527</v>
      </c>
      <c r="BK4" s="14" t="s">
        <v>527</v>
      </c>
      <c r="BL4" s="14" t="s">
        <v>527</v>
      </c>
      <c r="BM4" s="14" t="s">
        <v>527</v>
      </c>
      <c r="BN4" s="14" t="s">
        <v>583</v>
      </c>
      <c r="BO4" s="14" t="s">
        <v>527</v>
      </c>
      <c r="BP4" s="14" t="s">
        <v>527</v>
      </c>
      <c r="BQ4" s="14" t="s">
        <v>527</v>
      </c>
      <c r="BR4" s="14" t="s">
        <v>527</v>
      </c>
      <c r="BS4" s="14" t="s">
        <v>527</v>
      </c>
      <c r="BT4" s="14" t="s">
        <v>527</v>
      </c>
      <c r="BU4" s="14" t="s">
        <v>527</v>
      </c>
      <c r="BV4" s="14" t="s">
        <v>527</v>
      </c>
      <c r="BW4" s="14" t="s">
        <v>527</v>
      </c>
      <c r="BX4" s="14" t="s">
        <v>527</v>
      </c>
      <c r="BY4" s="14" t="s">
        <v>527</v>
      </c>
      <c r="BZ4" s="14" t="s">
        <v>527</v>
      </c>
      <c r="CA4" s="14" t="s">
        <v>527</v>
      </c>
      <c r="CB4" s="14" t="s">
        <v>527</v>
      </c>
      <c r="CC4" s="14" t="s">
        <v>527</v>
      </c>
      <c r="CD4" s="14" t="s">
        <v>527</v>
      </c>
      <c r="CE4" s="14" t="s">
        <v>527</v>
      </c>
      <c r="CF4" s="14" t="s">
        <v>527</v>
      </c>
      <c r="CG4" s="14" t="s">
        <v>527</v>
      </c>
      <c r="CH4" s="14" t="s">
        <v>527</v>
      </c>
      <c r="CI4" s="14" t="s">
        <v>527</v>
      </c>
      <c r="CJ4" s="14" t="s">
        <v>527</v>
      </c>
      <c r="CK4" s="14" t="s">
        <v>527</v>
      </c>
      <c r="CL4" s="14" t="s">
        <v>527</v>
      </c>
      <c r="CM4" s="14" t="s">
        <v>527</v>
      </c>
      <c r="CN4" s="14" t="s">
        <v>527</v>
      </c>
      <c r="CO4" s="14" t="s">
        <v>527</v>
      </c>
      <c r="CP4" s="14" t="s">
        <v>527</v>
      </c>
      <c r="CQ4" s="14" t="s">
        <v>527</v>
      </c>
      <c r="CR4" s="14" t="s">
        <v>527</v>
      </c>
      <c r="CS4" s="14" t="s">
        <v>527</v>
      </c>
      <c r="CT4" s="14" t="s">
        <v>527</v>
      </c>
      <c r="CU4" s="14" t="s">
        <v>527</v>
      </c>
      <c r="CV4" s="14" t="s">
        <v>527</v>
      </c>
      <c r="CW4" s="14" t="s">
        <v>527</v>
      </c>
      <c r="CX4" s="14" t="s">
        <v>527</v>
      </c>
      <c r="CY4" s="14" t="s">
        <v>527</v>
      </c>
      <c r="CZ4" s="14" t="s">
        <v>527</v>
      </c>
      <c r="DA4" s="14" t="s">
        <v>527</v>
      </c>
      <c r="DB4" s="14" t="s">
        <v>527</v>
      </c>
      <c r="DC4" s="14" t="s">
        <v>527</v>
      </c>
      <c r="DD4" s="14" t="s">
        <v>527</v>
      </c>
      <c r="DE4" s="14" t="s">
        <v>527</v>
      </c>
      <c r="DF4" s="14" t="s">
        <v>527</v>
      </c>
      <c r="DG4" s="14" t="s">
        <v>527</v>
      </c>
      <c r="DH4" s="14" t="s">
        <v>527</v>
      </c>
      <c r="DI4" s="14" t="s">
        <v>527</v>
      </c>
      <c r="DJ4" s="14" t="s">
        <v>527</v>
      </c>
      <c r="DK4" s="14" t="s">
        <v>527</v>
      </c>
      <c r="DL4" s="14" t="s">
        <v>527</v>
      </c>
      <c r="DM4" s="14" t="s">
        <v>527</v>
      </c>
      <c r="DN4" s="14" t="s">
        <v>527</v>
      </c>
      <c r="DO4" s="14" t="s">
        <v>527</v>
      </c>
      <c r="DP4" s="14" t="s">
        <v>527</v>
      </c>
      <c r="DQ4" s="14" t="s">
        <v>527</v>
      </c>
      <c r="DR4" s="14" t="s">
        <v>527</v>
      </c>
      <c r="DS4" s="14" t="s">
        <v>527</v>
      </c>
      <c r="DT4" s="14" t="s">
        <v>527</v>
      </c>
      <c r="DU4" s="14" t="s">
        <v>527</v>
      </c>
      <c r="DV4" s="14" t="s">
        <v>527</v>
      </c>
      <c r="DW4" s="14" t="s">
        <v>527</v>
      </c>
      <c r="DX4" s="14" t="s">
        <v>527</v>
      </c>
      <c r="DY4" s="14" t="s">
        <v>527</v>
      </c>
      <c r="DZ4" s="14" t="s">
        <v>527</v>
      </c>
      <c r="EA4" s="14" t="s">
        <v>527</v>
      </c>
      <c r="EB4" s="14" t="s">
        <v>527</v>
      </c>
      <c r="EC4" s="14" t="s">
        <v>527</v>
      </c>
      <c r="ED4" s="14" t="s">
        <v>527</v>
      </c>
      <c r="EE4" s="14" t="s">
        <v>527</v>
      </c>
      <c r="EF4" s="14" t="s">
        <v>527</v>
      </c>
      <c r="EG4" s="14" t="s">
        <v>527</v>
      </c>
      <c r="EH4" s="14" t="s">
        <v>527</v>
      </c>
      <c r="EI4" s="14" t="s">
        <v>527</v>
      </c>
      <c r="EJ4" s="14" t="s">
        <v>527</v>
      </c>
      <c r="EK4" s="14" t="s">
        <v>527</v>
      </c>
      <c r="EL4" s="14" t="s">
        <v>527</v>
      </c>
      <c r="EM4" s="14" t="s">
        <v>527</v>
      </c>
      <c r="EN4" s="14" t="s">
        <v>527</v>
      </c>
      <c r="EO4" s="14" t="s">
        <v>527</v>
      </c>
      <c r="EP4" s="14" t="s">
        <v>527</v>
      </c>
      <c r="EQ4" s="14" t="s">
        <v>527</v>
      </c>
      <c r="ER4" s="14" t="s">
        <v>527</v>
      </c>
      <c r="ES4" s="14" t="s">
        <v>527</v>
      </c>
      <c r="ET4" s="14" t="s">
        <v>527</v>
      </c>
      <c r="EU4" s="14" t="s">
        <v>527</v>
      </c>
      <c r="EV4" s="14" t="s">
        <v>527</v>
      </c>
      <c r="EW4" s="14" t="s">
        <v>527</v>
      </c>
      <c r="EX4" s="14" t="s">
        <v>527</v>
      </c>
      <c r="EY4" s="14" t="s">
        <v>527</v>
      </c>
      <c r="EZ4" s="14" t="s">
        <v>527</v>
      </c>
      <c r="FA4" s="14" t="s">
        <v>527</v>
      </c>
      <c r="FB4" s="14" t="s">
        <v>527</v>
      </c>
      <c r="FC4" s="14" t="s">
        <v>527</v>
      </c>
      <c r="FD4" s="14" t="s">
        <v>527</v>
      </c>
      <c r="FE4" s="14" t="s">
        <v>527</v>
      </c>
      <c r="FF4" s="14" t="s">
        <v>527</v>
      </c>
      <c r="FG4" s="14" t="s">
        <v>527</v>
      </c>
      <c r="FH4" s="14" t="s">
        <v>527</v>
      </c>
      <c r="FI4" s="14" t="s">
        <v>527</v>
      </c>
      <c r="FJ4" s="14" t="s">
        <v>584</v>
      </c>
      <c r="FK4" s="14" t="s">
        <v>527</v>
      </c>
      <c r="FL4" s="14" t="s">
        <v>527</v>
      </c>
      <c r="FM4" s="14" t="s">
        <v>527</v>
      </c>
      <c r="FN4" s="14" t="s">
        <v>527</v>
      </c>
      <c r="FO4" s="14" t="s">
        <v>527</v>
      </c>
      <c r="FP4" s="14" t="s">
        <v>527</v>
      </c>
      <c r="FQ4" s="14" t="s">
        <v>527</v>
      </c>
      <c r="FR4" s="14" t="s">
        <v>527</v>
      </c>
      <c r="FS4" s="14" t="s">
        <v>527</v>
      </c>
      <c r="FT4" s="14" t="s">
        <v>527</v>
      </c>
      <c r="FU4" s="14" t="s">
        <v>527</v>
      </c>
      <c r="FV4" s="14" t="s">
        <v>527</v>
      </c>
      <c r="FW4" s="14" t="s">
        <v>527</v>
      </c>
      <c r="FX4" s="14" t="s">
        <v>527</v>
      </c>
      <c r="FY4" s="14" t="s">
        <v>527</v>
      </c>
      <c r="FZ4" s="14" t="s">
        <v>527</v>
      </c>
      <c r="GA4" s="14" t="s">
        <v>527</v>
      </c>
      <c r="GB4" s="14" t="s">
        <v>527</v>
      </c>
      <c r="GC4" s="14" t="s">
        <v>527</v>
      </c>
      <c r="GD4" s="14" t="s">
        <v>527</v>
      </c>
      <c r="GE4" s="14" t="s">
        <v>527</v>
      </c>
      <c r="GF4" s="14" t="s">
        <v>527</v>
      </c>
      <c r="GG4" s="14" t="s">
        <v>527</v>
      </c>
      <c r="GH4" s="14" t="s">
        <v>527</v>
      </c>
      <c r="GI4" s="14" t="s">
        <v>527</v>
      </c>
      <c r="GJ4" s="14" t="s">
        <v>527</v>
      </c>
      <c r="GK4" s="14" t="s">
        <v>527</v>
      </c>
      <c r="GL4" s="14" t="s">
        <v>527</v>
      </c>
      <c r="GM4" s="14" t="s">
        <v>527</v>
      </c>
      <c r="GN4" s="14" t="s">
        <v>527</v>
      </c>
      <c r="GO4" s="14" t="s">
        <v>527</v>
      </c>
      <c r="GP4" s="14" t="s">
        <v>527</v>
      </c>
      <c r="GQ4" s="14" t="s">
        <v>527</v>
      </c>
      <c r="GR4" s="14" t="s">
        <v>527</v>
      </c>
      <c r="GS4" s="14" t="s">
        <v>527</v>
      </c>
      <c r="GT4" s="14" t="s">
        <v>527</v>
      </c>
      <c r="GU4" s="14" t="s">
        <v>527</v>
      </c>
      <c r="GV4" s="14" t="s">
        <v>527</v>
      </c>
      <c r="GW4" s="14" t="s">
        <v>527</v>
      </c>
      <c r="GX4" s="14" t="s">
        <v>527</v>
      </c>
      <c r="GY4" s="14" t="s">
        <v>527</v>
      </c>
      <c r="GZ4" s="14" t="s">
        <v>527</v>
      </c>
      <c r="HA4" s="14" t="s">
        <v>527</v>
      </c>
      <c r="HB4" s="14" t="s">
        <v>527</v>
      </c>
      <c r="HC4" s="14" t="s">
        <v>527</v>
      </c>
      <c r="HD4" s="14" t="s">
        <v>527</v>
      </c>
      <c r="HE4" s="14" t="s">
        <v>527</v>
      </c>
      <c r="HF4" s="14" t="s">
        <v>527</v>
      </c>
      <c r="HG4" s="14" t="s">
        <v>527</v>
      </c>
    </row>
    <row r="5" spans="1:215" s="10" customFormat="1" x14ac:dyDescent="0.2">
      <c r="A5" s="12"/>
      <c r="B5" s="13" t="s">
        <v>79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</row>
    <row r="6" spans="1:215" s="18" customFormat="1" ht="20.399999999999999" x14ac:dyDescent="0.2">
      <c r="A6" s="16"/>
      <c r="B6" s="13" t="s">
        <v>80</v>
      </c>
      <c r="C6" s="100"/>
      <c r="D6" s="100"/>
      <c r="E6" s="100"/>
      <c r="F6" s="100" t="s">
        <v>517</v>
      </c>
      <c r="G6" s="100"/>
      <c r="H6" s="100"/>
      <c r="I6" s="100"/>
      <c r="J6" s="100"/>
      <c r="K6" s="100" t="s">
        <v>458</v>
      </c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 t="s">
        <v>621</v>
      </c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 t="s">
        <v>518</v>
      </c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 t="s">
        <v>519</v>
      </c>
      <c r="FZ6" s="100" t="s">
        <v>521</v>
      </c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</row>
    <row r="7" spans="1:215" s="21" customFormat="1" ht="40.799999999999997" x14ac:dyDescent="0.3">
      <c r="A7" s="19"/>
      <c r="B7" s="20" t="s">
        <v>81</v>
      </c>
      <c r="C7" s="20" t="s">
        <v>189</v>
      </c>
      <c r="D7" s="20" t="s">
        <v>204</v>
      </c>
      <c r="E7" s="20" t="s">
        <v>205</v>
      </c>
      <c r="F7" s="20" t="s">
        <v>520</v>
      </c>
      <c r="G7" s="20" t="s">
        <v>203</v>
      </c>
      <c r="H7" s="20" t="s">
        <v>206</v>
      </c>
      <c r="I7" s="20" t="s">
        <v>356</v>
      </c>
      <c r="J7" s="20" t="s">
        <v>357</v>
      </c>
      <c r="K7" s="20" t="s">
        <v>358</v>
      </c>
      <c r="L7" s="20" t="s">
        <v>91</v>
      </c>
      <c r="M7" s="20" t="s">
        <v>359</v>
      </c>
      <c r="N7" s="20" t="s">
        <v>298</v>
      </c>
      <c r="O7" s="20" t="s">
        <v>360</v>
      </c>
      <c r="P7" s="20" t="s">
        <v>60</v>
      </c>
      <c r="Q7" s="20" t="s">
        <v>38</v>
      </c>
      <c r="R7" s="20" t="s">
        <v>8</v>
      </c>
      <c r="S7" s="20" t="s">
        <v>207</v>
      </c>
      <c r="T7" s="20" t="s">
        <v>208</v>
      </c>
      <c r="U7" s="20" t="s">
        <v>209</v>
      </c>
      <c r="V7" s="20" t="s">
        <v>210</v>
      </c>
      <c r="W7" s="20" t="s">
        <v>211</v>
      </c>
      <c r="X7" s="20" t="s">
        <v>7</v>
      </c>
      <c r="Y7" s="20" t="s">
        <v>159</v>
      </c>
      <c r="Z7" s="20" t="s">
        <v>363</v>
      </c>
      <c r="AA7" s="20" t="s">
        <v>57</v>
      </c>
      <c r="AB7" s="20" t="s">
        <v>162</v>
      </c>
      <c r="AC7" s="20" t="s">
        <v>364</v>
      </c>
      <c r="AD7" s="20" t="s">
        <v>319</v>
      </c>
      <c r="AE7" s="20" t="s">
        <v>622</v>
      </c>
      <c r="AF7" s="20" t="s">
        <v>365</v>
      </c>
      <c r="AG7" s="20" t="s">
        <v>314</v>
      </c>
      <c r="AH7" s="20" t="s">
        <v>318</v>
      </c>
      <c r="AI7" s="20" t="s">
        <v>316</v>
      </c>
      <c r="AJ7" s="20" t="s">
        <v>212</v>
      </c>
      <c r="AK7" s="20" t="s">
        <v>361</v>
      </c>
      <c r="AL7" s="20" t="s">
        <v>375</v>
      </c>
      <c r="AM7" s="20" t="s">
        <v>362</v>
      </c>
      <c r="AN7" s="20" t="s">
        <v>10</v>
      </c>
      <c r="AO7" s="20" t="s">
        <v>4</v>
      </c>
      <c r="AP7" s="20" t="s">
        <v>367</v>
      </c>
      <c r="AQ7" s="20" t="s">
        <v>24</v>
      </c>
      <c r="AR7" s="20" t="s">
        <v>368</v>
      </c>
      <c r="AS7" s="20" t="s">
        <v>145</v>
      </c>
      <c r="AT7" s="20" t="s">
        <v>146</v>
      </c>
      <c r="AU7" s="20" t="s">
        <v>218</v>
      </c>
      <c r="AV7" s="20" t="s">
        <v>369</v>
      </c>
      <c r="AW7" s="20" t="s">
        <v>370</v>
      </c>
      <c r="AX7" s="20" t="s">
        <v>371</v>
      </c>
      <c r="AY7" s="20" t="s">
        <v>35</v>
      </c>
      <c r="AZ7" s="20" t="s">
        <v>372</v>
      </c>
      <c r="BA7" s="20" t="s">
        <v>373</v>
      </c>
      <c r="BB7" s="20" t="s">
        <v>374</v>
      </c>
      <c r="BC7" s="20" t="s">
        <v>213</v>
      </c>
      <c r="BD7" s="20" t="s">
        <v>214</v>
      </c>
      <c r="BE7" s="20" t="s">
        <v>217</v>
      </c>
      <c r="BF7" s="20" t="s">
        <v>161</v>
      </c>
      <c r="BG7" s="20" t="s">
        <v>13</v>
      </c>
      <c r="BH7" s="20" t="s">
        <v>216</v>
      </c>
      <c r="BI7" s="20" t="s">
        <v>382</v>
      </c>
      <c r="BJ7" s="20" t="s">
        <v>215</v>
      </c>
      <c r="BK7" s="20" t="s">
        <v>383</v>
      </c>
      <c r="BL7" s="20" t="s">
        <v>384</v>
      </c>
      <c r="BM7" s="20" t="s">
        <v>380</v>
      </c>
      <c r="BN7" s="20" t="s">
        <v>381</v>
      </c>
      <c r="BO7" s="20" t="s">
        <v>381</v>
      </c>
      <c r="BP7" s="20" t="s">
        <v>219</v>
      </c>
      <c r="BQ7" s="20" t="s">
        <v>220</v>
      </c>
      <c r="BR7" s="20" t="s">
        <v>221</v>
      </c>
      <c r="BS7" s="20" t="s">
        <v>222</v>
      </c>
      <c r="BT7" s="20" t="s">
        <v>223</v>
      </c>
      <c r="BU7" s="20" t="s">
        <v>224</v>
      </c>
      <c r="BV7" s="20" t="s">
        <v>226</v>
      </c>
      <c r="BW7" s="20" t="s">
        <v>376</v>
      </c>
      <c r="BX7" s="20" t="s">
        <v>377</v>
      </c>
      <c r="BY7" s="20" t="s">
        <v>225</v>
      </c>
      <c r="BZ7" s="20" t="s">
        <v>227</v>
      </c>
      <c r="CA7" s="20" t="s">
        <v>228</v>
      </c>
      <c r="CB7" s="20" t="s">
        <v>6</v>
      </c>
      <c r="CC7" s="20" t="s">
        <v>12</v>
      </c>
      <c r="CD7" s="20" t="s">
        <v>378</v>
      </c>
      <c r="CE7" s="20" t="s">
        <v>229</v>
      </c>
      <c r="CF7" s="20" t="s">
        <v>230</v>
      </c>
      <c r="CG7" s="20" t="s">
        <v>231</v>
      </c>
      <c r="CH7" s="20" t="s">
        <v>623</v>
      </c>
      <c r="CI7" s="20" t="s">
        <v>379</v>
      </c>
      <c r="CJ7" s="20" t="s">
        <v>624</v>
      </c>
      <c r="CK7" s="20" t="s">
        <v>149</v>
      </c>
      <c r="CL7" s="20" t="s">
        <v>232</v>
      </c>
      <c r="CM7" s="20" t="s">
        <v>36</v>
      </c>
      <c r="CN7" s="20" t="s">
        <v>202</v>
      </c>
      <c r="CO7" s="20" t="s">
        <v>385</v>
      </c>
      <c r="CP7" s="20" t="s">
        <v>386</v>
      </c>
      <c r="CQ7" s="20" t="s">
        <v>387</v>
      </c>
      <c r="CR7" s="20" t="s">
        <v>388</v>
      </c>
      <c r="CS7" s="20" t="s">
        <v>93</v>
      </c>
      <c r="CT7" s="20" t="s">
        <v>389</v>
      </c>
      <c r="CU7" s="20" t="s">
        <v>390</v>
      </c>
      <c r="CV7" s="20" t="s">
        <v>391</v>
      </c>
      <c r="CW7" s="20" t="s">
        <v>392</v>
      </c>
      <c r="CX7" s="20" t="s">
        <v>233</v>
      </c>
      <c r="CY7" s="20" t="s">
        <v>96</v>
      </c>
      <c r="CZ7" s="20" t="s">
        <v>395</v>
      </c>
      <c r="DA7" s="20" t="s">
        <v>235</v>
      </c>
      <c r="DB7" s="20" t="s">
        <v>234</v>
      </c>
      <c r="DC7" s="20" t="s">
        <v>236</v>
      </c>
      <c r="DD7" s="20" t="s">
        <v>237</v>
      </c>
      <c r="DE7" s="20" t="s">
        <v>238</v>
      </c>
      <c r="DF7" s="20" t="s">
        <v>239</v>
      </c>
      <c r="DG7" s="20" t="s">
        <v>164</v>
      </c>
      <c r="DH7" s="20" t="s">
        <v>150</v>
      </c>
      <c r="DI7" s="20" t="s">
        <v>396</v>
      </c>
      <c r="DJ7" s="20" t="s">
        <v>397</v>
      </c>
      <c r="DK7" s="20" t="s">
        <v>151</v>
      </c>
      <c r="DL7" s="20" t="s">
        <v>240</v>
      </c>
      <c r="DM7" s="20" t="s">
        <v>82</v>
      </c>
      <c r="DN7" s="20" t="s">
        <v>241</v>
      </c>
      <c r="DO7" s="20" t="s">
        <v>242</v>
      </c>
      <c r="DP7" s="20" t="s">
        <v>243</v>
      </c>
      <c r="DQ7" s="20" t="s">
        <v>152</v>
      </c>
      <c r="DR7" s="20" t="s">
        <v>247</v>
      </c>
      <c r="DS7" s="20" t="s">
        <v>244</v>
      </c>
      <c r="DT7" s="20" t="s">
        <v>248</v>
      </c>
      <c r="DU7" s="20" t="s">
        <v>245</v>
      </c>
      <c r="DV7" s="20" t="s">
        <v>393</v>
      </c>
      <c r="DW7" s="20" t="s">
        <v>249</v>
      </c>
      <c r="DX7" s="20" t="s">
        <v>394</v>
      </c>
      <c r="DY7" s="20" t="s">
        <v>250</v>
      </c>
      <c r="DZ7" s="20" t="s">
        <v>251</v>
      </c>
      <c r="EA7" s="20" t="s">
        <v>252</v>
      </c>
      <c r="EB7" s="20" t="s">
        <v>644</v>
      </c>
      <c r="EC7" s="20" t="s">
        <v>644</v>
      </c>
      <c r="ED7" s="20" t="s">
        <v>399</v>
      </c>
      <c r="EE7" s="20" t="s">
        <v>400</v>
      </c>
      <c r="EF7" s="20" t="s">
        <v>253</v>
      </c>
      <c r="EG7" s="20" t="s">
        <v>254</v>
      </c>
      <c r="EH7" s="20" t="s">
        <v>255</v>
      </c>
      <c r="EI7" s="20" t="s">
        <v>401</v>
      </c>
      <c r="EJ7" s="20" t="s">
        <v>402</v>
      </c>
      <c r="EK7" s="20" t="s">
        <v>403</v>
      </c>
      <c r="EL7" s="20" t="s">
        <v>256</v>
      </c>
      <c r="EM7" s="20" t="s">
        <v>405</v>
      </c>
      <c r="EN7" s="20" t="s">
        <v>404</v>
      </c>
      <c r="EO7" s="20" t="s">
        <v>153</v>
      </c>
      <c r="EP7" s="20" t="s">
        <v>246</v>
      </c>
      <c r="EQ7" s="20" t="s">
        <v>625</v>
      </c>
      <c r="ER7" s="20" t="s">
        <v>626</v>
      </c>
      <c r="ES7" s="20" t="s">
        <v>627</v>
      </c>
      <c r="ET7" s="20" t="s">
        <v>83</v>
      </c>
      <c r="EU7" s="20" t="s">
        <v>398</v>
      </c>
      <c r="EV7" s="20" t="s">
        <v>257</v>
      </c>
      <c r="EW7" s="20" t="s">
        <v>52</v>
      </c>
      <c r="EX7" s="20" t="s">
        <v>406</v>
      </c>
      <c r="EY7" s="20" t="s">
        <v>154</v>
      </c>
      <c r="EZ7" s="20" t="s">
        <v>628</v>
      </c>
      <c r="FA7" s="20" t="s">
        <v>629</v>
      </c>
      <c r="FB7" s="20" t="s">
        <v>258</v>
      </c>
      <c r="FC7" s="20" t="s">
        <v>630</v>
      </c>
      <c r="FD7" s="20" t="s">
        <v>631</v>
      </c>
      <c r="FE7" s="20" t="s">
        <v>259</v>
      </c>
      <c r="FF7" s="20" t="s">
        <v>260</v>
      </c>
      <c r="FG7" s="20" t="s">
        <v>407</v>
      </c>
      <c r="FH7" s="20" t="s">
        <v>632</v>
      </c>
      <c r="FI7" s="20" t="s">
        <v>261</v>
      </c>
      <c r="FJ7" s="20" t="s">
        <v>155</v>
      </c>
      <c r="FK7" s="20" t="s">
        <v>155</v>
      </c>
      <c r="FL7" s="20" t="s">
        <v>410</v>
      </c>
      <c r="FM7" s="20" t="s">
        <v>633</v>
      </c>
      <c r="FN7" s="20" t="s">
        <v>634</v>
      </c>
      <c r="FO7" s="20" t="s">
        <v>291</v>
      </c>
      <c r="FP7" s="20" t="s">
        <v>262</v>
      </c>
      <c r="FQ7" s="20" t="s">
        <v>263</v>
      </c>
      <c r="FR7" s="20" t="s">
        <v>264</v>
      </c>
      <c r="FS7" s="20" t="s">
        <v>635</v>
      </c>
      <c r="FT7" s="20" t="s">
        <v>409</v>
      </c>
      <c r="FU7" s="20" t="s">
        <v>292</v>
      </c>
      <c r="FV7" s="20" t="s">
        <v>157</v>
      </c>
      <c r="FW7" s="20" t="s">
        <v>265</v>
      </c>
      <c r="FX7" s="20" t="s">
        <v>636</v>
      </c>
      <c r="FY7" s="20" t="s">
        <v>40</v>
      </c>
      <c r="FZ7" s="20" t="s">
        <v>522</v>
      </c>
      <c r="GA7" s="20" t="s">
        <v>637</v>
      </c>
      <c r="GB7" s="20" t="s">
        <v>638</v>
      </c>
      <c r="GC7" s="20" t="s">
        <v>272</v>
      </c>
      <c r="GD7" s="20" t="s">
        <v>408</v>
      </c>
      <c r="GE7" s="20" t="s">
        <v>342</v>
      </c>
      <c r="GF7" s="20" t="s">
        <v>273</v>
      </c>
      <c r="GG7" s="20" t="s">
        <v>639</v>
      </c>
      <c r="GH7" s="20" t="s">
        <v>274</v>
      </c>
      <c r="GI7" s="20" t="s">
        <v>275</v>
      </c>
      <c r="GJ7" s="20" t="s">
        <v>266</v>
      </c>
      <c r="GK7" s="20" t="s">
        <v>276</v>
      </c>
      <c r="GL7" s="20" t="s">
        <v>156</v>
      </c>
      <c r="GM7" s="20" t="s">
        <v>277</v>
      </c>
      <c r="GN7" s="20" t="s">
        <v>640</v>
      </c>
      <c r="GO7" s="20" t="s">
        <v>267</v>
      </c>
      <c r="GP7" s="20" t="s">
        <v>278</v>
      </c>
      <c r="GQ7" s="20" t="s">
        <v>279</v>
      </c>
      <c r="GR7" s="20" t="s">
        <v>268</v>
      </c>
      <c r="GS7" s="20" t="s">
        <v>280</v>
      </c>
      <c r="GT7" s="20" t="s">
        <v>281</v>
      </c>
      <c r="GU7" s="20" t="s">
        <v>269</v>
      </c>
      <c r="GV7" s="20" t="s">
        <v>282</v>
      </c>
      <c r="GW7" s="20" t="s">
        <v>283</v>
      </c>
      <c r="GX7" s="20" t="s">
        <v>284</v>
      </c>
      <c r="GY7" s="20" t="s">
        <v>158</v>
      </c>
      <c r="GZ7" s="20" t="s">
        <v>270</v>
      </c>
      <c r="HA7" s="20" t="s">
        <v>641</v>
      </c>
      <c r="HB7" s="20" t="s">
        <v>285</v>
      </c>
      <c r="HC7" s="20" t="s">
        <v>286</v>
      </c>
      <c r="HD7" s="20" t="s">
        <v>287</v>
      </c>
      <c r="HE7" s="20" t="s">
        <v>288</v>
      </c>
      <c r="HF7" s="20" t="s">
        <v>289</v>
      </c>
      <c r="HG7" s="20" t="s">
        <v>290</v>
      </c>
    </row>
    <row r="8" spans="1:215" x14ac:dyDescent="0.2">
      <c r="A8" s="22" t="s">
        <v>88</v>
      </c>
      <c r="B8" s="23"/>
    </row>
    <row r="9" spans="1:215" x14ac:dyDescent="0.2">
      <c r="A9" s="24" t="s">
        <v>455</v>
      </c>
      <c r="C9" s="25" t="s">
        <v>582</v>
      </c>
      <c r="D9" s="25" t="s">
        <v>582</v>
      </c>
      <c r="E9" s="25" t="s">
        <v>582</v>
      </c>
      <c r="F9" s="25" t="s">
        <v>582</v>
      </c>
      <c r="G9" s="25" t="s">
        <v>582</v>
      </c>
      <c r="H9" s="25" t="s">
        <v>582</v>
      </c>
      <c r="I9" s="25" t="s">
        <v>582</v>
      </c>
      <c r="J9" s="25" t="s">
        <v>582</v>
      </c>
      <c r="K9" s="25" t="s">
        <v>582</v>
      </c>
      <c r="L9" s="25" t="s">
        <v>582</v>
      </c>
      <c r="M9" s="25" t="s">
        <v>582</v>
      </c>
      <c r="N9" s="25" t="s">
        <v>582</v>
      </c>
      <c r="O9" s="25" t="s">
        <v>582</v>
      </c>
      <c r="P9" s="25">
        <v>15.268971161617532</v>
      </c>
      <c r="Q9" s="25" t="s">
        <v>582</v>
      </c>
      <c r="R9" s="25" t="s">
        <v>582</v>
      </c>
      <c r="S9" s="25">
        <v>11.072603163963485</v>
      </c>
      <c r="T9" s="25" t="s">
        <v>582</v>
      </c>
      <c r="U9" s="25" t="s">
        <v>582</v>
      </c>
      <c r="V9" s="25" t="s">
        <v>582</v>
      </c>
      <c r="W9" s="25" t="s">
        <v>582</v>
      </c>
      <c r="X9" s="25" t="s">
        <v>582</v>
      </c>
      <c r="Y9" s="25" t="s">
        <v>582</v>
      </c>
      <c r="Z9" s="25" t="s">
        <v>582</v>
      </c>
      <c r="AA9" s="25" t="s">
        <v>582</v>
      </c>
      <c r="AB9" s="25" t="s">
        <v>582</v>
      </c>
      <c r="AC9" s="25" t="s">
        <v>582</v>
      </c>
      <c r="AD9" s="25" t="s">
        <v>582</v>
      </c>
      <c r="AE9" s="25" t="s">
        <v>582</v>
      </c>
      <c r="AF9" s="25" t="s">
        <v>582</v>
      </c>
      <c r="AG9" s="25" t="s">
        <v>582</v>
      </c>
      <c r="AH9" s="25" t="s">
        <v>582</v>
      </c>
      <c r="AI9" s="25" t="s">
        <v>582</v>
      </c>
      <c r="AJ9" s="25" t="s">
        <v>582</v>
      </c>
      <c r="AK9" s="25" t="s">
        <v>582</v>
      </c>
      <c r="AL9" s="25" t="s">
        <v>582</v>
      </c>
      <c r="AM9" s="25" t="s">
        <v>582</v>
      </c>
      <c r="AN9" s="25" t="s">
        <v>582</v>
      </c>
      <c r="AO9" s="25" t="s">
        <v>582</v>
      </c>
      <c r="AP9" s="25" t="s">
        <v>582</v>
      </c>
      <c r="AQ9" s="25" t="s">
        <v>582</v>
      </c>
      <c r="AR9" s="25" t="s">
        <v>582</v>
      </c>
      <c r="AS9" s="25" t="s">
        <v>582</v>
      </c>
      <c r="AT9" s="25" t="s">
        <v>582</v>
      </c>
      <c r="AU9" s="25" t="s">
        <v>582</v>
      </c>
      <c r="AV9" s="25" t="s">
        <v>582</v>
      </c>
      <c r="AW9" s="25" t="s">
        <v>582</v>
      </c>
      <c r="AX9" s="25" t="s">
        <v>582</v>
      </c>
      <c r="AY9" s="25" t="s">
        <v>582</v>
      </c>
      <c r="AZ9" s="25" t="s">
        <v>582</v>
      </c>
      <c r="BA9" s="25" t="s">
        <v>582</v>
      </c>
      <c r="BB9" s="25" t="s">
        <v>582</v>
      </c>
      <c r="BC9" s="25" t="s">
        <v>582</v>
      </c>
      <c r="BD9" s="25" t="s">
        <v>582</v>
      </c>
      <c r="BE9" s="25" t="s">
        <v>582</v>
      </c>
      <c r="BF9" s="25" t="s">
        <v>582</v>
      </c>
      <c r="BG9" s="25" t="s">
        <v>582</v>
      </c>
      <c r="BH9" s="25" t="s">
        <v>582</v>
      </c>
      <c r="BI9" s="25" t="s">
        <v>582</v>
      </c>
      <c r="BJ9" s="25" t="s">
        <v>582</v>
      </c>
      <c r="BK9" s="25" t="s">
        <v>582</v>
      </c>
      <c r="BL9" s="25" t="s">
        <v>582</v>
      </c>
      <c r="BM9" s="25" t="s">
        <v>582</v>
      </c>
      <c r="BN9" s="25"/>
      <c r="BO9" s="25" t="s">
        <v>582</v>
      </c>
      <c r="BP9" s="25" t="s">
        <v>582</v>
      </c>
      <c r="BQ9" s="25" t="s">
        <v>582</v>
      </c>
      <c r="BR9" s="25" t="s">
        <v>582</v>
      </c>
      <c r="BS9" s="25" t="s">
        <v>582</v>
      </c>
      <c r="BT9" s="25" t="s">
        <v>582</v>
      </c>
      <c r="BU9" s="25" t="s">
        <v>582</v>
      </c>
      <c r="BV9" s="25" t="s">
        <v>582</v>
      </c>
      <c r="BW9" s="25" t="s">
        <v>582</v>
      </c>
      <c r="BX9" s="25" t="s">
        <v>582</v>
      </c>
      <c r="BY9" s="25" t="s">
        <v>582</v>
      </c>
      <c r="BZ9" s="25" t="s">
        <v>582</v>
      </c>
      <c r="CA9" s="25" t="s">
        <v>582</v>
      </c>
      <c r="CB9" s="25" t="s">
        <v>582</v>
      </c>
      <c r="CC9" s="25" t="s">
        <v>582</v>
      </c>
      <c r="CD9" s="25" t="s">
        <v>582</v>
      </c>
      <c r="CE9" s="25" t="s">
        <v>582</v>
      </c>
      <c r="CF9" s="25" t="s">
        <v>582</v>
      </c>
      <c r="CG9" s="25" t="s">
        <v>582</v>
      </c>
      <c r="CH9" s="25" t="s">
        <v>582</v>
      </c>
      <c r="CI9" s="25" t="s">
        <v>582</v>
      </c>
      <c r="CJ9" s="25" t="s">
        <v>582</v>
      </c>
      <c r="CK9" s="25" t="s">
        <v>582</v>
      </c>
      <c r="CL9" s="25" t="s">
        <v>582</v>
      </c>
      <c r="CM9" s="25" t="s">
        <v>582</v>
      </c>
      <c r="CN9" s="25" t="s">
        <v>582</v>
      </c>
      <c r="CO9" s="25" t="s">
        <v>582</v>
      </c>
      <c r="CP9" s="25" t="s">
        <v>582</v>
      </c>
      <c r="CQ9" s="25" t="s">
        <v>582</v>
      </c>
      <c r="CR9" s="25" t="s">
        <v>582</v>
      </c>
      <c r="CS9" s="25" t="s">
        <v>582</v>
      </c>
      <c r="CT9" s="25" t="s">
        <v>582</v>
      </c>
      <c r="CU9" s="25" t="s">
        <v>582</v>
      </c>
      <c r="CV9" s="25" t="s">
        <v>582</v>
      </c>
      <c r="CW9" s="25" t="s">
        <v>582</v>
      </c>
      <c r="CX9" s="25" t="s">
        <v>582</v>
      </c>
      <c r="CY9" s="25" t="s">
        <v>582</v>
      </c>
      <c r="CZ9" s="25" t="s">
        <v>582</v>
      </c>
      <c r="DA9" s="25" t="s">
        <v>582</v>
      </c>
      <c r="DB9" s="25" t="s">
        <v>582</v>
      </c>
      <c r="DC9" s="25" t="s">
        <v>582</v>
      </c>
      <c r="DD9" s="25" t="s">
        <v>582</v>
      </c>
      <c r="DE9" s="25" t="s">
        <v>582</v>
      </c>
      <c r="DF9" s="25" t="s">
        <v>582</v>
      </c>
      <c r="DG9" s="25" t="s">
        <v>582</v>
      </c>
      <c r="DH9" s="25" t="s">
        <v>582</v>
      </c>
      <c r="DI9" s="25" t="s">
        <v>582</v>
      </c>
      <c r="DJ9" s="25" t="s">
        <v>582</v>
      </c>
      <c r="DK9" s="25" t="s">
        <v>582</v>
      </c>
      <c r="DL9" s="25" t="s">
        <v>582</v>
      </c>
      <c r="DM9" s="25" t="s">
        <v>582</v>
      </c>
      <c r="DN9" s="25" t="s">
        <v>582</v>
      </c>
      <c r="DO9" s="25" t="s">
        <v>582</v>
      </c>
      <c r="DP9" s="25" t="s">
        <v>582</v>
      </c>
      <c r="DQ9" s="25" t="s">
        <v>582</v>
      </c>
      <c r="DR9" s="25" t="s">
        <v>582</v>
      </c>
      <c r="DS9" s="25" t="s">
        <v>582</v>
      </c>
      <c r="DT9" s="25" t="s">
        <v>582</v>
      </c>
      <c r="DU9" s="25" t="s">
        <v>582</v>
      </c>
      <c r="DV9" s="25" t="s">
        <v>582</v>
      </c>
      <c r="DW9" s="25" t="s">
        <v>582</v>
      </c>
      <c r="DX9" s="25" t="s">
        <v>582</v>
      </c>
      <c r="DY9" s="25" t="s">
        <v>582</v>
      </c>
      <c r="DZ9" s="25" t="s">
        <v>582</v>
      </c>
      <c r="EA9" s="25" t="s">
        <v>582</v>
      </c>
      <c r="EB9" s="25" t="s">
        <v>582</v>
      </c>
      <c r="EC9" s="25" t="s">
        <v>582</v>
      </c>
      <c r="ED9" s="25" t="s">
        <v>582</v>
      </c>
      <c r="EE9" s="25" t="s">
        <v>582</v>
      </c>
      <c r="EF9" s="25" t="s">
        <v>582</v>
      </c>
      <c r="EG9" s="25" t="s">
        <v>582</v>
      </c>
      <c r="EH9" s="25" t="s">
        <v>582</v>
      </c>
      <c r="EI9" s="25" t="s">
        <v>582</v>
      </c>
      <c r="EJ9" s="25" t="s">
        <v>582</v>
      </c>
      <c r="EK9" s="25" t="s">
        <v>582</v>
      </c>
      <c r="EL9" s="25" t="s">
        <v>582</v>
      </c>
      <c r="EM9" s="25" t="s">
        <v>582</v>
      </c>
      <c r="EN9" s="25" t="s">
        <v>582</v>
      </c>
      <c r="EO9" s="25" t="s">
        <v>582</v>
      </c>
      <c r="EP9" s="25" t="s">
        <v>582</v>
      </c>
      <c r="EQ9" s="25" t="s">
        <v>582</v>
      </c>
      <c r="ER9" s="25" t="s">
        <v>582</v>
      </c>
      <c r="ES9" s="25" t="s">
        <v>582</v>
      </c>
      <c r="ET9" s="25" t="s">
        <v>582</v>
      </c>
      <c r="EU9" s="25" t="s">
        <v>582</v>
      </c>
      <c r="EV9" s="25" t="s">
        <v>582</v>
      </c>
      <c r="EW9" s="25" t="s">
        <v>582</v>
      </c>
      <c r="EX9" s="25" t="s">
        <v>582</v>
      </c>
      <c r="EY9" s="25" t="s">
        <v>582</v>
      </c>
      <c r="EZ9" s="25" t="s">
        <v>582</v>
      </c>
      <c r="FA9" s="25" t="s">
        <v>582</v>
      </c>
      <c r="FB9" s="25" t="s">
        <v>582</v>
      </c>
      <c r="FC9" s="25" t="s">
        <v>582</v>
      </c>
      <c r="FD9" s="25" t="s">
        <v>582</v>
      </c>
      <c r="FE9" s="25" t="s">
        <v>582</v>
      </c>
      <c r="FF9" s="25" t="s">
        <v>582</v>
      </c>
      <c r="FG9" s="25" t="s">
        <v>582</v>
      </c>
      <c r="FH9" s="25" t="s">
        <v>582</v>
      </c>
      <c r="FI9" s="25" t="s">
        <v>582</v>
      </c>
      <c r="FJ9" s="25"/>
      <c r="FK9" s="25" t="s">
        <v>582</v>
      </c>
      <c r="FL9" s="25" t="s">
        <v>582</v>
      </c>
      <c r="FM9" s="25" t="s">
        <v>582</v>
      </c>
      <c r="FN9" s="25" t="s">
        <v>582</v>
      </c>
      <c r="FO9" s="25" t="s">
        <v>582</v>
      </c>
      <c r="FP9" s="25" t="s">
        <v>582</v>
      </c>
      <c r="FQ9" s="25" t="s">
        <v>582</v>
      </c>
      <c r="FR9" s="25" t="s">
        <v>582</v>
      </c>
      <c r="FS9" s="25" t="s">
        <v>582</v>
      </c>
      <c r="FT9" s="25" t="s">
        <v>582</v>
      </c>
      <c r="FU9" s="25" t="s">
        <v>582</v>
      </c>
      <c r="FV9" s="25" t="s">
        <v>582</v>
      </c>
      <c r="FW9" s="25" t="s">
        <v>582</v>
      </c>
      <c r="FX9" s="25" t="s">
        <v>582</v>
      </c>
      <c r="FY9" s="25" t="s">
        <v>582</v>
      </c>
      <c r="FZ9" s="25" t="s">
        <v>582</v>
      </c>
      <c r="GA9" s="25" t="s">
        <v>582</v>
      </c>
      <c r="GB9" s="25" t="s">
        <v>582</v>
      </c>
      <c r="GC9" s="25" t="s">
        <v>582</v>
      </c>
      <c r="GD9" s="25" t="s">
        <v>582</v>
      </c>
      <c r="GE9" s="25" t="s">
        <v>582</v>
      </c>
      <c r="GF9" s="25" t="s">
        <v>582</v>
      </c>
      <c r="GG9" s="25" t="s">
        <v>582</v>
      </c>
      <c r="GH9" s="25" t="s">
        <v>582</v>
      </c>
      <c r="GI9" s="25" t="s">
        <v>582</v>
      </c>
      <c r="GJ9" s="25" t="s">
        <v>582</v>
      </c>
      <c r="GK9" s="25" t="s">
        <v>582</v>
      </c>
      <c r="GL9" s="25" t="s">
        <v>582</v>
      </c>
      <c r="GM9" s="25" t="s">
        <v>582</v>
      </c>
      <c r="GN9" s="25" t="s">
        <v>582</v>
      </c>
      <c r="GO9" s="25" t="s">
        <v>582</v>
      </c>
      <c r="GP9" s="25" t="s">
        <v>582</v>
      </c>
      <c r="GQ9" s="25" t="s">
        <v>582</v>
      </c>
      <c r="GR9" s="25" t="s">
        <v>582</v>
      </c>
      <c r="GS9" s="25" t="s">
        <v>582</v>
      </c>
      <c r="GT9" s="25" t="s">
        <v>582</v>
      </c>
      <c r="GU9" s="25" t="s">
        <v>582</v>
      </c>
      <c r="GV9" s="25" t="s">
        <v>582</v>
      </c>
      <c r="GW9" s="25" t="s">
        <v>582</v>
      </c>
      <c r="GX9" s="25" t="s">
        <v>582</v>
      </c>
      <c r="GY9" s="25" t="s">
        <v>582</v>
      </c>
      <c r="GZ9" s="25" t="s">
        <v>582</v>
      </c>
      <c r="HA9" s="25" t="s">
        <v>582</v>
      </c>
      <c r="HB9" s="25" t="s">
        <v>582</v>
      </c>
      <c r="HC9" s="25" t="s">
        <v>582</v>
      </c>
      <c r="HD9" s="25" t="s">
        <v>582</v>
      </c>
      <c r="HE9" s="25" t="s">
        <v>582</v>
      </c>
      <c r="HF9" s="25" t="s">
        <v>582</v>
      </c>
      <c r="HG9" s="25" t="s">
        <v>582</v>
      </c>
    </row>
    <row r="10" spans="1:215" x14ac:dyDescent="0.2">
      <c r="A10" s="24" t="s">
        <v>575</v>
      </c>
      <c r="C10" s="25" t="s">
        <v>582</v>
      </c>
      <c r="D10" s="25" t="s">
        <v>582</v>
      </c>
      <c r="E10" s="25" t="s">
        <v>582</v>
      </c>
      <c r="F10" s="25" t="s">
        <v>582</v>
      </c>
      <c r="G10" s="25" t="s">
        <v>582</v>
      </c>
      <c r="H10" s="25" t="s">
        <v>582</v>
      </c>
      <c r="I10" s="25" t="s">
        <v>582</v>
      </c>
      <c r="J10" s="25" t="s">
        <v>582</v>
      </c>
      <c r="K10" s="25" t="s">
        <v>582</v>
      </c>
      <c r="L10" s="25" t="s">
        <v>582</v>
      </c>
      <c r="M10" s="25" t="s">
        <v>582</v>
      </c>
      <c r="N10" s="25" t="s">
        <v>582</v>
      </c>
      <c r="O10" s="25" t="s">
        <v>582</v>
      </c>
      <c r="P10" s="25">
        <v>19.626625571513387</v>
      </c>
      <c r="Q10" s="25" t="s">
        <v>582</v>
      </c>
      <c r="R10" s="25" t="s">
        <v>582</v>
      </c>
      <c r="S10" s="25">
        <v>13.714855640020089</v>
      </c>
      <c r="T10" s="25" t="s">
        <v>582</v>
      </c>
      <c r="U10" s="25" t="s">
        <v>582</v>
      </c>
      <c r="V10" s="25" t="s">
        <v>582</v>
      </c>
      <c r="W10" s="25" t="s">
        <v>582</v>
      </c>
      <c r="X10" s="25" t="s">
        <v>582</v>
      </c>
      <c r="Y10" s="25" t="s">
        <v>582</v>
      </c>
      <c r="Z10" s="25" t="s">
        <v>582</v>
      </c>
      <c r="AA10" s="25" t="s">
        <v>582</v>
      </c>
      <c r="AB10" s="25" t="s">
        <v>582</v>
      </c>
      <c r="AC10" s="25" t="s">
        <v>582</v>
      </c>
      <c r="AD10" s="25" t="s">
        <v>582</v>
      </c>
      <c r="AE10" s="25" t="s">
        <v>582</v>
      </c>
      <c r="AF10" s="25" t="s">
        <v>582</v>
      </c>
      <c r="AG10" s="25" t="s">
        <v>582</v>
      </c>
      <c r="AH10" s="25" t="s">
        <v>582</v>
      </c>
      <c r="AI10" s="25" t="s">
        <v>582</v>
      </c>
      <c r="AJ10" s="25" t="s">
        <v>582</v>
      </c>
      <c r="AK10" s="25" t="s">
        <v>582</v>
      </c>
      <c r="AL10" s="25" t="s">
        <v>582</v>
      </c>
      <c r="AM10" s="25" t="s">
        <v>582</v>
      </c>
      <c r="AN10" s="25" t="s">
        <v>582</v>
      </c>
      <c r="AO10" s="25" t="s">
        <v>582</v>
      </c>
      <c r="AP10" s="25" t="s">
        <v>582</v>
      </c>
      <c r="AQ10" s="25" t="s">
        <v>582</v>
      </c>
      <c r="AR10" s="25" t="s">
        <v>582</v>
      </c>
      <c r="AS10" s="25" t="s">
        <v>582</v>
      </c>
      <c r="AT10" s="25" t="s">
        <v>582</v>
      </c>
      <c r="AU10" s="25" t="s">
        <v>582</v>
      </c>
      <c r="AV10" s="25" t="s">
        <v>582</v>
      </c>
      <c r="AW10" s="25" t="s">
        <v>582</v>
      </c>
      <c r="AX10" s="25" t="s">
        <v>582</v>
      </c>
      <c r="AY10" s="25" t="s">
        <v>582</v>
      </c>
      <c r="AZ10" s="25" t="s">
        <v>582</v>
      </c>
      <c r="BA10" s="25" t="s">
        <v>582</v>
      </c>
      <c r="BB10" s="25" t="s">
        <v>582</v>
      </c>
      <c r="BC10" s="25" t="s">
        <v>582</v>
      </c>
      <c r="BD10" s="25" t="s">
        <v>582</v>
      </c>
      <c r="BE10" s="25" t="s">
        <v>582</v>
      </c>
      <c r="BF10" s="25" t="s">
        <v>582</v>
      </c>
      <c r="BG10" s="25" t="s">
        <v>582</v>
      </c>
      <c r="BH10" s="25" t="s">
        <v>582</v>
      </c>
      <c r="BI10" s="25" t="s">
        <v>582</v>
      </c>
      <c r="BJ10" s="25" t="s">
        <v>582</v>
      </c>
      <c r="BK10" s="25" t="s">
        <v>582</v>
      </c>
      <c r="BL10" s="25" t="s">
        <v>582</v>
      </c>
      <c r="BM10" s="25" t="s">
        <v>582</v>
      </c>
      <c r="BN10" s="25"/>
      <c r="BO10" s="25" t="s">
        <v>582</v>
      </c>
      <c r="BP10" s="25" t="s">
        <v>582</v>
      </c>
      <c r="BQ10" s="25" t="s">
        <v>582</v>
      </c>
      <c r="BR10" s="25" t="s">
        <v>582</v>
      </c>
      <c r="BS10" s="25" t="s">
        <v>582</v>
      </c>
      <c r="BT10" s="25" t="s">
        <v>582</v>
      </c>
      <c r="BU10" s="25" t="s">
        <v>582</v>
      </c>
      <c r="BV10" s="25" t="s">
        <v>582</v>
      </c>
      <c r="BW10" s="25" t="s">
        <v>582</v>
      </c>
      <c r="BX10" s="25" t="s">
        <v>582</v>
      </c>
      <c r="BY10" s="25" t="s">
        <v>582</v>
      </c>
      <c r="BZ10" s="25" t="s">
        <v>582</v>
      </c>
      <c r="CA10" s="25" t="s">
        <v>582</v>
      </c>
      <c r="CB10" s="25" t="s">
        <v>582</v>
      </c>
      <c r="CC10" s="25" t="s">
        <v>582</v>
      </c>
      <c r="CD10" s="25" t="s">
        <v>582</v>
      </c>
      <c r="CE10" s="25" t="s">
        <v>582</v>
      </c>
      <c r="CF10" s="25" t="s">
        <v>582</v>
      </c>
      <c r="CG10" s="25" t="s">
        <v>582</v>
      </c>
      <c r="CH10" s="25" t="s">
        <v>582</v>
      </c>
      <c r="CI10" s="25" t="s">
        <v>582</v>
      </c>
      <c r="CJ10" s="25" t="s">
        <v>582</v>
      </c>
      <c r="CK10" s="25" t="s">
        <v>582</v>
      </c>
      <c r="CL10" s="25" t="s">
        <v>582</v>
      </c>
      <c r="CM10" s="25" t="s">
        <v>582</v>
      </c>
      <c r="CN10" s="25" t="s">
        <v>582</v>
      </c>
      <c r="CO10" s="25" t="s">
        <v>582</v>
      </c>
      <c r="CP10" s="25" t="s">
        <v>582</v>
      </c>
      <c r="CQ10" s="25" t="s">
        <v>582</v>
      </c>
      <c r="CR10" s="25" t="s">
        <v>582</v>
      </c>
      <c r="CS10" s="25" t="s">
        <v>582</v>
      </c>
      <c r="CT10" s="25" t="s">
        <v>582</v>
      </c>
      <c r="CU10" s="25" t="s">
        <v>582</v>
      </c>
      <c r="CV10" s="25" t="s">
        <v>582</v>
      </c>
      <c r="CW10" s="25" t="s">
        <v>582</v>
      </c>
      <c r="CX10" s="25" t="s">
        <v>582</v>
      </c>
      <c r="CY10" s="25" t="s">
        <v>582</v>
      </c>
      <c r="CZ10" s="25" t="s">
        <v>582</v>
      </c>
      <c r="DA10" s="25" t="s">
        <v>582</v>
      </c>
      <c r="DB10" s="25" t="s">
        <v>582</v>
      </c>
      <c r="DC10" s="25" t="s">
        <v>582</v>
      </c>
      <c r="DD10" s="25" t="s">
        <v>582</v>
      </c>
      <c r="DE10" s="25" t="s">
        <v>582</v>
      </c>
      <c r="DF10" s="25" t="s">
        <v>582</v>
      </c>
      <c r="DG10" s="25" t="s">
        <v>582</v>
      </c>
      <c r="DH10" s="25" t="s">
        <v>582</v>
      </c>
      <c r="DI10" s="25" t="s">
        <v>582</v>
      </c>
      <c r="DJ10" s="25" t="s">
        <v>582</v>
      </c>
      <c r="DK10" s="25" t="s">
        <v>582</v>
      </c>
      <c r="DL10" s="25" t="s">
        <v>582</v>
      </c>
      <c r="DM10" s="25" t="s">
        <v>582</v>
      </c>
      <c r="DN10" s="25" t="s">
        <v>582</v>
      </c>
      <c r="DO10" s="25" t="s">
        <v>582</v>
      </c>
      <c r="DP10" s="25" t="s">
        <v>582</v>
      </c>
      <c r="DQ10" s="25" t="s">
        <v>582</v>
      </c>
      <c r="DR10" s="25" t="s">
        <v>582</v>
      </c>
      <c r="DS10" s="25" t="s">
        <v>582</v>
      </c>
      <c r="DT10" s="25" t="s">
        <v>582</v>
      </c>
      <c r="DU10" s="25" t="s">
        <v>582</v>
      </c>
      <c r="DV10" s="25" t="s">
        <v>582</v>
      </c>
      <c r="DW10" s="25" t="s">
        <v>582</v>
      </c>
      <c r="DX10" s="25" t="s">
        <v>582</v>
      </c>
      <c r="DY10" s="25" t="s">
        <v>582</v>
      </c>
      <c r="DZ10" s="25" t="s">
        <v>582</v>
      </c>
      <c r="EA10" s="25" t="s">
        <v>582</v>
      </c>
      <c r="EB10" s="25" t="s">
        <v>582</v>
      </c>
      <c r="EC10" s="25" t="s">
        <v>582</v>
      </c>
      <c r="ED10" s="25" t="s">
        <v>582</v>
      </c>
      <c r="EE10" s="25" t="s">
        <v>582</v>
      </c>
      <c r="EF10" s="25" t="s">
        <v>582</v>
      </c>
      <c r="EG10" s="25" t="s">
        <v>582</v>
      </c>
      <c r="EH10" s="25" t="s">
        <v>582</v>
      </c>
      <c r="EI10" s="25" t="s">
        <v>582</v>
      </c>
      <c r="EJ10" s="25" t="s">
        <v>582</v>
      </c>
      <c r="EK10" s="25" t="s">
        <v>582</v>
      </c>
      <c r="EL10" s="25" t="s">
        <v>582</v>
      </c>
      <c r="EM10" s="25" t="s">
        <v>582</v>
      </c>
      <c r="EN10" s="25" t="s">
        <v>582</v>
      </c>
      <c r="EO10" s="25" t="s">
        <v>582</v>
      </c>
      <c r="EP10" s="25" t="s">
        <v>582</v>
      </c>
      <c r="EQ10" s="25" t="s">
        <v>582</v>
      </c>
      <c r="ER10" s="25" t="s">
        <v>582</v>
      </c>
      <c r="ES10" s="25" t="s">
        <v>582</v>
      </c>
      <c r="ET10" s="25" t="s">
        <v>582</v>
      </c>
      <c r="EU10" s="25" t="s">
        <v>582</v>
      </c>
      <c r="EV10" s="25" t="s">
        <v>582</v>
      </c>
      <c r="EW10" s="25" t="s">
        <v>582</v>
      </c>
      <c r="EX10" s="25" t="s">
        <v>582</v>
      </c>
      <c r="EY10" s="25" t="s">
        <v>582</v>
      </c>
      <c r="EZ10" s="25" t="s">
        <v>582</v>
      </c>
      <c r="FA10" s="25" t="s">
        <v>582</v>
      </c>
      <c r="FB10" s="25" t="s">
        <v>582</v>
      </c>
      <c r="FC10" s="25" t="s">
        <v>582</v>
      </c>
      <c r="FD10" s="25" t="s">
        <v>582</v>
      </c>
      <c r="FE10" s="25" t="s">
        <v>582</v>
      </c>
      <c r="FF10" s="25" t="s">
        <v>582</v>
      </c>
      <c r="FG10" s="25" t="s">
        <v>582</v>
      </c>
      <c r="FH10" s="25" t="s">
        <v>582</v>
      </c>
      <c r="FI10" s="25" t="s">
        <v>582</v>
      </c>
      <c r="FJ10" s="25"/>
      <c r="FK10" s="25" t="s">
        <v>582</v>
      </c>
      <c r="FL10" s="25" t="s">
        <v>582</v>
      </c>
      <c r="FM10" s="25" t="s">
        <v>582</v>
      </c>
      <c r="FN10" s="25" t="s">
        <v>582</v>
      </c>
      <c r="FO10" s="25" t="s">
        <v>582</v>
      </c>
      <c r="FP10" s="25" t="s">
        <v>582</v>
      </c>
      <c r="FQ10" s="25" t="s">
        <v>582</v>
      </c>
      <c r="FR10" s="25" t="s">
        <v>582</v>
      </c>
      <c r="FS10" s="25" t="s">
        <v>582</v>
      </c>
      <c r="FT10" s="25" t="s">
        <v>582</v>
      </c>
      <c r="FU10" s="25" t="s">
        <v>582</v>
      </c>
      <c r="FV10" s="25" t="s">
        <v>582</v>
      </c>
      <c r="FW10" s="25" t="s">
        <v>582</v>
      </c>
      <c r="FX10" s="25" t="s">
        <v>582</v>
      </c>
      <c r="FY10" s="25" t="s">
        <v>582</v>
      </c>
      <c r="FZ10" s="25" t="s">
        <v>582</v>
      </c>
      <c r="GA10" s="25" t="s">
        <v>582</v>
      </c>
      <c r="GB10" s="25" t="s">
        <v>582</v>
      </c>
      <c r="GC10" s="25" t="s">
        <v>582</v>
      </c>
      <c r="GD10" s="25" t="s">
        <v>582</v>
      </c>
      <c r="GE10" s="25" t="s">
        <v>582</v>
      </c>
      <c r="GF10" s="25" t="s">
        <v>582</v>
      </c>
      <c r="GG10" s="25" t="s">
        <v>582</v>
      </c>
      <c r="GH10" s="25" t="s">
        <v>582</v>
      </c>
      <c r="GI10" s="25" t="s">
        <v>582</v>
      </c>
      <c r="GJ10" s="25" t="s">
        <v>582</v>
      </c>
      <c r="GK10" s="25" t="s">
        <v>582</v>
      </c>
      <c r="GL10" s="25" t="s">
        <v>582</v>
      </c>
      <c r="GM10" s="25" t="s">
        <v>582</v>
      </c>
      <c r="GN10" s="25" t="s">
        <v>582</v>
      </c>
      <c r="GO10" s="25" t="s">
        <v>582</v>
      </c>
      <c r="GP10" s="25" t="s">
        <v>582</v>
      </c>
      <c r="GQ10" s="25" t="s">
        <v>582</v>
      </c>
      <c r="GR10" s="25" t="s">
        <v>582</v>
      </c>
      <c r="GS10" s="25" t="s">
        <v>582</v>
      </c>
      <c r="GT10" s="25" t="s">
        <v>582</v>
      </c>
      <c r="GU10" s="25" t="s">
        <v>582</v>
      </c>
      <c r="GV10" s="25" t="s">
        <v>582</v>
      </c>
      <c r="GW10" s="25" t="s">
        <v>582</v>
      </c>
      <c r="GX10" s="25" t="s">
        <v>582</v>
      </c>
      <c r="GY10" s="25" t="s">
        <v>582</v>
      </c>
      <c r="GZ10" s="25" t="s">
        <v>582</v>
      </c>
      <c r="HA10" s="25" t="s">
        <v>582</v>
      </c>
      <c r="HB10" s="25" t="s">
        <v>582</v>
      </c>
      <c r="HC10" s="25" t="s">
        <v>582</v>
      </c>
      <c r="HD10" s="25" t="s">
        <v>582</v>
      </c>
      <c r="HE10" s="25" t="s">
        <v>582</v>
      </c>
      <c r="HF10" s="25" t="s">
        <v>582</v>
      </c>
      <c r="HG10" s="25" t="s">
        <v>582</v>
      </c>
    </row>
    <row r="11" spans="1:215" x14ac:dyDescent="0.2">
      <c r="A11" s="24" t="s">
        <v>576</v>
      </c>
      <c r="C11" s="25" t="s">
        <v>582</v>
      </c>
      <c r="D11" s="25" t="s">
        <v>582</v>
      </c>
      <c r="E11" s="25" t="s">
        <v>582</v>
      </c>
      <c r="F11" s="25" t="s">
        <v>582</v>
      </c>
      <c r="G11" s="25" t="s">
        <v>582</v>
      </c>
      <c r="H11" s="25" t="s">
        <v>582</v>
      </c>
      <c r="I11" s="25" t="s">
        <v>582</v>
      </c>
      <c r="J11" s="25" t="s">
        <v>582</v>
      </c>
      <c r="K11" s="25" t="s">
        <v>582</v>
      </c>
      <c r="L11" s="25" t="s">
        <v>582</v>
      </c>
      <c r="M11" s="25" t="s">
        <v>582</v>
      </c>
      <c r="N11" s="25" t="s">
        <v>582</v>
      </c>
      <c r="O11" s="25" t="s">
        <v>582</v>
      </c>
      <c r="P11" s="25"/>
      <c r="Q11" s="25"/>
      <c r="R11" s="25"/>
      <c r="S11" s="25"/>
      <c r="T11" s="25" t="s">
        <v>582</v>
      </c>
      <c r="U11" s="25" t="s">
        <v>582</v>
      </c>
      <c r="V11" s="25" t="s">
        <v>582</v>
      </c>
      <c r="W11" s="25" t="s">
        <v>582</v>
      </c>
      <c r="X11" s="25" t="s">
        <v>582</v>
      </c>
      <c r="Y11" s="25" t="s">
        <v>582</v>
      </c>
      <c r="Z11" s="25" t="s">
        <v>582</v>
      </c>
      <c r="AA11" s="25" t="s">
        <v>582</v>
      </c>
      <c r="AB11" s="25" t="s">
        <v>582</v>
      </c>
      <c r="AC11" s="25" t="s">
        <v>582</v>
      </c>
      <c r="AD11" s="25" t="s">
        <v>582</v>
      </c>
      <c r="AE11" s="25" t="s">
        <v>582</v>
      </c>
      <c r="AF11" s="25" t="s">
        <v>582</v>
      </c>
      <c r="AG11" s="25" t="s">
        <v>582</v>
      </c>
      <c r="AH11" s="25" t="s">
        <v>582</v>
      </c>
      <c r="AI11" s="25" t="s">
        <v>582</v>
      </c>
      <c r="AJ11" s="25" t="s">
        <v>582</v>
      </c>
      <c r="AK11" s="25" t="s">
        <v>582</v>
      </c>
      <c r="AL11" s="25" t="s">
        <v>582</v>
      </c>
      <c r="AM11" s="25" t="s">
        <v>582</v>
      </c>
      <c r="AN11" s="25" t="s">
        <v>582</v>
      </c>
      <c r="AO11" s="25" t="s">
        <v>582</v>
      </c>
      <c r="AP11" s="25" t="s">
        <v>582</v>
      </c>
      <c r="AQ11" s="25" t="s">
        <v>582</v>
      </c>
      <c r="AR11" s="25" t="s">
        <v>582</v>
      </c>
      <c r="AS11" s="25" t="s">
        <v>582</v>
      </c>
      <c r="AT11" s="25" t="s">
        <v>582</v>
      </c>
      <c r="AU11" s="25" t="s">
        <v>582</v>
      </c>
      <c r="AV11" s="25" t="s">
        <v>582</v>
      </c>
      <c r="AW11" s="25" t="s">
        <v>582</v>
      </c>
      <c r="AX11" s="25" t="s">
        <v>582</v>
      </c>
      <c r="AY11" s="25" t="s">
        <v>582</v>
      </c>
      <c r="AZ11" s="25" t="s">
        <v>582</v>
      </c>
      <c r="BA11" s="25" t="s">
        <v>582</v>
      </c>
      <c r="BB11" s="25" t="s">
        <v>582</v>
      </c>
      <c r="BC11" s="25" t="s">
        <v>582</v>
      </c>
      <c r="BD11" s="25" t="s">
        <v>582</v>
      </c>
      <c r="BE11" s="25" t="s">
        <v>582</v>
      </c>
      <c r="BF11" s="25" t="s">
        <v>582</v>
      </c>
      <c r="BG11" s="25" t="s">
        <v>582</v>
      </c>
      <c r="BH11" s="25" t="s">
        <v>582</v>
      </c>
      <c r="BI11" s="25" t="s">
        <v>582</v>
      </c>
      <c r="BJ11" s="25" t="s">
        <v>582</v>
      </c>
      <c r="BK11" s="25" t="s">
        <v>582</v>
      </c>
      <c r="BL11" s="25" t="s">
        <v>582</v>
      </c>
      <c r="BM11" s="25" t="s">
        <v>582</v>
      </c>
      <c r="BN11" s="25"/>
      <c r="BO11" s="25" t="s">
        <v>582</v>
      </c>
      <c r="BP11" s="25" t="s">
        <v>582</v>
      </c>
      <c r="BQ11" s="25" t="s">
        <v>582</v>
      </c>
      <c r="BR11" s="25" t="s">
        <v>582</v>
      </c>
      <c r="BS11" s="25" t="s">
        <v>582</v>
      </c>
      <c r="BT11" s="25" t="s">
        <v>582</v>
      </c>
      <c r="BU11" s="25" t="s">
        <v>582</v>
      </c>
      <c r="BV11" s="25" t="s">
        <v>582</v>
      </c>
      <c r="BW11" s="25" t="s">
        <v>582</v>
      </c>
      <c r="BX11" s="25" t="s">
        <v>582</v>
      </c>
      <c r="BY11" s="25" t="s">
        <v>582</v>
      </c>
      <c r="BZ11" s="25" t="s">
        <v>582</v>
      </c>
      <c r="CA11" s="25" t="s">
        <v>582</v>
      </c>
      <c r="CB11" s="25" t="s">
        <v>582</v>
      </c>
      <c r="CC11" s="25" t="s">
        <v>582</v>
      </c>
      <c r="CD11" s="25" t="s">
        <v>582</v>
      </c>
      <c r="CE11" s="25" t="s">
        <v>582</v>
      </c>
      <c r="CF11" s="25" t="s">
        <v>582</v>
      </c>
      <c r="CG11" s="25" t="s">
        <v>582</v>
      </c>
      <c r="CH11" s="25" t="s">
        <v>582</v>
      </c>
      <c r="CI11" s="25" t="s">
        <v>582</v>
      </c>
      <c r="CJ11" s="25" t="s">
        <v>582</v>
      </c>
      <c r="CK11" s="25" t="s">
        <v>582</v>
      </c>
      <c r="CL11" s="25" t="s">
        <v>582</v>
      </c>
      <c r="CM11" s="25" t="s">
        <v>582</v>
      </c>
      <c r="CN11" s="25" t="s">
        <v>582</v>
      </c>
      <c r="CO11" s="25" t="s">
        <v>582</v>
      </c>
      <c r="CP11" s="25" t="s">
        <v>582</v>
      </c>
      <c r="CQ11" s="25" t="s">
        <v>582</v>
      </c>
      <c r="CR11" s="25" t="s">
        <v>582</v>
      </c>
      <c r="CS11" s="25" t="s">
        <v>582</v>
      </c>
      <c r="CT11" s="25" t="s">
        <v>582</v>
      </c>
      <c r="CU11" s="25" t="s">
        <v>582</v>
      </c>
      <c r="CV11" s="25" t="s">
        <v>582</v>
      </c>
      <c r="CW11" s="25" t="s">
        <v>582</v>
      </c>
      <c r="CX11" s="25" t="s">
        <v>582</v>
      </c>
      <c r="CY11" s="25" t="s">
        <v>582</v>
      </c>
      <c r="CZ11" s="25" t="s">
        <v>582</v>
      </c>
      <c r="DA11" s="25" t="s">
        <v>582</v>
      </c>
      <c r="DB11" s="25" t="s">
        <v>582</v>
      </c>
      <c r="DC11" s="25" t="s">
        <v>582</v>
      </c>
      <c r="DD11" s="25" t="s">
        <v>582</v>
      </c>
      <c r="DE11" s="25" t="s">
        <v>582</v>
      </c>
      <c r="DF11" s="25" t="s">
        <v>582</v>
      </c>
      <c r="DG11" s="25" t="s">
        <v>582</v>
      </c>
      <c r="DH11" s="25" t="s">
        <v>582</v>
      </c>
      <c r="DI11" s="25" t="s">
        <v>582</v>
      </c>
      <c r="DJ11" s="25" t="s">
        <v>582</v>
      </c>
      <c r="DK11" s="25" t="s">
        <v>582</v>
      </c>
      <c r="DL11" s="25" t="s">
        <v>582</v>
      </c>
      <c r="DM11" s="25" t="s">
        <v>582</v>
      </c>
      <c r="DN11" s="25" t="s">
        <v>582</v>
      </c>
      <c r="DO11" s="25" t="s">
        <v>582</v>
      </c>
      <c r="DP11" s="25" t="s">
        <v>582</v>
      </c>
      <c r="DQ11" s="25" t="s">
        <v>582</v>
      </c>
      <c r="DR11" s="25" t="s">
        <v>582</v>
      </c>
      <c r="DS11" s="25" t="s">
        <v>582</v>
      </c>
      <c r="DT11" s="25" t="s">
        <v>582</v>
      </c>
      <c r="DU11" s="25" t="s">
        <v>582</v>
      </c>
      <c r="DV11" s="25" t="s">
        <v>582</v>
      </c>
      <c r="DW11" s="25" t="s">
        <v>582</v>
      </c>
      <c r="DX11" s="25" t="s">
        <v>582</v>
      </c>
      <c r="DY11" s="25" t="s">
        <v>582</v>
      </c>
      <c r="DZ11" s="25" t="s">
        <v>582</v>
      </c>
      <c r="EA11" s="25" t="s">
        <v>582</v>
      </c>
      <c r="EB11" s="25" t="s">
        <v>582</v>
      </c>
      <c r="EC11" s="25" t="s">
        <v>582</v>
      </c>
      <c r="ED11" s="25" t="s">
        <v>582</v>
      </c>
      <c r="EE11" s="25" t="s">
        <v>582</v>
      </c>
      <c r="EF11" s="25" t="s">
        <v>582</v>
      </c>
      <c r="EG11" s="25" t="s">
        <v>582</v>
      </c>
      <c r="EH11" s="25" t="s">
        <v>582</v>
      </c>
      <c r="EI11" s="25" t="s">
        <v>582</v>
      </c>
      <c r="EJ11" s="25" t="s">
        <v>582</v>
      </c>
      <c r="EK11" s="25" t="s">
        <v>582</v>
      </c>
      <c r="EL11" s="25" t="s">
        <v>582</v>
      </c>
      <c r="EM11" s="25" t="s">
        <v>582</v>
      </c>
      <c r="EN11" s="25" t="s">
        <v>582</v>
      </c>
      <c r="EO11" s="25" t="s">
        <v>582</v>
      </c>
      <c r="EP11" s="25" t="s">
        <v>582</v>
      </c>
      <c r="EQ11" s="25" t="s">
        <v>582</v>
      </c>
      <c r="ER11" s="25" t="s">
        <v>582</v>
      </c>
      <c r="ES11" s="25" t="s">
        <v>582</v>
      </c>
      <c r="ET11" s="25" t="s">
        <v>582</v>
      </c>
      <c r="EU11" s="25" t="s">
        <v>582</v>
      </c>
      <c r="EV11" s="25" t="s">
        <v>582</v>
      </c>
      <c r="EW11" s="25" t="s">
        <v>582</v>
      </c>
      <c r="EX11" s="25" t="s">
        <v>582</v>
      </c>
      <c r="EY11" s="25" t="s">
        <v>582</v>
      </c>
      <c r="EZ11" s="25" t="s">
        <v>582</v>
      </c>
      <c r="FA11" s="25" t="s">
        <v>582</v>
      </c>
      <c r="FB11" s="25" t="s">
        <v>582</v>
      </c>
      <c r="FC11" s="25" t="s">
        <v>582</v>
      </c>
      <c r="FD11" s="25" t="s">
        <v>582</v>
      </c>
      <c r="FE11" s="25" t="s">
        <v>582</v>
      </c>
      <c r="FF11" s="25" t="s">
        <v>582</v>
      </c>
      <c r="FG11" s="25" t="s">
        <v>582</v>
      </c>
      <c r="FH11" s="25" t="s">
        <v>582</v>
      </c>
      <c r="FI11" s="25" t="s">
        <v>582</v>
      </c>
      <c r="FJ11" s="25"/>
      <c r="FK11" s="25" t="s">
        <v>582</v>
      </c>
      <c r="FL11" s="25" t="s">
        <v>582</v>
      </c>
      <c r="FM11" s="25" t="s">
        <v>582</v>
      </c>
      <c r="FN11" s="25" t="s">
        <v>582</v>
      </c>
      <c r="FO11" s="25" t="s">
        <v>582</v>
      </c>
      <c r="FP11" s="25" t="s">
        <v>582</v>
      </c>
      <c r="FQ11" s="25" t="s">
        <v>582</v>
      </c>
      <c r="FR11" s="25" t="s">
        <v>582</v>
      </c>
      <c r="FS11" s="25" t="s">
        <v>582</v>
      </c>
      <c r="FT11" s="25" t="s">
        <v>582</v>
      </c>
      <c r="FU11" s="25" t="s">
        <v>582</v>
      </c>
      <c r="FV11" s="25" t="s">
        <v>582</v>
      </c>
      <c r="FW11" s="25" t="s">
        <v>582</v>
      </c>
      <c r="FX11" s="25" t="s">
        <v>582</v>
      </c>
      <c r="FY11" s="25" t="s">
        <v>582</v>
      </c>
      <c r="FZ11" s="25" t="s">
        <v>582</v>
      </c>
      <c r="GA11" s="25" t="s">
        <v>582</v>
      </c>
      <c r="GB11" s="25" t="s">
        <v>582</v>
      </c>
      <c r="GC11" s="25" t="s">
        <v>582</v>
      </c>
      <c r="GD11" s="25" t="s">
        <v>582</v>
      </c>
      <c r="GE11" s="25" t="s">
        <v>582</v>
      </c>
      <c r="GF11" s="25" t="s">
        <v>582</v>
      </c>
      <c r="GG11" s="25" t="s">
        <v>582</v>
      </c>
      <c r="GH11" s="25" t="s">
        <v>582</v>
      </c>
      <c r="GI11" s="25" t="s">
        <v>582</v>
      </c>
      <c r="GJ11" s="25" t="s">
        <v>582</v>
      </c>
      <c r="GK11" s="25" t="s">
        <v>582</v>
      </c>
      <c r="GL11" s="25" t="s">
        <v>582</v>
      </c>
      <c r="GM11" s="25" t="s">
        <v>582</v>
      </c>
      <c r="GN11" s="25" t="s">
        <v>582</v>
      </c>
      <c r="GO11" s="25" t="s">
        <v>582</v>
      </c>
      <c r="GP11" s="25" t="s">
        <v>582</v>
      </c>
      <c r="GQ11" s="25" t="s">
        <v>582</v>
      </c>
      <c r="GR11" s="25" t="s">
        <v>582</v>
      </c>
      <c r="GS11" s="25" t="s">
        <v>582</v>
      </c>
      <c r="GT11" s="25" t="s">
        <v>582</v>
      </c>
      <c r="GU11" s="25" t="s">
        <v>582</v>
      </c>
      <c r="GV11" s="25" t="s">
        <v>582</v>
      </c>
      <c r="GW11" s="25" t="s">
        <v>582</v>
      </c>
      <c r="GX11" s="25" t="s">
        <v>582</v>
      </c>
      <c r="GY11" s="25" t="s">
        <v>582</v>
      </c>
      <c r="GZ11" s="25" t="s">
        <v>582</v>
      </c>
      <c r="HA11" s="25" t="s">
        <v>582</v>
      </c>
      <c r="HB11" s="25" t="s">
        <v>582</v>
      </c>
      <c r="HC11" s="25" t="s">
        <v>582</v>
      </c>
      <c r="HD11" s="25" t="s">
        <v>582</v>
      </c>
      <c r="HE11" s="25" t="s">
        <v>582</v>
      </c>
      <c r="HF11" s="25" t="s">
        <v>582</v>
      </c>
      <c r="HG11" s="25" t="s">
        <v>582</v>
      </c>
    </row>
    <row r="12" spans="1:215" x14ac:dyDescent="0.2">
      <c r="A12" s="24" t="s">
        <v>577</v>
      </c>
      <c r="C12" s="25" t="s">
        <v>582</v>
      </c>
      <c r="D12" s="25" t="s">
        <v>582</v>
      </c>
      <c r="E12" s="25" t="s">
        <v>582</v>
      </c>
      <c r="F12" s="25" t="s">
        <v>582</v>
      </c>
      <c r="G12" s="25" t="s">
        <v>582</v>
      </c>
      <c r="H12" s="25" t="s">
        <v>582</v>
      </c>
      <c r="I12" s="25" t="s">
        <v>582</v>
      </c>
      <c r="J12" s="25" t="s">
        <v>582</v>
      </c>
      <c r="K12" s="25" t="s">
        <v>582</v>
      </c>
      <c r="L12" s="25" t="s">
        <v>582</v>
      </c>
      <c r="M12" s="25" t="s">
        <v>582</v>
      </c>
      <c r="N12" s="25" t="s">
        <v>582</v>
      </c>
      <c r="O12" s="25" t="s">
        <v>582</v>
      </c>
      <c r="P12" s="25" t="s">
        <v>582</v>
      </c>
      <c r="Q12" s="25" t="s">
        <v>582</v>
      </c>
      <c r="R12" s="25">
        <v>15</v>
      </c>
      <c r="S12" s="25">
        <v>10</v>
      </c>
      <c r="T12" s="25" t="s">
        <v>582</v>
      </c>
      <c r="U12" s="25" t="s">
        <v>582</v>
      </c>
      <c r="V12" s="25" t="s">
        <v>582</v>
      </c>
      <c r="W12" s="25" t="s">
        <v>582</v>
      </c>
      <c r="X12" s="25" t="s">
        <v>582</v>
      </c>
      <c r="Y12" s="25" t="s">
        <v>582</v>
      </c>
      <c r="Z12" s="25" t="s">
        <v>582</v>
      </c>
      <c r="AA12" s="25" t="s">
        <v>582</v>
      </c>
      <c r="AB12" s="25" t="s">
        <v>582</v>
      </c>
      <c r="AC12" s="25" t="s">
        <v>582</v>
      </c>
      <c r="AD12" s="25" t="s">
        <v>582</v>
      </c>
      <c r="AE12" s="25" t="s">
        <v>582</v>
      </c>
      <c r="AF12" s="25" t="s">
        <v>582</v>
      </c>
      <c r="AG12" s="25" t="s">
        <v>582</v>
      </c>
      <c r="AH12" s="25" t="s">
        <v>582</v>
      </c>
      <c r="AI12" s="25" t="s">
        <v>582</v>
      </c>
      <c r="AJ12" s="25" t="s">
        <v>582</v>
      </c>
      <c r="AK12" s="25" t="s">
        <v>582</v>
      </c>
      <c r="AL12" s="25" t="s">
        <v>582</v>
      </c>
      <c r="AM12" s="25" t="s">
        <v>582</v>
      </c>
      <c r="AN12" s="25" t="s">
        <v>582</v>
      </c>
      <c r="AO12" s="25">
        <v>48.47</v>
      </c>
      <c r="AP12" s="25" t="s">
        <v>582</v>
      </c>
      <c r="AQ12" s="25" t="s">
        <v>582</v>
      </c>
      <c r="AR12" s="25" t="s">
        <v>582</v>
      </c>
      <c r="AS12" s="25" t="s">
        <v>582</v>
      </c>
      <c r="AT12" s="25" t="s">
        <v>582</v>
      </c>
      <c r="AU12" s="25" t="s">
        <v>582</v>
      </c>
      <c r="AV12" s="25" t="s">
        <v>582</v>
      </c>
      <c r="AW12" s="25" t="s">
        <v>582</v>
      </c>
      <c r="AX12" s="25" t="s">
        <v>582</v>
      </c>
      <c r="AY12" s="25" t="s">
        <v>582</v>
      </c>
      <c r="AZ12" s="25" t="s">
        <v>582</v>
      </c>
      <c r="BA12" s="25" t="s">
        <v>582</v>
      </c>
      <c r="BB12" s="25" t="s">
        <v>582</v>
      </c>
      <c r="BC12" s="25" t="s">
        <v>582</v>
      </c>
      <c r="BD12" s="25" t="s">
        <v>582</v>
      </c>
      <c r="BE12" s="25" t="s">
        <v>582</v>
      </c>
      <c r="BF12" s="25" t="s">
        <v>582</v>
      </c>
      <c r="BG12" s="25">
        <f>(20+23)/2</f>
        <v>21.5</v>
      </c>
      <c r="BH12" s="25">
        <f>(21+23)/2</f>
        <v>22</v>
      </c>
      <c r="BI12" s="25" t="s">
        <v>582</v>
      </c>
      <c r="BJ12" s="25" t="s">
        <v>582</v>
      </c>
      <c r="BK12" s="25" t="s">
        <v>582</v>
      </c>
      <c r="BL12" s="25" t="s">
        <v>582</v>
      </c>
      <c r="BM12" s="25" t="s">
        <v>582</v>
      </c>
      <c r="BN12" s="25"/>
      <c r="BO12" s="25" t="s">
        <v>582</v>
      </c>
      <c r="BP12" s="25" t="s">
        <v>582</v>
      </c>
      <c r="BQ12" s="25" t="s">
        <v>582</v>
      </c>
      <c r="BR12" s="25" t="s">
        <v>582</v>
      </c>
      <c r="BS12" s="25" t="s">
        <v>582</v>
      </c>
      <c r="BT12" s="25" t="s">
        <v>582</v>
      </c>
      <c r="BU12" s="25" t="s">
        <v>582</v>
      </c>
      <c r="BV12" s="25" t="s">
        <v>582</v>
      </c>
      <c r="BW12" s="25" t="s">
        <v>582</v>
      </c>
      <c r="BX12" s="25" t="s">
        <v>582</v>
      </c>
      <c r="BY12" s="25" t="s">
        <v>582</v>
      </c>
      <c r="BZ12" s="25" t="s">
        <v>582</v>
      </c>
      <c r="CA12" s="25" t="s">
        <v>582</v>
      </c>
      <c r="CB12" s="25" t="s">
        <v>582</v>
      </c>
      <c r="CC12" s="25" t="s">
        <v>582</v>
      </c>
      <c r="CD12" s="25" t="s">
        <v>582</v>
      </c>
      <c r="CE12" s="25" t="s">
        <v>582</v>
      </c>
      <c r="CF12" s="25" t="s">
        <v>582</v>
      </c>
      <c r="CG12" s="25" t="s">
        <v>582</v>
      </c>
      <c r="CH12" s="25" t="s">
        <v>582</v>
      </c>
      <c r="CI12" s="25" t="s">
        <v>582</v>
      </c>
      <c r="CJ12" s="25" t="s">
        <v>582</v>
      </c>
      <c r="CK12" s="25" t="s">
        <v>582</v>
      </c>
      <c r="CL12" s="25" t="s">
        <v>582</v>
      </c>
      <c r="CM12" s="25" t="s">
        <v>582</v>
      </c>
      <c r="CN12" s="25" t="s">
        <v>582</v>
      </c>
      <c r="CO12" s="25" t="s">
        <v>582</v>
      </c>
      <c r="CP12" s="25" t="s">
        <v>582</v>
      </c>
      <c r="CQ12" s="25" t="s">
        <v>582</v>
      </c>
      <c r="CR12" s="25" t="s">
        <v>582</v>
      </c>
      <c r="CS12" s="25" t="s">
        <v>582</v>
      </c>
      <c r="CT12" s="25" t="s">
        <v>582</v>
      </c>
      <c r="CU12" s="25" t="s">
        <v>582</v>
      </c>
      <c r="CV12" s="25" t="s">
        <v>582</v>
      </c>
      <c r="CW12" s="25" t="s">
        <v>582</v>
      </c>
      <c r="CX12" s="25" t="s">
        <v>582</v>
      </c>
      <c r="CY12" s="25" t="s">
        <v>582</v>
      </c>
      <c r="CZ12" s="25" t="s">
        <v>582</v>
      </c>
      <c r="DA12" s="25" t="s">
        <v>582</v>
      </c>
      <c r="DB12" s="25" t="s">
        <v>582</v>
      </c>
      <c r="DC12" s="25" t="s">
        <v>582</v>
      </c>
      <c r="DD12" s="25" t="s">
        <v>582</v>
      </c>
      <c r="DE12" s="25" t="s">
        <v>582</v>
      </c>
      <c r="DF12" s="25" t="s">
        <v>582</v>
      </c>
      <c r="DG12" s="25" t="s">
        <v>582</v>
      </c>
      <c r="DH12" s="25" t="s">
        <v>582</v>
      </c>
      <c r="DI12" s="25" t="s">
        <v>582</v>
      </c>
      <c r="DJ12" s="25" t="s">
        <v>582</v>
      </c>
      <c r="DK12" s="25">
        <v>15.554857621440537</v>
      </c>
      <c r="DL12" s="25" t="s">
        <v>582</v>
      </c>
      <c r="DM12" s="25" t="s">
        <v>582</v>
      </c>
      <c r="DN12" s="25" t="s">
        <v>582</v>
      </c>
      <c r="DO12" s="25" t="s">
        <v>582</v>
      </c>
      <c r="DP12" s="25" t="s">
        <v>582</v>
      </c>
      <c r="DQ12" s="25">
        <v>89.767441860465112</v>
      </c>
      <c r="DR12" s="25" t="s">
        <v>582</v>
      </c>
      <c r="DS12" s="25" t="s">
        <v>582</v>
      </c>
      <c r="DT12" s="25" t="s">
        <v>582</v>
      </c>
      <c r="DU12" s="25" t="s">
        <v>582</v>
      </c>
      <c r="DV12" s="25" t="s">
        <v>582</v>
      </c>
      <c r="DW12" s="25" t="s">
        <v>582</v>
      </c>
      <c r="DX12" s="25" t="s">
        <v>582</v>
      </c>
      <c r="DY12" s="25" t="s">
        <v>582</v>
      </c>
      <c r="DZ12" s="25" t="s">
        <v>582</v>
      </c>
      <c r="EA12" s="25" t="s">
        <v>582</v>
      </c>
      <c r="EB12" s="25" t="s">
        <v>582</v>
      </c>
      <c r="EC12" s="25" t="s">
        <v>582</v>
      </c>
      <c r="ED12" s="25" t="s">
        <v>582</v>
      </c>
      <c r="EE12" s="25" t="s">
        <v>582</v>
      </c>
      <c r="EF12" s="25" t="s">
        <v>582</v>
      </c>
      <c r="EG12" s="25" t="s">
        <v>582</v>
      </c>
      <c r="EH12" s="25" t="s">
        <v>582</v>
      </c>
      <c r="EI12" s="25" t="s">
        <v>582</v>
      </c>
      <c r="EJ12" s="25" t="s">
        <v>582</v>
      </c>
      <c r="EK12" s="25" t="s">
        <v>582</v>
      </c>
      <c r="EL12" s="25" t="s">
        <v>582</v>
      </c>
      <c r="EM12" s="25" t="s">
        <v>582</v>
      </c>
      <c r="EN12" s="25" t="s">
        <v>582</v>
      </c>
      <c r="EO12" s="25" t="s">
        <v>582</v>
      </c>
      <c r="EP12" s="25" t="s">
        <v>582</v>
      </c>
      <c r="EQ12" s="25" t="s">
        <v>582</v>
      </c>
      <c r="ER12" s="25" t="s">
        <v>582</v>
      </c>
      <c r="ES12" s="25" t="s">
        <v>582</v>
      </c>
      <c r="ET12" s="25" t="s">
        <v>582</v>
      </c>
      <c r="EU12" s="25" t="s">
        <v>582</v>
      </c>
      <c r="EV12" s="25" t="s">
        <v>582</v>
      </c>
      <c r="EW12" s="25" t="s">
        <v>582</v>
      </c>
      <c r="EX12" s="25" t="s">
        <v>582</v>
      </c>
      <c r="EY12" s="25" t="s">
        <v>582</v>
      </c>
      <c r="EZ12" s="25" t="s">
        <v>582</v>
      </c>
      <c r="FA12" s="25" t="s">
        <v>582</v>
      </c>
      <c r="FB12" s="25" t="s">
        <v>582</v>
      </c>
      <c r="FC12" s="25" t="s">
        <v>582</v>
      </c>
      <c r="FD12" s="25" t="s">
        <v>582</v>
      </c>
      <c r="FE12" s="25" t="s">
        <v>582</v>
      </c>
      <c r="FF12" s="25" t="s">
        <v>582</v>
      </c>
      <c r="FG12" s="25" t="s">
        <v>582</v>
      </c>
      <c r="FH12" s="25" t="s">
        <v>582</v>
      </c>
      <c r="FI12" s="25" t="s">
        <v>582</v>
      </c>
      <c r="FJ12" s="25">
        <v>9.1343529411764699</v>
      </c>
      <c r="FL12" s="25" t="s">
        <v>582</v>
      </c>
      <c r="FM12" s="25" t="s">
        <v>582</v>
      </c>
      <c r="FN12" s="25" t="s">
        <v>582</v>
      </c>
      <c r="FO12" s="25" t="s">
        <v>582</v>
      </c>
      <c r="FP12" s="25" t="s">
        <v>582</v>
      </c>
      <c r="FQ12" s="25" t="s">
        <v>582</v>
      </c>
      <c r="FR12" s="25" t="s">
        <v>582</v>
      </c>
      <c r="FS12" s="25" t="s">
        <v>582</v>
      </c>
      <c r="FT12" s="25" t="s">
        <v>582</v>
      </c>
      <c r="FU12" s="25" t="s">
        <v>582</v>
      </c>
      <c r="FV12" s="25" t="s">
        <v>582</v>
      </c>
      <c r="FW12" s="25" t="s">
        <v>582</v>
      </c>
      <c r="FX12" s="25" t="s">
        <v>582</v>
      </c>
      <c r="FY12" s="25" t="s">
        <v>582</v>
      </c>
      <c r="FZ12" s="25" t="s">
        <v>582</v>
      </c>
      <c r="GA12" s="25" t="s">
        <v>582</v>
      </c>
      <c r="GB12" s="25" t="s">
        <v>582</v>
      </c>
      <c r="GC12" s="25" t="s">
        <v>582</v>
      </c>
      <c r="GD12" s="25" t="s">
        <v>582</v>
      </c>
      <c r="GE12" s="25" t="s">
        <v>582</v>
      </c>
      <c r="GF12" s="25" t="s">
        <v>582</v>
      </c>
      <c r="GG12" s="25" t="s">
        <v>582</v>
      </c>
      <c r="GH12" s="25" t="s">
        <v>582</v>
      </c>
      <c r="GI12" s="25" t="s">
        <v>582</v>
      </c>
      <c r="GJ12" s="25" t="s">
        <v>582</v>
      </c>
      <c r="GK12" s="25" t="s">
        <v>582</v>
      </c>
      <c r="GL12" s="25" t="s">
        <v>582</v>
      </c>
      <c r="GM12" s="25">
        <v>5.2224229953729333</v>
      </c>
      <c r="GN12" s="25" t="s">
        <v>582</v>
      </c>
      <c r="GO12" s="25" t="s">
        <v>582</v>
      </c>
      <c r="GP12" s="25" t="s">
        <v>582</v>
      </c>
      <c r="GQ12" s="25" t="s">
        <v>582</v>
      </c>
      <c r="GR12" s="25" t="s">
        <v>582</v>
      </c>
      <c r="GS12" s="25" t="s">
        <v>582</v>
      </c>
      <c r="GT12" s="25" t="s">
        <v>582</v>
      </c>
      <c r="GU12" s="25" t="s">
        <v>582</v>
      </c>
      <c r="GV12" s="25" t="s">
        <v>582</v>
      </c>
      <c r="GW12" s="25" t="s">
        <v>582</v>
      </c>
      <c r="GX12" s="25" t="s">
        <v>582</v>
      </c>
      <c r="GY12" s="25" t="s">
        <v>582</v>
      </c>
      <c r="GZ12" s="25" t="s">
        <v>582</v>
      </c>
      <c r="HA12" s="25" t="s">
        <v>582</v>
      </c>
      <c r="HB12" s="25" t="s">
        <v>582</v>
      </c>
      <c r="HC12" s="25" t="s">
        <v>582</v>
      </c>
      <c r="HD12" s="25" t="s">
        <v>582</v>
      </c>
      <c r="HE12" s="25" t="s">
        <v>582</v>
      </c>
      <c r="HF12" s="25" t="s">
        <v>582</v>
      </c>
      <c r="HG12" s="25" t="s">
        <v>582</v>
      </c>
    </row>
    <row r="13" spans="1:215" x14ac:dyDescent="0.2">
      <c r="A13" s="24" t="s">
        <v>578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>
        <v>2.1296296296296296E-2</v>
      </c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</row>
    <row r="14" spans="1:215" x14ac:dyDescent="0.2">
      <c r="A14" s="24" t="s">
        <v>436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>
        <v>2.5490196078431372E-2</v>
      </c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</row>
    <row r="15" spans="1:215" x14ac:dyDescent="0.2">
      <c r="A15" s="24" t="s">
        <v>579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>
        <v>2.3164983164983166E-2</v>
      </c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</row>
    <row r="16" spans="1:215" x14ac:dyDescent="0.2">
      <c r="A16" s="24" t="s">
        <v>580</v>
      </c>
      <c r="C16" s="25" t="s">
        <v>582</v>
      </c>
      <c r="D16" s="25">
        <v>48.571428571428569</v>
      </c>
      <c r="E16" s="25">
        <v>84.821428571428569</v>
      </c>
      <c r="F16" s="25">
        <v>103.63636363636364</v>
      </c>
      <c r="G16" s="25">
        <v>32.389413288913566</v>
      </c>
      <c r="H16" s="25" t="s">
        <v>582</v>
      </c>
      <c r="I16" s="25">
        <v>22.857142857142858</v>
      </c>
      <c r="J16" s="25">
        <v>24.675324675324674</v>
      </c>
      <c r="K16" s="25">
        <v>25.974025974025974</v>
      </c>
      <c r="L16" s="25">
        <v>340.90909090909093</v>
      </c>
      <c r="M16" s="25">
        <v>52.173913043478258</v>
      </c>
      <c r="N16" s="25">
        <v>62.314540059347181</v>
      </c>
      <c r="O16" s="25">
        <v>53.846153846153847</v>
      </c>
      <c r="P16" s="25">
        <v>8.8990806387141568</v>
      </c>
      <c r="Q16" s="25">
        <v>7.2398190045248869</v>
      </c>
      <c r="R16" s="25">
        <v>14.251401120896718</v>
      </c>
      <c r="S16" s="25">
        <v>11.045774241900149</v>
      </c>
      <c r="T16" s="25">
        <v>21.645021645021647</v>
      </c>
      <c r="U16" s="25">
        <v>14.553014553014552</v>
      </c>
      <c r="V16" s="25">
        <v>21.101694915254239</v>
      </c>
      <c r="W16" s="25">
        <v>43.537414965986393</v>
      </c>
      <c r="X16" s="25">
        <v>4.8421052631578947</v>
      </c>
      <c r="Y16" s="25">
        <v>8.7203791469194307</v>
      </c>
      <c r="Z16" s="25">
        <v>19.444444444444443</v>
      </c>
      <c r="AA16" s="25">
        <v>14.583333333333334</v>
      </c>
      <c r="AB16" s="25">
        <v>14.074074074074074</v>
      </c>
      <c r="AC16" s="25">
        <v>27.205882352941178</v>
      </c>
      <c r="AD16" s="25">
        <v>46.511627906976742</v>
      </c>
      <c r="AE16" s="25">
        <v>21.551724137931036</v>
      </c>
      <c r="AF16" s="25">
        <v>12.589928057553957</v>
      </c>
      <c r="AG16" s="25">
        <v>21.387283236994218</v>
      </c>
      <c r="AH16" s="25">
        <v>9.2807424593967518</v>
      </c>
      <c r="AI16" s="25">
        <v>13.831258644536653</v>
      </c>
      <c r="AJ16" s="25" t="s">
        <v>582</v>
      </c>
      <c r="AK16" s="25" t="s">
        <v>582</v>
      </c>
      <c r="AL16" s="25">
        <v>39.755351681957187</v>
      </c>
      <c r="AM16" s="25">
        <v>15.985790408525755</v>
      </c>
      <c r="AN16" s="25">
        <v>15.765576389472798</v>
      </c>
      <c r="AO16" s="25">
        <v>38.596491228070178</v>
      </c>
      <c r="AP16" s="25">
        <v>52.336448598130843</v>
      </c>
      <c r="AQ16" s="25">
        <v>110.11904761904762</v>
      </c>
      <c r="AR16" s="25">
        <v>35.714285714285715</v>
      </c>
      <c r="AS16" s="25">
        <v>112.06896551724138</v>
      </c>
      <c r="AT16" s="25" t="s">
        <v>582</v>
      </c>
      <c r="AU16" s="25" t="s">
        <v>582</v>
      </c>
      <c r="AV16" s="25">
        <v>12.106537530266344</v>
      </c>
      <c r="AW16" s="25">
        <v>68.702290076335885</v>
      </c>
      <c r="AX16" s="25">
        <v>42.391304347826086</v>
      </c>
      <c r="AY16" s="25">
        <v>27.126099706744867</v>
      </c>
      <c r="AZ16" s="25">
        <v>15.978695073235686</v>
      </c>
      <c r="BA16" s="25">
        <v>17.647058823529413</v>
      </c>
      <c r="BB16" s="25">
        <v>12.645590682196339</v>
      </c>
      <c r="BC16" s="25">
        <v>20.689655172413794</v>
      </c>
      <c r="BD16" s="25">
        <v>25.316455696202532</v>
      </c>
      <c r="BE16" s="25" t="s">
        <v>582</v>
      </c>
      <c r="BF16" s="25">
        <v>39.285714285714285</v>
      </c>
      <c r="BG16" s="25">
        <v>22.110552763819097</v>
      </c>
      <c r="BH16" s="25">
        <v>22.058823529411764</v>
      </c>
      <c r="BI16" s="25">
        <v>28.8135593220339</v>
      </c>
      <c r="BJ16" s="25">
        <v>39.175257731958766</v>
      </c>
      <c r="BK16" s="25">
        <v>4.0697674418604652</v>
      </c>
      <c r="BL16" s="25">
        <v>39.849624060150376</v>
      </c>
      <c r="BM16" s="25">
        <v>7.6045627376425857</v>
      </c>
      <c r="BN16" s="25"/>
      <c r="BO16" s="25">
        <v>9.5575482490128785</v>
      </c>
      <c r="BP16" s="25">
        <v>14.14762741652021</v>
      </c>
      <c r="BQ16" s="25">
        <v>33.448873483535529</v>
      </c>
      <c r="BR16" s="25">
        <v>1800</v>
      </c>
      <c r="BS16" s="25">
        <v>1.1380263371809463</v>
      </c>
      <c r="BT16" s="25">
        <v>1.8024032042723632</v>
      </c>
      <c r="BU16" s="25">
        <v>6.543385490753912</v>
      </c>
      <c r="BV16" s="25">
        <v>9.2436974789915958</v>
      </c>
      <c r="BW16" s="25">
        <v>11.323155216284988</v>
      </c>
      <c r="BX16" s="25">
        <v>36.206896551724135</v>
      </c>
      <c r="BY16" s="25">
        <v>78.571428571428569</v>
      </c>
      <c r="BZ16" s="25" t="s">
        <v>582</v>
      </c>
      <c r="CA16" s="25" t="s">
        <v>582</v>
      </c>
      <c r="CB16" s="25">
        <v>141.23711340206185</v>
      </c>
      <c r="CC16" s="25">
        <v>134.48275862068965</v>
      </c>
      <c r="CD16" s="25">
        <v>45.652173913043477</v>
      </c>
      <c r="CE16" s="25">
        <v>17.878192534381139</v>
      </c>
      <c r="CF16" s="25">
        <v>122.80701754385964</v>
      </c>
      <c r="CG16" s="25">
        <v>23.100303951367781</v>
      </c>
      <c r="CH16" s="25">
        <v>51.315789473684212</v>
      </c>
      <c r="CI16" s="25">
        <v>14.146341463414634</v>
      </c>
      <c r="CJ16" s="25">
        <v>61.780104712041883</v>
      </c>
      <c r="CK16" s="25" t="s">
        <v>582</v>
      </c>
      <c r="CL16" s="25">
        <v>123.62637362637362</v>
      </c>
      <c r="CM16" s="25">
        <v>2.7668257591478178</v>
      </c>
      <c r="CN16" s="25">
        <v>2.5361120299922812</v>
      </c>
      <c r="CO16" s="25">
        <v>2.5503698036215252</v>
      </c>
      <c r="CP16" s="25">
        <v>6.1224489795918364</v>
      </c>
      <c r="CQ16" s="25">
        <v>16.979445933869528</v>
      </c>
      <c r="CR16" s="25">
        <v>40.50925925925926</v>
      </c>
      <c r="CS16" s="25">
        <v>14.200298953662182</v>
      </c>
      <c r="CT16" s="25">
        <v>5.8195926285160038</v>
      </c>
      <c r="CU16" s="25">
        <v>33.659066232356132</v>
      </c>
      <c r="CV16" s="25">
        <v>38.585209003215432</v>
      </c>
      <c r="CW16" s="25">
        <v>70.063694267515928</v>
      </c>
      <c r="CX16" s="25" t="s">
        <v>582</v>
      </c>
      <c r="CY16" s="25" t="s">
        <v>582</v>
      </c>
      <c r="CZ16" s="25">
        <v>1200</v>
      </c>
      <c r="DA16" s="25" t="s">
        <v>582</v>
      </c>
      <c r="DB16" s="25" t="s">
        <v>582</v>
      </c>
      <c r="DC16" s="25">
        <v>17.595307917888562</v>
      </c>
      <c r="DD16" s="25">
        <v>32.258064516129032</v>
      </c>
      <c r="DE16" s="25">
        <v>1666.6666666666667</v>
      </c>
      <c r="DF16" s="25">
        <v>25.62373567093729</v>
      </c>
      <c r="DG16" s="25">
        <v>23.754789272030653</v>
      </c>
      <c r="DH16" s="25">
        <v>9.857612267250822</v>
      </c>
      <c r="DI16" s="25">
        <v>9.8241985522233719</v>
      </c>
      <c r="DJ16" s="25">
        <v>7.5875486381322954</v>
      </c>
      <c r="DK16" s="25">
        <v>15.145140933950358</v>
      </c>
      <c r="DL16" s="25" t="s">
        <v>582</v>
      </c>
      <c r="DM16" s="25">
        <v>18.456375838926174</v>
      </c>
      <c r="DN16" s="25">
        <v>79.741379310344826</v>
      </c>
      <c r="DO16" s="25">
        <v>57.534246575342465</v>
      </c>
      <c r="DP16" s="25" t="s">
        <v>582</v>
      </c>
      <c r="DQ16" s="25">
        <v>73.770491803278688</v>
      </c>
      <c r="DR16" s="25">
        <v>80</v>
      </c>
      <c r="DS16" s="25">
        <v>36.873156342182888</v>
      </c>
      <c r="DT16" s="25">
        <v>52.325581395348834</v>
      </c>
      <c r="DU16" s="25">
        <v>230</v>
      </c>
      <c r="DV16" s="25">
        <v>90.196078431372555</v>
      </c>
      <c r="DW16" s="25">
        <v>127.27272727272727</v>
      </c>
      <c r="DX16" s="25">
        <v>277.77777777777777</v>
      </c>
      <c r="DY16" s="25" t="s">
        <v>582</v>
      </c>
      <c r="DZ16" s="25" t="s">
        <v>582</v>
      </c>
      <c r="EA16" s="25">
        <v>61.946902654867259</v>
      </c>
      <c r="EB16" s="25">
        <v>24.249422632794456</v>
      </c>
      <c r="EC16" s="25">
        <v>94.017094017094024</v>
      </c>
      <c r="ED16" s="25">
        <v>36.945812807881772</v>
      </c>
      <c r="EE16" s="25">
        <v>21.194605009633911</v>
      </c>
      <c r="EF16" s="25" t="s">
        <v>582</v>
      </c>
      <c r="EG16" s="25">
        <v>20.228906042054831</v>
      </c>
      <c r="EH16" s="25" t="s">
        <v>582</v>
      </c>
      <c r="EI16" s="25">
        <v>56.0625814863103</v>
      </c>
      <c r="EJ16" s="25">
        <v>12.101910828025478</v>
      </c>
      <c r="EK16" s="25">
        <v>8.2857142857142865</v>
      </c>
      <c r="EL16" s="25">
        <v>88.505747126436788</v>
      </c>
      <c r="EM16" s="25">
        <v>159.22798552472858</v>
      </c>
      <c r="EN16" s="25">
        <v>58.747993579454253</v>
      </c>
      <c r="EO16" s="25" t="s">
        <v>582</v>
      </c>
      <c r="EP16" s="25">
        <v>439.02439024390242</v>
      </c>
      <c r="EQ16" s="25">
        <v>167.14285714285714</v>
      </c>
      <c r="ER16" s="25">
        <v>600</v>
      </c>
      <c r="ES16" s="25">
        <v>287.5</v>
      </c>
      <c r="ET16" s="25">
        <v>504.76190476190476</v>
      </c>
      <c r="EU16" s="25">
        <v>291.66666666666669</v>
      </c>
      <c r="EV16" s="25" t="s">
        <v>582</v>
      </c>
      <c r="EW16" s="25">
        <v>35.490605427974948</v>
      </c>
      <c r="EX16" s="25">
        <v>74.603174603174608</v>
      </c>
      <c r="EY16" s="25">
        <v>98.913043478260875</v>
      </c>
      <c r="EZ16" s="25">
        <v>99.619771863117876</v>
      </c>
      <c r="FA16" s="25">
        <v>139.51675759937646</v>
      </c>
      <c r="FB16" s="25">
        <v>187.80487804878049</v>
      </c>
      <c r="FC16" s="25">
        <v>170.18930343686822</v>
      </c>
      <c r="FD16" s="25">
        <v>416.66666666666669</v>
      </c>
      <c r="FE16" s="25" t="s">
        <v>582</v>
      </c>
      <c r="FF16" s="25">
        <v>190.47619047619048</v>
      </c>
      <c r="FG16" s="25">
        <v>203.2258064516129</v>
      </c>
      <c r="FH16" s="25" t="s">
        <v>582</v>
      </c>
      <c r="FI16" s="25" t="s">
        <v>582</v>
      </c>
      <c r="FJ16" s="25"/>
      <c r="FK16" s="25">
        <v>34.782608695652172</v>
      </c>
      <c r="FL16" s="25" t="s">
        <v>582</v>
      </c>
      <c r="FM16" s="25">
        <v>117.2069825436409</v>
      </c>
      <c r="FN16" s="25" t="s">
        <v>582</v>
      </c>
      <c r="FO16" s="25">
        <v>333.33333333333331</v>
      </c>
      <c r="FP16" s="25">
        <v>42.27642276422764</v>
      </c>
      <c r="FQ16" s="25" t="s">
        <v>582</v>
      </c>
      <c r="FR16" s="25">
        <v>165.07936507936509</v>
      </c>
      <c r="FS16" s="25">
        <v>183.78378378378378</v>
      </c>
      <c r="FT16" s="25">
        <v>329.86472424557752</v>
      </c>
      <c r="FU16" s="25">
        <v>198.8555078683834</v>
      </c>
      <c r="FV16" s="25" t="s">
        <v>582</v>
      </c>
      <c r="FW16" s="25" t="s">
        <v>582</v>
      </c>
      <c r="FX16" s="25" t="s">
        <v>582</v>
      </c>
      <c r="FY16" s="25">
        <v>227.5219298245614</v>
      </c>
      <c r="FZ16" s="25">
        <v>145.98540145985402</v>
      </c>
      <c r="GA16" s="25">
        <v>270</v>
      </c>
      <c r="GB16" s="25" t="s">
        <v>582</v>
      </c>
      <c r="GC16" s="25" t="s">
        <v>582</v>
      </c>
      <c r="GD16" s="25">
        <v>669.23076923076928</v>
      </c>
      <c r="GE16" s="25">
        <v>1312.5</v>
      </c>
      <c r="GF16" s="25">
        <v>364.28571428571428</v>
      </c>
      <c r="GG16" s="25">
        <v>508.33333333333331</v>
      </c>
      <c r="GH16" s="25">
        <v>602.56410256410254</v>
      </c>
      <c r="GI16" s="25">
        <v>144.71544715447155</v>
      </c>
      <c r="GJ16" s="25" t="s">
        <v>582</v>
      </c>
      <c r="GK16" s="25">
        <v>227.01092353525323</v>
      </c>
      <c r="GL16" s="25" t="s">
        <v>582</v>
      </c>
      <c r="GM16" s="25">
        <v>403.45821325648416</v>
      </c>
      <c r="GN16" s="25" t="s">
        <v>582</v>
      </c>
      <c r="GO16" s="25">
        <v>92.592592592592595</v>
      </c>
      <c r="GP16" s="25">
        <v>34.990791896869247</v>
      </c>
      <c r="GQ16" s="25">
        <v>325.92592592592592</v>
      </c>
      <c r="GR16" s="25" t="s">
        <v>582</v>
      </c>
      <c r="GS16" s="25" t="s">
        <v>582</v>
      </c>
      <c r="GT16" s="25">
        <v>49.019607843137258</v>
      </c>
      <c r="GU16" s="25">
        <v>39.449541284403672</v>
      </c>
      <c r="GV16" s="25">
        <v>63.055062166962699</v>
      </c>
      <c r="GW16" s="25">
        <v>153.65853658536585</v>
      </c>
      <c r="GX16" s="25" t="s">
        <v>582</v>
      </c>
      <c r="GY16" s="25" t="s">
        <v>582</v>
      </c>
      <c r="GZ16" s="25" t="s">
        <v>582</v>
      </c>
      <c r="HA16" s="25">
        <v>346.15384615384613</v>
      </c>
      <c r="HB16" s="25">
        <v>197.36842105263159</v>
      </c>
      <c r="HC16" s="25" t="s">
        <v>582</v>
      </c>
      <c r="HD16" s="25">
        <v>220</v>
      </c>
      <c r="HE16" s="25" t="s">
        <v>582</v>
      </c>
      <c r="HF16" s="25" t="s">
        <v>582</v>
      </c>
      <c r="HG16" s="25" t="s">
        <v>582</v>
      </c>
    </row>
    <row r="17" spans="1:215" x14ac:dyDescent="0.2">
      <c r="A17" s="24" t="s">
        <v>581</v>
      </c>
      <c r="C17" s="25">
        <v>53.333333333333336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</row>
    <row r="18" spans="1:215" x14ac:dyDescent="0.2">
      <c r="A18" s="24" t="s">
        <v>190</v>
      </c>
      <c r="C18" s="25"/>
      <c r="D18" s="25">
        <v>93.220338983050851</v>
      </c>
      <c r="E18" s="25">
        <v>150</v>
      </c>
      <c r="F18" s="25">
        <v>65.384615384615387</v>
      </c>
      <c r="G18" s="25">
        <v>51.020408163265309</v>
      </c>
      <c r="H18" s="25">
        <v>266.66666666666669</v>
      </c>
      <c r="I18" s="25" t="s">
        <v>582</v>
      </c>
      <c r="J18" s="25" t="s">
        <v>582</v>
      </c>
      <c r="K18" s="25" t="s">
        <v>582</v>
      </c>
      <c r="L18" s="25" t="s">
        <v>582</v>
      </c>
      <c r="M18" s="25" t="s">
        <v>582</v>
      </c>
      <c r="N18" s="25" t="s">
        <v>582</v>
      </c>
      <c r="O18" s="25" t="s">
        <v>582</v>
      </c>
      <c r="P18" s="25" t="s">
        <v>582</v>
      </c>
      <c r="Q18" s="25" t="s">
        <v>582</v>
      </c>
      <c r="R18" s="25">
        <v>9.0243902439024382</v>
      </c>
      <c r="S18" s="25">
        <v>9.591836734693878</v>
      </c>
      <c r="T18" s="25">
        <v>17.916666666666668</v>
      </c>
      <c r="U18" s="25">
        <v>19.72972972972973</v>
      </c>
      <c r="V18" s="25">
        <v>22.727272727272727</v>
      </c>
      <c r="W18" s="25">
        <v>50.566037735849058</v>
      </c>
      <c r="X18" s="25">
        <v>7.1052631578947372</v>
      </c>
      <c r="Y18" s="25" t="s">
        <v>582</v>
      </c>
      <c r="Z18" s="25" t="s">
        <v>582</v>
      </c>
      <c r="AA18" s="25" t="s">
        <v>582</v>
      </c>
      <c r="AB18" s="25" t="s">
        <v>582</v>
      </c>
      <c r="AC18" s="25" t="s">
        <v>582</v>
      </c>
      <c r="AD18" s="25" t="s">
        <v>582</v>
      </c>
      <c r="AE18" s="25" t="s">
        <v>582</v>
      </c>
      <c r="AF18" s="25" t="s">
        <v>582</v>
      </c>
      <c r="AG18" s="25" t="s">
        <v>582</v>
      </c>
      <c r="AH18" s="25" t="s">
        <v>582</v>
      </c>
      <c r="AI18" s="25" t="s">
        <v>582</v>
      </c>
      <c r="AJ18" s="25">
        <v>120</v>
      </c>
      <c r="AK18" s="25">
        <v>33.333333333333336</v>
      </c>
      <c r="AL18" s="25" t="s">
        <v>582</v>
      </c>
      <c r="AM18" s="25" t="s">
        <v>582</v>
      </c>
      <c r="AN18" s="25" t="s">
        <v>582</v>
      </c>
      <c r="AO18" s="25">
        <v>48.07692307692308</v>
      </c>
      <c r="AP18" s="25" t="s">
        <v>582</v>
      </c>
      <c r="AQ18" s="25">
        <v>68.181818181818187</v>
      </c>
      <c r="AR18" s="25" t="s">
        <v>582</v>
      </c>
      <c r="AS18" s="25">
        <v>85.714285714285708</v>
      </c>
      <c r="AT18" s="25">
        <v>55.555555555555557</v>
      </c>
      <c r="AU18" s="25">
        <v>35</v>
      </c>
      <c r="AV18" s="25" t="s">
        <v>582</v>
      </c>
      <c r="AW18" s="25" t="s">
        <v>582</v>
      </c>
      <c r="AX18" s="25" t="s">
        <v>582</v>
      </c>
      <c r="AY18" s="25" t="s">
        <v>582</v>
      </c>
      <c r="AZ18" s="25" t="s">
        <v>582</v>
      </c>
      <c r="BA18" s="25" t="s">
        <v>582</v>
      </c>
      <c r="BB18" s="25" t="s">
        <v>582</v>
      </c>
      <c r="BC18" s="25">
        <v>23.255813953488371</v>
      </c>
      <c r="BD18" s="25">
        <v>59.45945945945946</v>
      </c>
      <c r="BE18" s="25">
        <v>35.514018691588788</v>
      </c>
      <c r="BF18" s="25" t="s">
        <v>582</v>
      </c>
      <c r="BG18" s="25">
        <v>36.144578313253014</v>
      </c>
      <c r="BH18" s="25">
        <v>22.580645161290324</v>
      </c>
      <c r="BI18" s="25">
        <v>0.31645569620253167</v>
      </c>
      <c r="BJ18" s="25">
        <v>62.857142857142854</v>
      </c>
      <c r="BK18" s="25" t="s">
        <v>582</v>
      </c>
      <c r="BL18" s="25" t="s">
        <v>582</v>
      </c>
      <c r="BM18" s="25" t="s">
        <v>582</v>
      </c>
      <c r="BN18" s="25"/>
      <c r="BO18" s="25" t="s">
        <v>582</v>
      </c>
      <c r="BP18" s="25">
        <v>12.179487179487179</v>
      </c>
      <c r="BQ18" s="25">
        <v>26.153846153846153</v>
      </c>
      <c r="BR18" s="25">
        <v>1366.6666666666667</v>
      </c>
      <c r="BS18" s="25">
        <v>1.0088468104920068</v>
      </c>
      <c r="BT18" s="25">
        <v>1.3618677042801557</v>
      </c>
      <c r="BU18" s="25">
        <v>5.2132701421800949</v>
      </c>
      <c r="BV18" s="25">
        <v>11.827956989247312</v>
      </c>
      <c r="BW18" s="25" t="s">
        <v>582</v>
      </c>
      <c r="BX18" s="25" t="s">
        <v>582</v>
      </c>
      <c r="BY18" s="25">
        <v>900</v>
      </c>
      <c r="BZ18" s="25">
        <v>22.807017543859651</v>
      </c>
      <c r="CA18" s="25">
        <v>8.9285714285714288</v>
      </c>
      <c r="CB18" s="25">
        <v>77.966101694915253</v>
      </c>
      <c r="CC18" s="25" t="s">
        <v>582</v>
      </c>
      <c r="CD18" s="25" t="s">
        <v>582</v>
      </c>
      <c r="CE18" s="25">
        <v>23.404255319148938</v>
      </c>
      <c r="CF18" s="25">
        <v>27.868852459016395</v>
      </c>
      <c r="CG18" s="25">
        <v>19.469026548672566</v>
      </c>
      <c r="CH18" s="25">
        <v>61.904761904761905</v>
      </c>
      <c r="CI18" s="25" t="s">
        <v>582</v>
      </c>
      <c r="CJ18" s="25">
        <v>48.051948051948052</v>
      </c>
      <c r="CK18" s="25">
        <v>200</v>
      </c>
      <c r="CL18" s="25">
        <v>152.94117647058823</v>
      </c>
      <c r="CM18" s="25">
        <v>2.4758454106280192</v>
      </c>
      <c r="CN18" s="25">
        <v>1.6666666666666667</v>
      </c>
      <c r="CO18" s="25" t="s">
        <v>582</v>
      </c>
      <c r="CP18" s="25" t="s">
        <v>582</v>
      </c>
      <c r="CQ18" s="25" t="s">
        <v>582</v>
      </c>
      <c r="CR18" s="25" t="s">
        <v>582</v>
      </c>
      <c r="CS18" s="25" t="s">
        <v>582</v>
      </c>
      <c r="CT18" s="25" t="s">
        <v>582</v>
      </c>
      <c r="CU18" s="25" t="s">
        <v>582</v>
      </c>
      <c r="CV18" s="25" t="s">
        <v>582</v>
      </c>
      <c r="CW18" s="25" t="s">
        <v>582</v>
      </c>
      <c r="CX18" s="25">
        <v>23.913043478260871</v>
      </c>
      <c r="CY18" s="25">
        <v>25.925925925925927</v>
      </c>
      <c r="CZ18" s="25" t="s">
        <v>582</v>
      </c>
      <c r="DA18" s="25">
        <v>4.026845637583893</v>
      </c>
      <c r="DB18" s="25">
        <v>12.315270935960591</v>
      </c>
      <c r="DC18" s="25">
        <v>18.067226890756302</v>
      </c>
      <c r="DD18" s="25">
        <v>41.379310344827587</v>
      </c>
      <c r="DE18" s="25">
        <v>26.138279932546375</v>
      </c>
      <c r="DF18" s="25">
        <v>62.650602409638552</v>
      </c>
      <c r="DG18" s="25">
        <v>27.167630057803468</v>
      </c>
      <c r="DH18" s="25">
        <v>13.086770981507824</v>
      </c>
      <c r="DI18" s="25" t="s">
        <v>582</v>
      </c>
      <c r="DJ18" s="25" t="s">
        <v>582</v>
      </c>
      <c r="DK18" s="25">
        <v>11.627906976744185</v>
      </c>
      <c r="DL18" s="25">
        <v>23.831775700934578</v>
      </c>
      <c r="DM18" s="25">
        <v>11.62079510703364</v>
      </c>
      <c r="DN18" s="25">
        <v>32.170542635658911</v>
      </c>
      <c r="DO18" s="25">
        <v>53.846153846153847</v>
      </c>
      <c r="DP18" s="25">
        <v>14.744145706851691</v>
      </c>
      <c r="DQ18" s="25">
        <v>69.712793733681465</v>
      </c>
      <c r="DR18" s="25">
        <v>78.125</v>
      </c>
      <c r="DS18" s="25">
        <v>29.166666666666668</v>
      </c>
      <c r="DT18" s="25">
        <v>48.837209302325583</v>
      </c>
      <c r="DU18" s="25">
        <v>141.41414141414143</v>
      </c>
      <c r="DV18" s="25" t="s">
        <v>582</v>
      </c>
      <c r="DW18" s="25">
        <v>118.75</v>
      </c>
      <c r="DX18" s="25" t="s">
        <v>582</v>
      </c>
      <c r="DY18" s="25">
        <v>137.5</v>
      </c>
      <c r="DZ18" s="25">
        <v>100</v>
      </c>
      <c r="EA18" s="25">
        <v>48.453608247422679</v>
      </c>
      <c r="EB18" s="25" t="s">
        <v>582</v>
      </c>
      <c r="EC18" s="25" t="s">
        <v>582</v>
      </c>
      <c r="ED18" s="25" t="s">
        <v>582</v>
      </c>
      <c r="EE18" s="25" t="s">
        <v>582</v>
      </c>
      <c r="EF18" s="25">
        <v>9.5238095238095237</v>
      </c>
      <c r="EG18" s="25">
        <v>12.240184757505773</v>
      </c>
      <c r="EH18" s="25">
        <v>65.217391304347828</v>
      </c>
      <c r="EI18" s="25" t="s">
        <v>582</v>
      </c>
      <c r="EJ18" s="25" t="s">
        <v>582</v>
      </c>
      <c r="EK18" s="25" t="s">
        <v>582</v>
      </c>
      <c r="EL18" s="25">
        <v>105.26315789473684</v>
      </c>
      <c r="EM18" s="25">
        <v>100</v>
      </c>
      <c r="EN18" s="25" t="s">
        <v>582</v>
      </c>
      <c r="EO18" s="25">
        <v>539.13043478260875</v>
      </c>
      <c r="EP18" s="25">
        <v>408.51063829787233</v>
      </c>
      <c r="EQ18" s="25">
        <v>238.88888888888889</v>
      </c>
      <c r="ER18" s="25" t="s">
        <v>582</v>
      </c>
      <c r="ES18" s="25" t="s">
        <v>582</v>
      </c>
      <c r="ET18" s="25" t="s">
        <v>582</v>
      </c>
      <c r="EU18" s="25" t="s">
        <v>582</v>
      </c>
      <c r="EV18" s="25">
        <v>22.916666666666668</v>
      </c>
      <c r="EW18" s="25" t="s">
        <v>582</v>
      </c>
      <c r="EX18" s="25" t="s">
        <v>582</v>
      </c>
      <c r="EY18" s="25">
        <v>125</v>
      </c>
      <c r="EZ18" s="25">
        <v>78.240058910162006</v>
      </c>
      <c r="FA18" s="25">
        <v>126.17924528301887</v>
      </c>
      <c r="FB18" s="25">
        <v>206.03015075376885</v>
      </c>
      <c r="FC18" s="25">
        <v>139.96848739495798</v>
      </c>
      <c r="FD18" s="25">
        <v>243.90243902439025</v>
      </c>
      <c r="FE18" s="25">
        <v>200</v>
      </c>
      <c r="FF18" s="25">
        <v>134.375</v>
      </c>
      <c r="FG18" s="25">
        <v>139.47368421052633</v>
      </c>
      <c r="FH18" s="25">
        <v>105.26315789473684</v>
      </c>
      <c r="FI18" s="25">
        <v>60.084033613445378</v>
      </c>
      <c r="FJ18" s="25"/>
      <c r="FK18" s="25">
        <v>39.931740614334473</v>
      </c>
      <c r="FL18" s="25">
        <v>101.61290322580645</v>
      </c>
      <c r="FM18" s="25">
        <v>184.21052631578948</v>
      </c>
      <c r="FN18" s="25">
        <v>142.30769230769232</v>
      </c>
      <c r="FO18" s="25">
        <v>200</v>
      </c>
      <c r="FP18" s="25">
        <v>55.052264808362366</v>
      </c>
      <c r="FQ18" s="25">
        <v>158.8235294117647</v>
      </c>
      <c r="FR18" s="25">
        <v>113.63636363636364</v>
      </c>
      <c r="FS18" s="25">
        <v>176.47058823529412</v>
      </c>
      <c r="FT18" s="25" t="s">
        <v>582</v>
      </c>
      <c r="FU18" s="25">
        <v>173.22834645669292</v>
      </c>
      <c r="FV18" s="25">
        <v>268.29268292682929</v>
      </c>
      <c r="FW18" s="25">
        <v>333.33333333333331</v>
      </c>
      <c r="FX18" s="25">
        <v>460</v>
      </c>
      <c r="FY18" s="25" t="s">
        <v>582</v>
      </c>
      <c r="FZ18" s="25">
        <v>128.84615384615384</v>
      </c>
      <c r="GA18" s="25">
        <v>262.5</v>
      </c>
      <c r="GB18" s="25">
        <v>250</v>
      </c>
      <c r="GC18" s="25">
        <v>226.71009771986971</v>
      </c>
      <c r="GD18" s="25" t="s">
        <v>582</v>
      </c>
      <c r="GE18" s="25" t="s">
        <v>582</v>
      </c>
      <c r="GF18" s="25">
        <v>200</v>
      </c>
      <c r="GG18" s="25">
        <v>500</v>
      </c>
      <c r="GH18" s="25">
        <v>1800</v>
      </c>
      <c r="GI18" s="25">
        <v>555.55555555555554</v>
      </c>
      <c r="GJ18" s="25">
        <v>307.69230769230768</v>
      </c>
      <c r="GK18" s="25">
        <v>246.26865671641792</v>
      </c>
      <c r="GL18" s="25">
        <v>584.61538461538464</v>
      </c>
      <c r="GM18" s="25">
        <v>113.6986301369863</v>
      </c>
      <c r="GN18" s="25">
        <v>333.33333333333331</v>
      </c>
      <c r="GO18" s="25">
        <v>94.594594594594597</v>
      </c>
      <c r="GP18" s="25">
        <v>61.561561561561561</v>
      </c>
      <c r="GQ18" s="25">
        <v>187.80487804878049</v>
      </c>
      <c r="GR18" s="25">
        <v>333.33333333333331</v>
      </c>
      <c r="GS18" s="25">
        <v>230.76923076923077</v>
      </c>
      <c r="GT18" s="25">
        <v>43.82470119521912</v>
      </c>
      <c r="GU18" s="25">
        <v>111.11111111111111</v>
      </c>
      <c r="GV18" s="25">
        <v>75.187969924812023</v>
      </c>
      <c r="GW18" s="25">
        <v>93.650793650793645</v>
      </c>
      <c r="GX18" s="25">
        <v>161.9047619047619</v>
      </c>
      <c r="GY18" s="25">
        <v>65.714285714285708</v>
      </c>
      <c r="GZ18" s="25">
        <v>142.85714285714286</v>
      </c>
      <c r="HA18" s="25">
        <v>300</v>
      </c>
      <c r="HB18" s="25">
        <v>866.66666666666663</v>
      </c>
      <c r="HC18" s="25">
        <v>172.97297297297297</v>
      </c>
      <c r="HD18" s="25">
        <v>220</v>
      </c>
      <c r="HE18" s="25">
        <v>206.89655172413794</v>
      </c>
      <c r="HF18" s="25">
        <v>356.32183908045977</v>
      </c>
      <c r="HG18" s="25">
        <v>128.57142857142858</v>
      </c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EN15"/>
  <sheetViews>
    <sheetView zoomScale="80" zoomScaleNormal="80" zoomScaleSheetLayoutView="110" workbookViewId="0">
      <pane xSplit="2" ySplit="8" topLeftCell="BA9" activePane="bottomRight" state="frozenSplit"/>
      <selection activeCell="C34" sqref="C34"/>
      <selection pane="topRight" activeCell="C34" sqref="C34"/>
      <selection pane="bottomLeft" activeCell="C34" sqref="C34"/>
      <selection pane="bottomRight" activeCell="BN4" sqref="BN4"/>
    </sheetView>
  </sheetViews>
  <sheetFormatPr defaultColWidth="9.6640625" defaultRowHeight="12" x14ac:dyDescent="0.2"/>
  <cols>
    <col min="1" max="1" width="7.88671875" style="10" customWidth="1"/>
    <col min="2" max="2" width="13.88671875" style="9" customWidth="1"/>
    <col min="3" max="86" width="12.109375" style="9" customWidth="1"/>
    <col min="87" max="199" width="9.6640625" style="9"/>
    <col min="200" max="200" width="6.44140625" style="9" customWidth="1"/>
    <col min="201" max="201" width="13.88671875" style="9" customWidth="1"/>
    <col min="202" max="202" width="11.88671875" style="9" customWidth="1"/>
    <col min="203" max="205" width="9.6640625" style="9"/>
    <col min="206" max="206" width="15.44140625" style="9" customWidth="1"/>
    <col min="207" max="207" width="16.21875" style="9" customWidth="1"/>
    <col min="208" max="219" width="9.6640625" style="9"/>
    <col min="220" max="220" width="12" style="9" customWidth="1"/>
    <col min="221" max="221" width="12.77734375" style="9" customWidth="1"/>
    <col min="222" max="222" width="11.109375" style="9" customWidth="1"/>
    <col min="223" max="223" width="12" style="9" customWidth="1"/>
    <col min="224" max="224" width="9.6640625" style="9"/>
    <col min="225" max="225" width="15.33203125" style="9" customWidth="1"/>
    <col min="226" max="226" width="15.21875" style="9" customWidth="1"/>
    <col min="227" max="227" width="21.44140625" style="9" customWidth="1"/>
    <col min="228" max="243" width="9.6640625" style="9"/>
    <col min="244" max="245" width="13.44140625" style="9" customWidth="1"/>
    <col min="246" max="246" width="9.6640625" style="9"/>
    <col min="247" max="247" width="13.88671875" style="9" customWidth="1"/>
    <col min="248" max="248" width="10.6640625" style="9" customWidth="1"/>
    <col min="249" max="249" width="17.33203125" style="9" customWidth="1"/>
    <col min="250" max="251" width="12.6640625" style="9" customWidth="1"/>
    <col min="252" max="252" width="11.21875" style="9" customWidth="1"/>
    <col min="253" max="253" width="18.33203125" style="9" customWidth="1"/>
    <col min="254" max="254" width="12.88671875" style="9" customWidth="1"/>
    <col min="255" max="256" width="13.21875" style="9" customWidth="1"/>
    <col min="257" max="257" width="10.88671875" style="9" customWidth="1"/>
    <col min="258" max="258" width="11.109375" style="9" customWidth="1"/>
    <col min="259" max="259" width="15.21875" style="9" customWidth="1"/>
    <col min="260" max="260" width="9.6640625" style="9"/>
    <col min="261" max="261" width="11" style="9" customWidth="1"/>
    <col min="262" max="262" width="10.77734375" style="9" customWidth="1"/>
    <col min="263" max="263" width="11.44140625" style="9" customWidth="1"/>
    <col min="264" max="264" width="4" style="9" customWidth="1"/>
    <col min="265" max="455" width="9.6640625" style="9"/>
    <col min="456" max="456" width="6.44140625" style="9" customWidth="1"/>
    <col min="457" max="457" width="13.88671875" style="9" customWidth="1"/>
    <col min="458" max="458" width="11.88671875" style="9" customWidth="1"/>
    <col min="459" max="461" width="9.6640625" style="9"/>
    <col min="462" max="462" width="15.44140625" style="9" customWidth="1"/>
    <col min="463" max="463" width="16.21875" style="9" customWidth="1"/>
    <col min="464" max="475" width="9.6640625" style="9"/>
    <col min="476" max="476" width="12" style="9" customWidth="1"/>
    <col min="477" max="477" width="12.77734375" style="9" customWidth="1"/>
    <col min="478" max="478" width="11.109375" style="9" customWidth="1"/>
    <col min="479" max="479" width="12" style="9" customWidth="1"/>
    <col min="480" max="480" width="9.6640625" style="9"/>
    <col min="481" max="481" width="15.33203125" style="9" customWidth="1"/>
    <col min="482" max="482" width="15.21875" style="9" customWidth="1"/>
    <col min="483" max="483" width="21.44140625" style="9" customWidth="1"/>
    <col min="484" max="499" width="9.6640625" style="9"/>
    <col min="500" max="501" width="13.44140625" style="9" customWidth="1"/>
    <col min="502" max="502" width="9.6640625" style="9"/>
    <col min="503" max="503" width="13.88671875" style="9" customWidth="1"/>
    <col min="504" max="504" width="10.6640625" style="9" customWidth="1"/>
    <col min="505" max="505" width="17.33203125" style="9" customWidth="1"/>
    <col min="506" max="507" width="12.6640625" style="9" customWidth="1"/>
    <col min="508" max="508" width="11.21875" style="9" customWidth="1"/>
    <col min="509" max="509" width="18.33203125" style="9" customWidth="1"/>
    <col min="510" max="510" width="12.88671875" style="9" customWidth="1"/>
    <col min="511" max="512" width="13.21875" style="9" customWidth="1"/>
    <col min="513" max="513" width="10.88671875" style="9" customWidth="1"/>
    <col min="514" max="514" width="11.109375" style="9" customWidth="1"/>
    <col min="515" max="515" width="15.21875" style="9" customWidth="1"/>
    <col min="516" max="516" width="9.6640625" style="9"/>
    <col min="517" max="517" width="11" style="9" customWidth="1"/>
    <col min="518" max="518" width="10.77734375" style="9" customWidth="1"/>
    <col min="519" max="519" width="11.44140625" style="9" customWidth="1"/>
    <col min="520" max="520" width="4" style="9" customWidth="1"/>
    <col min="521" max="711" width="9.6640625" style="9"/>
    <col min="712" max="712" width="6.44140625" style="9" customWidth="1"/>
    <col min="713" max="713" width="13.88671875" style="9" customWidth="1"/>
    <col min="714" max="714" width="11.88671875" style="9" customWidth="1"/>
    <col min="715" max="717" width="9.6640625" style="9"/>
    <col min="718" max="718" width="15.44140625" style="9" customWidth="1"/>
    <col min="719" max="719" width="16.21875" style="9" customWidth="1"/>
    <col min="720" max="731" width="9.6640625" style="9"/>
    <col min="732" max="732" width="12" style="9" customWidth="1"/>
    <col min="733" max="733" width="12.77734375" style="9" customWidth="1"/>
    <col min="734" max="734" width="11.109375" style="9" customWidth="1"/>
    <col min="735" max="735" width="12" style="9" customWidth="1"/>
    <col min="736" max="736" width="9.6640625" style="9"/>
    <col min="737" max="737" width="15.33203125" style="9" customWidth="1"/>
    <col min="738" max="738" width="15.21875" style="9" customWidth="1"/>
    <col min="739" max="739" width="21.44140625" style="9" customWidth="1"/>
    <col min="740" max="755" width="9.6640625" style="9"/>
    <col min="756" max="757" width="13.44140625" style="9" customWidth="1"/>
    <col min="758" max="758" width="9.6640625" style="9"/>
    <col min="759" max="759" width="13.88671875" style="9" customWidth="1"/>
    <col min="760" max="760" width="10.6640625" style="9" customWidth="1"/>
    <col min="761" max="761" width="17.33203125" style="9" customWidth="1"/>
    <col min="762" max="763" width="12.6640625" style="9" customWidth="1"/>
    <col min="764" max="764" width="11.21875" style="9" customWidth="1"/>
    <col min="765" max="765" width="18.33203125" style="9" customWidth="1"/>
    <col min="766" max="766" width="12.88671875" style="9" customWidth="1"/>
    <col min="767" max="768" width="13.21875" style="9" customWidth="1"/>
    <col min="769" max="769" width="10.88671875" style="9" customWidth="1"/>
    <col min="770" max="770" width="11.109375" style="9" customWidth="1"/>
    <col min="771" max="771" width="15.21875" style="9" customWidth="1"/>
    <col min="772" max="772" width="9.6640625" style="9"/>
    <col min="773" max="773" width="11" style="9" customWidth="1"/>
    <col min="774" max="774" width="10.77734375" style="9" customWidth="1"/>
    <col min="775" max="775" width="11.44140625" style="9" customWidth="1"/>
    <col min="776" max="776" width="4" style="9" customWidth="1"/>
    <col min="777" max="967" width="9.6640625" style="9"/>
    <col min="968" max="968" width="6.44140625" style="9" customWidth="1"/>
    <col min="969" max="969" width="13.88671875" style="9" customWidth="1"/>
    <col min="970" max="970" width="11.88671875" style="9" customWidth="1"/>
    <col min="971" max="973" width="9.6640625" style="9"/>
    <col min="974" max="974" width="15.44140625" style="9" customWidth="1"/>
    <col min="975" max="975" width="16.21875" style="9" customWidth="1"/>
    <col min="976" max="987" width="9.6640625" style="9"/>
    <col min="988" max="988" width="12" style="9" customWidth="1"/>
    <col min="989" max="989" width="12.77734375" style="9" customWidth="1"/>
    <col min="990" max="990" width="11.109375" style="9" customWidth="1"/>
    <col min="991" max="991" width="12" style="9" customWidth="1"/>
    <col min="992" max="992" width="9.6640625" style="9"/>
    <col min="993" max="993" width="15.33203125" style="9" customWidth="1"/>
    <col min="994" max="994" width="15.21875" style="9" customWidth="1"/>
    <col min="995" max="995" width="21.44140625" style="9" customWidth="1"/>
    <col min="996" max="1011" width="9.6640625" style="9"/>
    <col min="1012" max="1013" width="13.44140625" style="9" customWidth="1"/>
    <col min="1014" max="1014" width="9.6640625" style="9"/>
    <col min="1015" max="1015" width="13.88671875" style="9" customWidth="1"/>
    <col min="1016" max="1016" width="10.6640625" style="9" customWidth="1"/>
    <col min="1017" max="1017" width="17.33203125" style="9" customWidth="1"/>
    <col min="1018" max="1019" width="12.6640625" style="9" customWidth="1"/>
    <col min="1020" max="1020" width="11.21875" style="9" customWidth="1"/>
    <col min="1021" max="1021" width="18.33203125" style="9" customWidth="1"/>
    <col min="1022" max="1022" width="12.88671875" style="9" customWidth="1"/>
    <col min="1023" max="1024" width="13.21875" style="9" customWidth="1"/>
    <col min="1025" max="1025" width="10.88671875" style="9" customWidth="1"/>
    <col min="1026" max="1026" width="11.109375" style="9" customWidth="1"/>
    <col min="1027" max="1027" width="15.21875" style="9" customWidth="1"/>
    <col min="1028" max="1028" width="9.6640625" style="9"/>
    <col min="1029" max="1029" width="11" style="9" customWidth="1"/>
    <col min="1030" max="1030" width="10.77734375" style="9" customWidth="1"/>
    <col min="1031" max="1031" width="11.44140625" style="9" customWidth="1"/>
    <col min="1032" max="1032" width="4" style="9" customWidth="1"/>
    <col min="1033" max="1223" width="9.6640625" style="9"/>
    <col min="1224" max="1224" width="6.44140625" style="9" customWidth="1"/>
    <col min="1225" max="1225" width="13.88671875" style="9" customWidth="1"/>
    <col min="1226" max="1226" width="11.88671875" style="9" customWidth="1"/>
    <col min="1227" max="1229" width="9.6640625" style="9"/>
    <col min="1230" max="1230" width="15.44140625" style="9" customWidth="1"/>
    <col min="1231" max="1231" width="16.21875" style="9" customWidth="1"/>
    <col min="1232" max="1243" width="9.6640625" style="9"/>
    <col min="1244" max="1244" width="12" style="9" customWidth="1"/>
    <col min="1245" max="1245" width="12.77734375" style="9" customWidth="1"/>
    <col min="1246" max="1246" width="11.109375" style="9" customWidth="1"/>
    <col min="1247" max="1247" width="12" style="9" customWidth="1"/>
    <col min="1248" max="1248" width="9.6640625" style="9"/>
    <col min="1249" max="1249" width="15.33203125" style="9" customWidth="1"/>
    <col min="1250" max="1250" width="15.21875" style="9" customWidth="1"/>
    <col min="1251" max="1251" width="21.44140625" style="9" customWidth="1"/>
    <col min="1252" max="1267" width="9.6640625" style="9"/>
    <col min="1268" max="1269" width="13.44140625" style="9" customWidth="1"/>
    <col min="1270" max="1270" width="9.6640625" style="9"/>
    <col min="1271" max="1271" width="13.88671875" style="9" customWidth="1"/>
    <col min="1272" max="1272" width="10.6640625" style="9" customWidth="1"/>
    <col min="1273" max="1273" width="17.33203125" style="9" customWidth="1"/>
    <col min="1274" max="1275" width="12.6640625" style="9" customWidth="1"/>
    <col min="1276" max="1276" width="11.21875" style="9" customWidth="1"/>
    <col min="1277" max="1277" width="18.33203125" style="9" customWidth="1"/>
    <col min="1278" max="1278" width="12.88671875" style="9" customWidth="1"/>
    <col min="1279" max="1280" width="13.21875" style="9" customWidth="1"/>
    <col min="1281" max="1281" width="10.88671875" style="9" customWidth="1"/>
    <col min="1282" max="1282" width="11.109375" style="9" customWidth="1"/>
    <col min="1283" max="1283" width="15.21875" style="9" customWidth="1"/>
    <col min="1284" max="1284" width="9.6640625" style="9"/>
    <col min="1285" max="1285" width="11" style="9" customWidth="1"/>
    <col min="1286" max="1286" width="10.77734375" style="9" customWidth="1"/>
    <col min="1287" max="1287" width="11.44140625" style="9" customWidth="1"/>
    <col min="1288" max="1288" width="4" style="9" customWidth="1"/>
    <col min="1289" max="1479" width="9.6640625" style="9"/>
    <col min="1480" max="1480" width="6.44140625" style="9" customWidth="1"/>
    <col min="1481" max="1481" width="13.88671875" style="9" customWidth="1"/>
    <col min="1482" max="1482" width="11.88671875" style="9" customWidth="1"/>
    <col min="1483" max="1485" width="9.6640625" style="9"/>
    <col min="1486" max="1486" width="15.44140625" style="9" customWidth="1"/>
    <col min="1487" max="1487" width="16.21875" style="9" customWidth="1"/>
    <col min="1488" max="1499" width="9.6640625" style="9"/>
    <col min="1500" max="1500" width="12" style="9" customWidth="1"/>
    <col min="1501" max="1501" width="12.77734375" style="9" customWidth="1"/>
    <col min="1502" max="1502" width="11.109375" style="9" customWidth="1"/>
    <col min="1503" max="1503" width="12" style="9" customWidth="1"/>
    <col min="1504" max="1504" width="9.6640625" style="9"/>
    <col min="1505" max="1505" width="15.33203125" style="9" customWidth="1"/>
    <col min="1506" max="1506" width="15.21875" style="9" customWidth="1"/>
    <col min="1507" max="1507" width="21.44140625" style="9" customWidth="1"/>
    <col min="1508" max="1523" width="9.6640625" style="9"/>
    <col min="1524" max="1525" width="13.44140625" style="9" customWidth="1"/>
    <col min="1526" max="1526" width="9.6640625" style="9"/>
    <col min="1527" max="1527" width="13.88671875" style="9" customWidth="1"/>
    <col min="1528" max="1528" width="10.6640625" style="9" customWidth="1"/>
    <col min="1529" max="1529" width="17.33203125" style="9" customWidth="1"/>
    <col min="1530" max="1531" width="12.6640625" style="9" customWidth="1"/>
    <col min="1532" max="1532" width="11.21875" style="9" customWidth="1"/>
    <col min="1533" max="1533" width="18.33203125" style="9" customWidth="1"/>
    <col min="1534" max="1534" width="12.88671875" style="9" customWidth="1"/>
    <col min="1535" max="1536" width="13.21875" style="9" customWidth="1"/>
    <col min="1537" max="1537" width="10.88671875" style="9" customWidth="1"/>
    <col min="1538" max="1538" width="11.109375" style="9" customWidth="1"/>
    <col min="1539" max="1539" width="15.21875" style="9" customWidth="1"/>
    <col min="1540" max="1540" width="9.6640625" style="9"/>
    <col min="1541" max="1541" width="11" style="9" customWidth="1"/>
    <col min="1542" max="1542" width="10.77734375" style="9" customWidth="1"/>
    <col min="1543" max="1543" width="11.44140625" style="9" customWidth="1"/>
    <col min="1544" max="1544" width="4" style="9" customWidth="1"/>
    <col min="1545" max="1735" width="9.6640625" style="9"/>
    <col min="1736" max="1736" width="6.44140625" style="9" customWidth="1"/>
    <col min="1737" max="1737" width="13.88671875" style="9" customWidth="1"/>
    <col min="1738" max="1738" width="11.88671875" style="9" customWidth="1"/>
    <col min="1739" max="1741" width="9.6640625" style="9"/>
    <col min="1742" max="1742" width="15.44140625" style="9" customWidth="1"/>
    <col min="1743" max="1743" width="16.21875" style="9" customWidth="1"/>
    <col min="1744" max="1755" width="9.6640625" style="9"/>
    <col min="1756" max="1756" width="12" style="9" customWidth="1"/>
    <col min="1757" max="1757" width="12.77734375" style="9" customWidth="1"/>
    <col min="1758" max="1758" width="11.109375" style="9" customWidth="1"/>
    <col min="1759" max="1759" width="12" style="9" customWidth="1"/>
    <col min="1760" max="1760" width="9.6640625" style="9"/>
    <col min="1761" max="1761" width="15.33203125" style="9" customWidth="1"/>
    <col min="1762" max="1762" width="15.21875" style="9" customWidth="1"/>
    <col min="1763" max="1763" width="21.44140625" style="9" customWidth="1"/>
    <col min="1764" max="1779" width="9.6640625" style="9"/>
    <col min="1780" max="1781" width="13.44140625" style="9" customWidth="1"/>
    <col min="1782" max="1782" width="9.6640625" style="9"/>
    <col min="1783" max="1783" width="13.88671875" style="9" customWidth="1"/>
    <col min="1784" max="1784" width="10.6640625" style="9" customWidth="1"/>
    <col min="1785" max="1785" width="17.33203125" style="9" customWidth="1"/>
    <col min="1786" max="1787" width="12.6640625" style="9" customWidth="1"/>
    <col min="1788" max="1788" width="11.21875" style="9" customWidth="1"/>
    <col min="1789" max="1789" width="18.33203125" style="9" customWidth="1"/>
    <col min="1790" max="1790" width="12.88671875" style="9" customWidth="1"/>
    <col min="1791" max="1792" width="13.21875" style="9" customWidth="1"/>
    <col min="1793" max="1793" width="10.88671875" style="9" customWidth="1"/>
    <col min="1794" max="1794" width="11.109375" style="9" customWidth="1"/>
    <col min="1795" max="1795" width="15.21875" style="9" customWidth="1"/>
    <col min="1796" max="1796" width="9.6640625" style="9"/>
    <col min="1797" max="1797" width="11" style="9" customWidth="1"/>
    <col min="1798" max="1798" width="10.77734375" style="9" customWidth="1"/>
    <col min="1799" max="1799" width="11.44140625" style="9" customWidth="1"/>
    <col min="1800" max="1800" width="4" style="9" customWidth="1"/>
    <col min="1801" max="1991" width="9.6640625" style="9"/>
    <col min="1992" max="1992" width="6.44140625" style="9" customWidth="1"/>
    <col min="1993" max="1993" width="13.88671875" style="9" customWidth="1"/>
    <col min="1994" max="1994" width="11.88671875" style="9" customWidth="1"/>
    <col min="1995" max="1997" width="9.6640625" style="9"/>
    <col min="1998" max="1998" width="15.44140625" style="9" customWidth="1"/>
    <col min="1999" max="1999" width="16.21875" style="9" customWidth="1"/>
    <col min="2000" max="2011" width="9.6640625" style="9"/>
    <col min="2012" max="2012" width="12" style="9" customWidth="1"/>
    <col min="2013" max="2013" width="12.77734375" style="9" customWidth="1"/>
    <col min="2014" max="2014" width="11.109375" style="9" customWidth="1"/>
    <col min="2015" max="2015" width="12" style="9" customWidth="1"/>
    <col min="2016" max="2016" width="9.6640625" style="9"/>
    <col min="2017" max="2017" width="15.33203125" style="9" customWidth="1"/>
    <col min="2018" max="2018" width="15.21875" style="9" customWidth="1"/>
    <col min="2019" max="2019" width="21.44140625" style="9" customWidth="1"/>
    <col min="2020" max="2035" width="9.6640625" style="9"/>
    <col min="2036" max="2037" width="13.44140625" style="9" customWidth="1"/>
    <col min="2038" max="2038" width="9.6640625" style="9"/>
    <col min="2039" max="2039" width="13.88671875" style="9" customWidth="1"/>
    <col min="2040" max="2040" width="10.6640625" style="9" customWidth="1"/>
    <col min="2041" max="2041" width="17.33203125" style="9" customWidth="1"/>
    <col min="2042" max="2043" width="12.6640625" style="9" customWidth="1"/>
    <col min="2044" max="2044" width="11.21875" style="9" customWidth="1"/>
    <col min="2045" max="2045" width="18.33203125" style="9" customWidth="1"/>
    <col min="2046" max="2046" width="12.88671875" style="9" customWidth="1"/>
    <col min="2047" max="2048" width="13.21875" style="9" customWidth="1"/>
    <col min="2049" max="2049" width="10.88671875" style="9" customWidth="1"/>
    <col min="2050" max="2050" width="11.109375" style="9" customWidth="1"/>
    <col min="2051" max="2051" width="15.21875" style="9" customWidth="1"/>
    <col min="2052" max="2052" width="9.6640625" style="9"/>
    <col min="2053" max="2053" width="11" style="9" customWidth="1"/>
    <col min="2054" max="2054" width="10.77734375" style="9" customWidth="1"/>
    <col min="2055" max="2055" width="11.44140625" style="9" customWidth="1"/>
    <col min="2056" max="2056" width="4" style="9" customWidth="1"/>
    <col min="2057" max="2247" width="9.6640625" style="9"/>
    <col min="2248" max="2248" width="6.44140625" style="9" customWidth="1"/>
    <col min="2249" max="2249" width="13.88671875" style="9" customWidth="1"/>
    <col min="2250" max="2250" width="11.88671875" style="9" customWidth="1"/>
    <col min="2251" max="2253" width="9.6640625" style="9"/>
    <col min="2254" max="2254" width="15.44140625" style="9" customWidth="1"/>
    <col min="2255" max="2255" width="16.21875" style="9" customWidth="1"/>
    <col min="2256" max="2267" width="9.6640625" style="9"/>
    <col min="2268" max="2268" width="12" style="9" customWidth="1"/>
    <col min="2269" max="2269" width="12.77734375" style="9" customWidth="1"/>
    <col min="2270" max="2270" width="11.109375" style="9" customWidth="1"/>
    <col min="2271" max="2271" width="12" style="9" customWidth="1"/>
    <col min="2272" max="2272" width="9.6640625" style="9"/>
    <col min="2273" max="2273" width="15.33203125" style="9" customWidth="1"/>
    <col min="2274" max="2274" width="15.21875" style="9" customWidth="1"/>
    <col min="2275" max="2275" width="21.44140625" style="9" customWidth="1"/>
    <col min="2276" max="2291" width="9.6640625" style="9"/>
    <col min="2292" max="2293" width="13.44140625" style="9" customWidth="1"/>
    <col min="2294" max="2294" width="9.6640625" style="9"/>
    <col min="2295" max="2295" width="13.88671875" style="9" customWidth="1"/>
    <col min="2296" max="2296" width="10.6640625" style="9" customWidth="1"/>
    <col min="2297" max="2297" width="17.33203125" style="9" customWidth="1"/>
    <col min="2298" max="2299" width="12.6640625" style="9" customWidth="1"/>
    <col min="2300" max="2300" width="11.21875" style="9" customWidth="1"/>
    <col min="2301" max="2301" width="18.33203125" style="9" customWidth="1"/>
    <col min="2302" max="2302" width="12.88671875" style="9" customWidth="1"/>
    <col min="2303" max="2304" width="13.21875" style="9" customWidth="1"/>
    <col min="2305" max="2305" width="10.88671875" style="9" customWidth="1"/>
    <col min="2306" max="2306" width="11.109375" style="9" customWidth="1"/>
    <col min="2307" max="2307" width="15.21875" style="9" customWidth="1"/>
    <col min="2308" max="2308" width="9.6640625" style="9"/>
    <col min="2309" max="2309" width="11" style="9" customWidth="1"/>
    <col min="2310" max="2310" width="10.77734375" style="9" customWidth="1"/>
    <col min="2311" max="2311" width="11.44140625" style="9" customWidth="1"/>
    <col min="2312" max="2312" width="4" style="9" customWidth="1"/>
    <col min="2313" max="2503" width="9.6640625" style="9"/>
    <col min="2504" max="2504" width="6.44140625" style="9" customWidth="1"/>
    <col min="2505" max="2505" width="13.88671875" style="9" customWidth="1"/>
    <col min="2506" max="2506" width="11.88671875" style="9" customWidth="1"/>
    <col min="2507" max="2509" width="9.6640625" style="9"/>
    <col min="2510" max="2510" width="15.44140625" style="9" customWidth="1"/>
    <col min="2511" max="2511" width="16.21875" style="9" customWidth="1"/>
    <col min="2512" max="2523" width="9.6640625" style="9"/>
    <col min="2524" max="2524" width="12" style="9" customWidth="1"/>
    <col min="2525" max="2525" width="12.77734375" style="9" customWidth="1"/>
    <col min="2526" max="2526" width="11.109375" style="9" customWidth="1"/>
    <col min="2527" max="2527" width="12" style="9" customWidth="1"/>
    <col min="2528" max="2528" width="9.6640625" style="9"/>
    <col min="2529" max="2529" width="15.33203125" style="9" customWidth="1"/>
    <col min="2530" max="2530" width="15.21875" style="9" customWidth="1"/>
    <col min="2531" max="2531" width="21.44140625" style="9" customWidth="1"/>
    <col min="2532" max="2547" width="9.6640625" style="9"/>
    <col min="2548" max="2549" width="13.44140625" style="9" customWidth="1"/>
    <col min="2550" max="2550" width="9.6640625" style="9"/>
    <col min="2551" max="2551" width="13.88671875" style="9" customWidth="1"/>
    <col min="2552" max="2552" width="10.6640625" style="9" customWidth="1"/>
    <col min="2553" max="2553" width="17.33203125" style="9" customWidth="1"/>
    <col min="2554" max="2555" width="12.6640625" style="9" customWidth="1"/>
    <col min="2556" max="2556" width="11.21875" style="9" customWidth="1"/>
    <col min="2557" max="2557" width="18.33203125" style="9" customWidth="1"/>
    <col min="2558" max="2558" width="12.88671875" style="9" customWidth="1"/>
    <col min="2559" max="2560" width="13.21875" style="9" customWidth="1"/>
    <col min="2561" max="2561" width="10.88671875" style="9" customWidth="1"/>
    <col min="2562" max="2562" width="11.109375" style="9" customWidth="1"/>
    <col min="2563" max="2563" width="15.21875" style="9" customWidth="1"/>
    <col min="2564" max="2564" width="9.6640625" style="9"/>
    <col min="2565" max="2565" width="11" style="9" customWidth="1"/>
    <col min="2566" max="2566" width="10.77734375" style="9" customWidth="1"/>
    <col min="2567" max="2567" width="11.44140625" style="9" customWidth="1"/>
    <col min="2568" max="2568" width="4" style="9" customWidth="1"/>
    <col min="2569" max="2759" width="9.6640625" style="9"/>
    <col min="2760" max="2760" width="6.44140625" style="9" customWidth="1"/>
    <col min="2761" max="2761" width="13.88671875" style="9" customWidth="1"/>
    <col min="2762" max="2762" width="11.88671875" style="9" customWidth="1"/>
    <col min="2763" max="2765" width="9.6640625" style="9"/>
    <col min="2766" max="2766" width="15.44140625" style="9" customWidth="1"/>
    <col min="2767" max="2767" width="16.21875" style="9" customWidth="1"/>
    <col min="2768" max="2779" width="9.6640625" style="9"/>
    <col min="2780" max="2780" width="12" style="9" customWidth="1"/>
    <col min="2781" max="2781" width="12.77734375" style="9" customWidth="1"/>
    <col min="2782" max="2782" width="11.109375" style="9" customWidth="1"/>
    <col min="2783" max="2783" width="12" style="9" customWidth="1"/>
    <col min="2784" max="2784" width="9.6640625" style="9"/>
    <col min="2785" max="2785" width="15.33203125" style="9" customWidth="1"/>
    <col min="2786" max="2786" width="15.21875" style="9" customWidth="1"/>
    <col min="2787" max="2787" width="21.44140625" style="9" customWidth="1"/>
    <col min="2788" max="2803" width="9.6640625" style="9"/>
    <col min="2804" max="2805" width="13.44140625" style="9" customWidth="1"/>
    <col min="2806" max="2806" width="9.6640625" style="9"/>
    <col min="2807" max="2807" width="13.88671875" style="9" customWidth="1"/>
    <col min="2808" max="2808" width="10.6640625" style="9" customWidth="1"/>
    <col min="2809" max="2809" width="17.33203125" style="9" customWidth="1"/>
    <col min="2810" max="2811" width="12.6640625" style="9" customWidth="1"/>
    <col min="2812" max="2812" width="11.21875" style="9" customWidth="1"/>
    <col min="2813" max="2813" width="18.33203125" style="9" customWidth="1"/>
    <col min="2814" max="2814" width="12.88671875" style="9" customWidth="1"/>
    <col min="2815" max="2816" width="13.21875" style="9" customWidth="1"/>
    <col min="2817" max="2817" width="10.88671875" style="9" customWidth="1"/>
    <col min="2818" max="2818" width="11.109375" style="9" customWidth="1"/>
    <col min="2819" max="2819" width="15.21875" style="9" customWidth="1"/>
    <col min="2820" max="2820" width="9.6640625" style="9"/>
    <col min="2821" max="2821" width="11" style="9" customWidth="1"/>
    <col min="2822" max="2822" width="10.77734375" style="9" customWidth="1"/>
    <col min="2823" max="2823" width="11.44140625" style="9" customWidth="1"/>
    <col min="2824" max="2824" width="4" style="9" customWidth="1"/>
    <col min="2825" max="3015" width="9.6640625" style="9"/>
    <col min="3016" max="3016" width="6.44140625" style="9" customWidth="1"/>
    <col min="3017" max="3017" width="13.88671875" style="9" customWidth="1"/>
    <col min="3018" max="3018" width="11.88671875" style="9" customWidth="1"/>
    <col min="3019" max="3021" width="9.6640625" style="9"/>
    <col min="3022" max="3022" width="15.44140625" style="9" customWidth="1"/>
    <col min="3023" max="3023" width="16.21875" style="9" customWidth="1"/>
    <col min="3024" max="3035" width="9.6640625" style="9"/>
    <col min="3036" max="3036" width="12" style="9" customWidth="1"/>
    <col min="3037" max="3037" width="12.77734375" style="9" customWidth="1"/>
    <col min="3038" max="3038" width="11.109375" style="9" customWidth="1"/>
    <col min="3039" max="3039" width="12" style="9" customWidth="1"/>
    <col min="3040" max="3040" width="9.6640625" style="9"/>
    <col min="3041" max="3041" width="15.33203125" style="9" customWidth="1"/>
    <col min="3042" max="3042" width="15.21875" style="9" customWidth="1"/>
    <col min="3043" max="3043" width="21.44140625" style="9" customWidth="1"/>
    <col min="3044" max="3059" width="9.6640625" style="9"/>
    <col min="3060" max="3061" width="13.44140625" style="9" customWidth="1"/>
    <col min="3062" max="3062" width="9.6640625" style="9"/>
    <col min="3063" max="3063" width="13.88671875" style="9" customWidth="1"/>
    <col min="3064" max="3064" width="10.6640625" style="9" customWidth="1"/>
    <col min="3065" max="3065" width="17.33203125" style="9" customWidth="1"/>
    <col min="3066" max="3067" width="12.6640625" style="9" customWidth="1"/>
    <col min="3068" max="3068" width="11.21875" style="9" customWidth="1"/>
    <col min="3069" max="3069" width="18.33203125" style="9" customWidth="1"/>
    <col min="3070" max="3070" width="12.88671875" style="9" customWidth="1"/>
    <col min="3071" max="3072" width="13.21875" style="9" customWidth="1"/>
    <col min="3073" max="3073" width="10.88671875" style="9" customWidth="1"/>
    <col min="3074" max="3074" width="11.109375" style="9" customWidth="1"/>
    <col min="3075" max="3075" width="15.21875" style="9" customWidth="1"/>
    <col min="3076" max="3076" width="9.6640625" style="9"/>
    <col min="3077" max="3077" width="11" style="9" customWidth="1"/>
    <col min="3078" max="3078" width="10.77734375" style="9" customWidth="1"/>
    <col min="3079" max="3079" width="11.44140625" style="9" customWidth="1"/>
    <col min="3080" max="3080" width="4" style="9" customWidth="1"/>
    <col min="3081" max="3271" width="9.6640625" style="9"/>
    <col min="3272" max="3272" width="6.44140625" style="9" customWidth="1"/>
    <col min="3273" max="3273" width="13.88671875" style="9" customWidth="1"/>
    <col min="3274" max="3274" width="11.88671875" style="9" customWidth="1"/>
    <col min="3275" max="3277" width="9.6640625" style="9"/>
    <col min="3278" max="3278" width="15.44140625" style="9" customWidth="1"/>
    <col min="3279" max="3279" width="16.21875" style="9" customWidth="1"/>
    <col min="3280" max="3291" width="9.6640625" style="9"/>
    <col min="3292" max="3292" width="12" style="9" customWidth="1"/>
    <col min="3293" max="3293" width="12.77734375" style="9" customWidth="1"/>
    <col min="3294" max="3294" width="11.109375" style="9" customWidth="1"/>
    <col min="3295" max="3295" width="12" style="9" customWidth="1"/>
    <col min="3296" max="3296" width="9.6640625" style="9"/>
    <col min="3297" max="3297" width="15.33203125" style="9" customWidth="1"/>
    <col min="3298" max="3298" width="15.21875" style="9" customWidth="1"/>
    <col min="3299" max="3299" width="21.44140625" style="9" customWidth="1"/>
    <col min="3300" max="3315" width="9.6640625" style="9"/>
    <col min="3316" max="3317" width="13.44140625" style="9" customWidth="1"/>
    <col min="3318" max="3318" width="9.6640625" style="9"/>
    <col min="3319" max="3319" width="13.88671875" style="9" customWidth="1"/>
    <col min="3320" max="3320" width="10.6640625" style="9" customWidth="1"/>
    <col min="3321" max="3321" width="17.33203125" style="9" customWidth="1"/>
    <col min="3322" max="3323" width="12.6640625" style="9" customWidth="1"/>
    <col min="3324" max="3324" width="11.21875" style="9" customWidth="1"/>
    <col min="3325" max="3325" width="18.33203125" style="9" customWidth="1"/>
    <col min="3326" max="3326" width="12.88671875" style="9" customWidth="1"/>
    <col min="3327" max="3328" width="13.21875" style="9" customWidth="1"/>
    <col min="3329" max="3329" width="10.88671875" style="9" customWidth="1"/>
    <col min="3330" max="3330" width="11.109375" style="9" customWidth="1"/>
    <col min="3331" max="3331" width="15.21875" style="9" customWidth="1"/>
    <col min="3332" max="3332" width="9.6640625" style="9"/>
    <col min="3333" max="3333" width="11" style="9" customWidth="1"/>
    <col min="3334" max="3334" width="10.77734375" style="9" customWidth="1"/>
    <col min="3335" max="3335" width="11.44140625" style="9" customWidth="1"/>
    <col min="3336" max="3336" width="4" style="9" customWidth="1"/>
    <col min="3337" max="3527" width="9.6640625" style="9"/>
    <col min="3528" max="3528" width="6.44140625" style="9" customWidth="1"/>
    <col min="3529" max="3529" width="13.88671875" style="9" customWidth="1"/>
    <col min="3530" max="3530" width="11.88671875" style="9" customWidth="1"/>
    <col min="3531" max="3533" width="9.6640625" style="9"/>
    <col min="3534" max="3534" width="15.44140625" style="9" customWidth="1"/>
    <col min="3535" max="3535" width="16.21875" style="9" customWidth="1"/>
    <col min="3536" max="3547" width="9.6640625" style="9"/>
    <col min="3548" max="3548" width="12" style="9" customWidth="1"/>
    <col min="3549" max="3549" width="12.77734375" style="9" customWidth="1"/>
    <col min="3550" max="3550" width="11.109375" style="9" customWidth="1"/>
    <col min="3551" max="3551" width="12" style="9" customWidth="1"/>
    <col min="3552" max="3552" width="9.6640625" style="9"/>
    <col min="3553" max="3553" width="15.33203125" style="9" customWidth="1"/>
    <col min="3554" max="3554" width="15.21875" style="9" customWidth="1"/>
    <col min="3555" max="3555" width="21.44140625" style="9" customWidth="1"/>
    <col min="3556" max="3571" width="9.6640625" style="9"/>
    <col min="3572" max="3573" width="13.44140625" style="9" customWidth="1"/>
    <col min="3574" max="3574" width="9.6640625" style="9"/>
    <col min="3575" max="3575" width="13.88671875" style="9" customWidth="1"/>
    <col min="3576" max="3576" width="10.6640625" style="9" customWidth="1"/>
    <col min="3577" max="3577" width="17.33203125" style="9" customWidth="1"/>
    <col min="3578" max="3579" width="12.6640625" style="9" customWidth="1"/>
    <col min="3580" max="3580" width="11.21875" style="9" customWidth="1"/>
    <col min="3581" max="3581" width="18.33203125" style="9" customWidth="1"/>
    <col min="3582" max="3582" width="12.88671875" style="9" customWidth="1"/>
    <col min="3583" max="3584" width="13.21875" style="9" customWidth="1"/>
    <col min="3585" max="3585" width="10.88671875" style="9" customWidth="1"/>
    <col min="3586" max="3586" width="11.109375" style="9" customWidth="1"/>
    <col min="3587" max="3587" width="15.21875" style="9" customWidth="1"/>
    <col min="3588" max="3588" width="9.6640625" style="9"/>
    <col min="3589" max="3589" width="11" style="9" customWidth="1"/>
    <col min="3590" max="3590" width="10.77734375" style="9" customWidth="1"/>
    <col min="3591" max="3591" width="11.44140625" style="9" customWidth="1"/>
    <col min="3592" max="3592" width="4" style="9" customWidth="1"/>
    <col min="3593" max="3783" width="9.6640625" style="9"/>
    <col min="3784" max="3784" width="6.44140625" style="9" customWidth="1"/>
    <col min="3785" max="3785" width="13.88671875" style="9" customWidth="1"/>
    <col min="3786" max="3786" width="11.88671875" style="9" customWidth="1"/>
    <col min="3787" max="3789" width="9.6640625" style="9"/>
    <col min="3790" max="3790" width="15.44140625" style="9" customWidth="1"/>
    <col min="3791" max="3791" width="16.21875" style="9" customWidth="1"/>
    <col min="3792" max="3803" width="9.6640625" style="9"/>
    <col min="3804" max="3804" width="12" style="9" customWidth="1"/>
    <col min="3805" max="3805" width="12.77734375" style="9" customWidth="1"/>
    <col min="3806" max="3806" width="11.109375" style="9" customWidth="1"/>
    <col min="3807" max="3807" width="12" style="9" customWidth="1"/>
    <col min="3808" max="3808" width="9.6640625" style="9"/>
    <col min="3809" max="3809" width="15.33203125" style="9" customWidth="1"/>
    <col min="3810" max="3810" width="15.21875" style="9" customWidth="1"/>
    <col min="3811" max="3811" width="21.44140625" style="9" customWidth="1"/>
    <col min="3812" max="3827" width="9.6640625" style="9"/>
    <col min="3828" max="3829" width="13.44140625" style="9" customWidth="1"/>
    <col min="3830" max="3830" width="9.6640625" style="9"/>
    <col min="3831" max="3831" width="13.88671875" style="9" customWidth="1"/>
    <col min="3832" max="3832" width="10.6640625" style="9" customWidth="1"/>
    <col min="3833" max="3833" width="17.33203125" style="9" customWidth="1"/>
    <col min="3834" max="3835" width="12.6640625" style="9" customWidth="1"/>
    <col min="3836" max="3836" width="11.21875" style="9" customWidth="1"/>
    <col min="3837" max="3837" width="18.33203125" style="9" customWidth="1"/>
    <col min="3838" max="3838" width="12.88671875" style="9" customWidth="1"/>
    <col min="3839" max="3840" width="13.21875" style="9" customWidth="1"/>
    <col min="3841" max="3841" width="10.88671875" style="9" customWidth="1"/>
    <col min="3842" max="3842" width="11.109375" style="9" customWidth="1"/>
    <col min="3843" max="3843" width="15.21875" style="9" customWidth="1"/>
    <col min="3844" max="3844" width="9.6640625" style="9"/>
    <col min="3845" max="3845" width="11" style="9" customWidth="1"/>
    <col min="3846" max="3846" width="10.77734375" style="9" customWidth="1"/>
    <col min="3847" max="3847" width="11.44140625" style="9" customWidth="1"/>
    <col min="3848" max="3848" width="4" style="9" customWidth="1"/>
    <col min="3849" max="4039" width="9.6640625" style="9"/>
    <col min="4040" max="4040" width="6.44140625" style="9" customWidth="1"/>
    <col min="4041" max="4041" width="13.88671875" style="9" customWidth="1"/>
    <col min="4042" max="4042" width="11.88671875" style="9" customWidth="1"/>
    <col min="4043" max="4045" width="9.6640625" style="9"/>
    <col min="4046" max="4046" width="15.44140625" style="9" customWidth="1"/>
    <col min="4047" max="4047" width="16.21875" style="9" customWidth="1"/>
    <col min="4048" max="4059" width="9.6640625" style="9"/>
    <col min="4060" max="4060" width="12" style="9" customWidth="1"/>
    <col min="4061" max="4061" width="12.77734375" style="9" customWidth="1"/>
    <col min="4062" max="4062" width="11.109375" style="9" customWidth="1"/>
    <col min="4063" max="4063" width="12" style="9" customWidth="1"/>
    <col min="4064" max="4064" width="9.6640625" style="9"/>
    <col min="4065" max="4065" width="15.33203125" style="9" customWidth="1"/>
    <col min="4066" max="4066" width="15.21875" style="9" customWidth="1"/>
    <col min="4067" max="4067" width="21.44140625" style="9" customWidth="1"/>
    <col min="4068" max="4083" width="9.6640625" style="9"/>
    <col min="4084" max="4085" width="13.44140625" style="9" customWidth="1"/>
    <col min="4086" max="4086" width="9.6640625" style="9"/>
    <col min="4087" max="4087" width="13.88671875" style="9" customWidth="1"/>
    <col min="4088" max="4088" width="10.6640625" style="9" customWidth="1"/>
    <col min="4089" max="4089" width="17.33203125" style="9" customWidth="1"/>
    <col min="4090" max="4091" width="12.6640625" style="9" customWidth="1"/>
    <col min="4092" max="4092" width="11.21875" style="9" customWidth="1"/>
    <col min="4093" max="4093" width="18.33203125" style="9" customWidth="1"/>
    <col min="4094" max="4094" width="12.88671875" style="9" customWidth="1"/>
    <col min="4095" max="4096" width="13.21875" style="9" customWidth="1"/>
    <col min="4097" max="4097" width="10.88671875" style="9" customWidth="1"/>
    <col min="4098" max="4098" width="11.109375" style="9" customWidth="1"/>
    <col min="4099" max="4099" width="15.21875" style="9" customWidth="1"/>
    <col min="4100" max="4100" width="9.6640625" style="9"/>
    <col min="4101" max="4101" width="11" style="9" customWidth="1"/>
    <col min="4102" max="4102" width="10.77734375" style="9" customWidth="1"/>
    <col min="4103" max="4103" width="11.44140625" style="9" customWidth="1"/>
    <col min="4104" max="4104" width="4" style="9" customWidth="1"/>
    <col min="4105" max="4295" width="9.6640625" style="9"/>
    <col min="4296" max="4296" width="6.44140625" style="9" customWidth="1"/>
    <col min="4297" max="4297" width="13.88671875" style="9" customWidth="1"/>
    <col min="4298" max="4298" width="11.88671875" style="9" customWidth="1"/>
    <col min="4299" max="4301" width="9.6640625" style="9"/>
    <col min="4302" max="4302" width="15.44140625" style="9" customWidth="1"/>
    <col min="4303" max="4303" width="16.21875" style="9" customWidth="1"/>
    <col min="4304" max="4315" width="9.6640625" style="9"/>
    <col min="4316" max="4316" width="12" style="9" customWidth="1"/>
    <col min="4317" max="4317" width="12.77734375" style="9" customWidth="1"/>
    <col min="4318" max="4318" width="11.109375" style="9" customWidth="1"/>
    <col min="4319" max="4319" width="12" style="9" customWidth="1"/>
    <col min="4320" max="4320" width="9.6640625" style="9"/>
    <col min="4321" max="4321" width="15.33203125" style="9" customWidth="1"/>
    <col min="4322" max="4322" width="15.21875" style="9" customWidth="1"/>
    <col min="4323" max="4323" width="21.44140625" style="9" customWidth="1"/>
    <col min="4324" max="4339" width="9.6640625" style="9"/>
    <col min="4340" max="4341" width="13.44140625" style="9" customWidth="1"/>
    <col min="4342" max="4342" width="9.6640625" style="9"/>
    <col min="4343" max="4343" width="13.88671875" style="9" customWidth="1"/>
    <col min="4344" max="4344" width="10.6640625" style="9" customWidth="1"/>
    <col min="4345" max="4345" width="17.33203125" style="9" customWidth="1"/>
    <col min="4346" max="4347" width="12.6640625" style="9" customWidth="1"/>
    <col min="4348" max="4348" width="11.21875" style="9" customWidth="1"/>
    <col min="4349" max="4349" width="18.33203125" style="9" customWidth="1"/>
    <col min="4350" max="4350" width="12.88671875" style="9" customWidth="1"/>
    <col min="4351" max="4352" width="13.21875" style="9" customWidth="1"/>
    <col min="4353" max="4353" width="10.88671875" style="9" customWidth="1"/>
    <col min="4354" max="4354" width="11.109375" style="9" customWidth="1"/>
    <col min="4355" max="4355" width="15.21875" style="9" customWidth="1"/>
    <col min="4356" max="4356" width="9.6640625" style="9"/>
    <col min="4357" max="4357" width="11" style="9" customWidth="1"/>
    <col min="4358" max="4358" width="10.77734375" style="9" customWidth="1"/>
    <col min="4359" max="4359" width="11.44140625" style="9" customWidth="1"/>
    <col min="4360" max="4360" width="4" style="9" customWidth="1"/>
    <col min="4361" max="4551" width="9.6640625" style="9"/>
    <col min="4552" max="4552" width="6.44140625" style="9" customWidth="1"/>
    <col min="4553" max="4553" width="13.88671875" style="9" customWidth="1"/>
    <col min="4554" max="4554" width="11.88671875" style="9" customWidth="1"/>
    <col min="4555" max="4557" width="9.6640625" style="9"/>
    <col min="4558" max="4558" width="15.44140625" style="9" customWidth="1"/>
    <col min="4559" max="4559" width="16.21875" style="9" customWidth="1"/>
    <col min="4560" max="4571" width="9.6640625" style="9"/>
    <col min="4572" max="4572" width="12" style="9" customWidth="1"/>
    <col min="4573" max="4573" width="12.77734375" style="9" customWidth="1"/>
    <col min="4574" max="4574" width="11.109375" style="9" customWidth="1"/>
    <col min="4575" max="4575" width="12" style="9" customWidth="1"/>
    <col min="4576" max="4576" width="9.6640625" style="9"/>
    <col min="4577" max="4577" width="15.33203125" style="9" customWidth="1"/>
    <col min="4578" max="4578" width="15.21875" style="9" customWidth="1"/>
    <col min="4579" max="4579" width="21.44140625" style="9" customWidth="1"/>
    <col min="4580" max="4595" width="9.6640625" style="9"/>
    <col min="4596" max="4597" width="13.44140625" style="9" customWidth="1"/>
    <col min="4598" max="4598" width="9.6640625" style="9"/>
    <col min="4599" max="4599" width="13.88671875" style="9" customWidth="1"/>
    <col min="4600" max="4600" width="10.6640625" style="9" customWidth="1"/>
    <col min="4601" max="4601" width="17.33203125" style="9" customWidth="1"/>
    <col min="4602" max="4603" width="12.6640625" style="9" customWidth="1"/>
    <col min="4604" max="4604" width="11.21875" style="9" customWidth="1"/>
    <col min="4605" max="4605" width="18.33203125" style="9" customWidth="1"/>
    <col min="4606" max="4606" width="12.88671875" style="9" customWidth="1"/>
    <col min="4607" max="4608" width="13.21875" style="9" customWidth="1"/>
    <col min="4609" max="4609" width="10.88671875" style="9" customWidth="1"/>
    <col min="4610" max="4610" width="11.109375" style="9" customWidth="1"/>
    <col min="4611" max="4611" width="15.21875" style="9" customWidth="1"/>
    <col min="4612" max="4612" width="9.6640625" style="9"/>
    <col min="4613" max="4613" width="11" style="9" customWidth="1"/>
    <col min="4614" max="4614" width="10.77734375" style="9" customWidth="1"/>
    <col min="4615" max="4615" width="11.44140625" style="9" customWidth="1"/>
    <col min="4616" max="4616" width="4" style="9" customWidth="1"/>
    <col min="4617" max="4807" width="9.6640625" style="9"/>
    <col min="4808" max="4808" width="6.44140625" style="9" customWidth="1"/>
    <col min="4809" max="4809" width="13.88671875" style="9" customWidth="1"/>
    <col min="4810" max="4810" width="11.88671875" style="9" customWidth="1"/>
    <col min="4811" max="4813" width="9.6640625" style="9"/>
    <col min="4814" max="4814" width="15.44140625" style="9" customWidth="1"/>
    <col min="4815" max="4815" width="16.21875" style="9" customWidth="1"/>
    <col min="4816" max="4827" width="9.6640625" style="9"/>
    <col min="4828" max="4828" width="12" style="9" customWidth="1"/>
    <col min="4829" max="4829" width="12.77734375" style="9" customWidth="1"/>
    <col min="4830" max="4830" width="11.109375" style="9" customWidth="1"/>
    <col min="4831" max="4831" width="12" style="9" customWidth="1"/>
    <col min="4832" max="4832" width="9.6640625" style="9"/>
    <col min="4833" max="4833" width="15.33203125" style="9" customWidth="1"/>
    <col min="4834" max="4834" width="15.21875" style="9" customWidth="1"/>
    <col min="4835" max="4835" width="21.44140625" style="9" customWidth="1"/>
    <col min="4836" max="4851" width="9.6640625" style="9"/>
    <col min="4852" max="4853" width="13.44140625" style="9" customWidth="1"/>
    <col min="4854" max="4854" width="9.6640625" style="9"/>
    <col min="4855" max="4855" width="13.88671875" style="9" customWidth="1"/>
    <col min="4856" max="4856" width="10.6640625" style="9" customWidth="1"/>
    <col min="4857" max="4857" width="17.33203125" style="9" customWidth="1"/>
    <col min="4858" max="4859" width="12.6640625" style="9" customWidth="1"/>
    <col min="4860" max="4860" width="11.21875" style="9" customWidth="1"/>
    <col min="4861" max="4861" width="18.33203125" style="9" customWidth="1"/>
    <col min="4862" max="4862" width="12.88671875" style="9" customWidth="1"/>
    <col min="4863" max="4864" width="13.21875" style="9" customWidth="1"/>
    <col min="4865" max="4865" width="10.88671875" style="9" customWidth="1"/>
    <col min="4866" max="4866" width="11.109375" style="9" customWidth="1"/>
    <col min="4867" max="4867" width="15.21875" style="9" customWidth="1"/>
    <col min="4868" max="4868" width="9.6640625" style="9"/>
    <col min="4869" max="4869" width="11" style="9" customWidth="1"/>
    <col min="4870" max="4870" width="10.77734375" style="9" customWidth="1"/>
    <col min="4871" max="4871" width="11.44140625" style="9" customWidth="1"/>
    <col min="4872" max="4872" width="4" style="9" customWidth="1"/>
    <col min="4873" max="5063" width="9.6640625" style="9"/>
    <col min="5064" max="5064" width="6.44140625" style="9" customWidth="1"/>
    <col min="5065" max="5065" width="13.88671875" style="9" customWidth="1"/>
    <col min="5066" max="5066" width="11.88671875" style="9" customWidth="1"/>
    <col min="5067" max="5069" width="9.6640625" style="9"/>
    <col min="5070" max="5070" width="15.44140625" style="9" customWidth="1"/>
    <col min="5071" max="5071" width="16.21875" style="9" customWidth="1"/>
    <col min="5072" max="5083" width="9.6640625" style="9"/>
    <col min="5084" max="5084" width="12" style="9" customWidth="1"/>
    <col min="5085" max="5085" width="12.77734375" style="9" customWidth="1"/>
    <col min="5086" max="5086" width="11.109375" style="9" customWidth="1"/>
    <col min="5087" max="5087" width="12" style="9" customWidth="1"/>
    <col min="5088" max="5088" width="9.6640625" style="9"/>
    <col min="5089" max="5089" width="15.33203125" style="9" customWidth="1"/>
    <col min="5090" max="5090" width="15.21875" style="9" customWidth="1"/>
    <col min="5091" max="5091" width="21.44140625" style="9" customWidth="1"/>
    <col min="5092" max="5107" width="9.6640625" style="9"/>
    <col min="5108" max="5109" width="13.44140625" style="9" customWidth="1"/>
    <col min="5110" max="5110" width="9.6640625" style="9"/>
    <col min="5111" max="5111" width="13.88671875" style="9" customWidth="1"/>
    <col min="5112" max="5112" width="10.6640625" style="9" customWidth="1"/>
    <col min="5113" max="5113" width="17.33203125" style="9" customWidth="1"/>
    <col min="5114" max="5115" width="12.6640625" style="9" customWidth="1"/>
    <col min="5116" max="5116" width="11.21875" style="9" customWidth="1"/>
    <col min="5117" max="5117" width="18.33203125" style="9" customWidth="1"/>
    <col min="5118" max="5118" width="12.88671875" style="9" customWidth="1"/>
    <col min="5119" max="5120" width="13.21875" style="9" customWidth="1"/>
    <col min="5121" max="5121" width="10.88671875" style="9" customWidth="1"/>
    <col min="5122" max="5122" width="11.109375" style="9" customWidth="1"/>
    <col min="5123" max="5123" width="15.21875" style="9" customWidth="1"/>
    <col min="5124" max="5124" width="9.6640625" style="9"/>
    <col min="5125" max="5125" width="11" style="9" customWidth="1"/>
    <col min="5126" max="5126" width="10.77734375" style="9" customWidth="1"/>
    <col min="5127" max="5127" width="11.44140625" style="9" customWidth="1"/>
    <col min="5128" max="5128" width="4" style="9" customWidth="1"/>
    <col min="5129" max="5319" width="9.6640625" style="9"/>
    <col min="5320" max="5320" width="6.44140625" style="9" customWidth="1"/>
    <col min="5321" max="5321" width="13.88671875" style="9" customWidth="1"/>
    <col min="5322" max="5322" width="11.88671875" style="9" customWidth="1"/>
    <col min="5323" max="5325" width="9.6640625" style="9"/>
    <col min="5326" max="5326" width="15.44140625" style="9" customWidth="1"/>
    <col min="5327" max="5327" width="16.21875" style="9" customWidth="1"/>
    <col min="5328" max="5339" width="9.6640625" style="9"/>
    <col min="5340" max="5340" width="12" style="9" customWidth="1"/>
    <col min="5341" max="5341" width="12.77734375" style="9" customWidth="1"/>
    <col min="5342" max="5342" width="11.109375" style="9" customWidth="1"/>
    <col min="5343" max="5343" width="12" style="9" customWidth="1"/>
    <col min="5344" max="5344" width="9.6640625" style="9"/>
    <col min="5345" max="5345" width="15.33203125" style="9" customWidth="1"/>
    <col min="5346" max="5346" width="15.21875" style="9" customWidth="1"/>
    <col min="5347" max="5347" width="21.44140625" style="9" customWidth="1"/>
    <col min="5348" max="5363" width="9.6640625" style="9"/>
    <col min="5364" max="5365" width="13.44140625" style="9" customWidth="1"/>
    <col min="5366" max="5366" width="9.6640625" style="9"/>
    <col min="5367" max="5367" width="13.88671875" style="9" customWidth="1"/>
    <col min="5368" max="5368" width="10.6640625" style="9" customWidth="1"/>
    <col min="5369" max="5369" width="17.33203125" style="9" customWidth="1"/>
    <col min="5370" max="5371" width="12.6640625" style="9" customWidth="1"/>
    <col min="5372" max="5372" width="11.21875" style="9" customWidth="1"/>
    <col min="5373" max="5373" width="18.33203125" style="9" customWidth="1"/>
    <col min="5374" max="5374" width="12.88671875" style="9" customWidth="1"/>
    <col min="5375" max="5376" width="13.21875" style="9" customWidth="1"/>
    <col min="5377" max="5377" width="10.88671875" style="9" customWidth="1"/>
    <col min="5378" max="5378" width="11.109375" style="9" customWidth="1"/>
    <col min="5379" max="5379" width="15.21875" style="9" customWidth="1"/>
    <col min="5380" max="5380" width="9.6640625" style="9"/>
    <col min="5381" max="5381" width="11" style="9" customWidth="1"/>
    <col min="5382" max="5382" width="10.77734375" style="9" customWidth="1"/>
    <col min="5383" max="5383" width="11.44140625" style="9" customWidth="1"/>
    <col min="5384" max="5384" width="4" style="9" customWidth="1"/>
    <col min="5385" max="5575" width="9.6640625" style="9"/>
    <col min="5576" max="5576" width="6.44140625" style="9" customWidth="1"/>
    <col min="5577" max="5577" width="13.88671875" style="9" customWidth="1"/>
    <col min="5578" max="5578" width="11.88671875" style="9" customWidth="1"/>
    <col min="5579" max="5581" width="9.6640625" style="9"/>
    <col min="5582" max="5582" width="15.44140625" style="9" customWidth="1"/>
    <col min="5583" max="5583" width="16.21875" style="9" customWidth="1"/>
    <col min="5584" max="5595" width="9.6640625" style="9"/>
    <col min="5596" max="5596" width="12" style="9" customWidth="1"/>
    <col min="5597" max="5597" width="12.77734375" style="9" customWidth="1"/>
    <col min="5598" max="5598" width="11.109375" style="9" customWidth="1"/>
    <col min="5599" max="5599" width="12" style="9" customWidth="1"/>
    <col min="5600" max="5600" width="9.6640625" style="9"/>
    <col min="5601" max="5601" width="15.33203125" style="9" customWidth="1"/>
    <col min="5602" max="5602" width="15.21875" style="9" customWidth="1"/>
    <col min="5603" max="5603" width="21.44140625" style="9" customWidth="1"/>
    <col min="5604" max="5619" width="9.6640625" style="9"/>
    <col min="5620" max="5621" width="13.44140625" style="9" customWidth="1"/>
    <col min="5622" max="5622" width="9.6640625" style="9"/>
    <col min="5623" max="5623" width="13.88671875" style="9" customWidth="1"/>
    <col min="5624" max="5624" width="10.6640625" style="9" customWidth="1"/>
    <col min="5625" max="5625" width="17.33203125" style="9" customWidth="1"/>
    <col min="5626" max="5627" width="12.6640625" style="9" customWidth="1"/>
    <col min="5628" max="5628" width="11.21875" style="9" customWidth="1"/>
    <col min="5629" max="5629" width="18.33203125" style="9" customWidth="1"/>
    <col min="5630" max="5630" width="12.88671875" style="9" customWidth="1"/>
    <col min="5631" max="5632" width="13.21875" style="9" customWidth="1"/>
    <col min="5633" max="5633" width="10.88671875" style="9" customWidth="1"/>
    <col min="5634" max="5634" width="11.109375" style="9" customWidth="1"/>
    <col min="5635" max="5635" width="15.21875" style="9" customWidth="1"/>
    <col min="5636" max="5636" width="9.6640625" style="9"/>
    <col min="5637" max="5637" width="11" style="9" customWidth="1"/>
    <col min="5638" max="5638" width="10.77734375" style="9" customWidth="1"/>
    <col min="5639" max="5639" width="11.44140625" style="9" customWidth="1"/>
    <col min="5640" max="5640" width="4" style="9" customWidth="1"/>
    <col min="5641" max="5831" width="9.6640625" style="9"/>
    <col min="5832" max="5832" width="6.44140625" style="9" customWidth="1"/>
    <col min="5833" max="5833" width="13.88671875" style="9" customWidth="1"/>
    <col min="5834" max="5834" width="11.88671875" style="9" customWidth="1"/>
    <col min="5835" max="5837" width="9.6640625" style="9"/>
    <col min="5838" max="5838" width="15.44140625" style="9" customWidth="1"/>
    <col min="5839" max="5839" width="16.21875" style="9" customWidth="1"/>
    <col min="5840" max="5851" width="9.6640625" style="9"/>
    <col min="5852" max="5852" width="12" style="9" customWidth="1"/>
    <col min="5853" max="5853" width="12.77734375" style="9" customWidth="1"/>
    <col min="5854" max="5854" width="11.109375" style="9" customWidth="1"/>
    <col min="5855" max="5855" width="12" style="9" customWidth="1"/>
    <col min="5856" max="5856" width="9.6640625" style="9"/>
    <col min="5857" max="5857" width="15.33203125" style="9" customWidth="1"/>
    <col min="5858" max="5858" width="15.21875" style="9" customWidth="1"/>
    <col min="5859" max="5859" width="21.44140625" style="9" customWidth="1"/>
    <col min="5860" max="5875" width="9.6640625" style="9"/>
    <col min="5876" max="5877" width="13.44140625" style="9" customWidth="1"/>
    <col min="5878" max="5878" width="9.6640625" style="9"/>
    <col min="5879" max="5879" width="13.88671875" style="9" customWidth="1"/>
    <col min="5880" max="5880" width="10.6640625" style="9" customWidth="1"/>
    <col min="5881" max="5881" width="17.33203125" style="9" customWidth="1"/>
    <col min="5882" max="5883" width="12.6640625" style="9" customWidth="1"/>
    <col min="5884" max="5884" width="11.21875" style="9" customWidth="1"/>
    <col min="5885" max="5885" width="18.33203125" style="9" customWidth="1"/>
    <col min="5886" max="5886" width="12.88671875" style="9" customWidth="1"/>
    <col min="5887" max="5888" width="13.21875" style="9" customWidth="1"/>
    <col min="5889" max="5889" width="10.88671875" style="9" customWidth="1"/>
    <col min="5890" max="5890" width="11.109375" style="9" customWidth="1"/>
    <col min="5891" max="5891" width="15.21875" style="9" customWidth="1"/>
    <col min="5892" max="5892" width="9.6640625" style="9"/>
    <col min="5893" max="5893" width="11" style="9" customWidth="1"/>
    <col min="5894" max="5894" width="10.77734375" style="9" customWidth="1"/>
    <col min="5895" max="5895" width="11.44140625" style="9" customWidth="1"/>
    <col min="5896" max="5896" width="4" style="9" customWidth="1"/>
    <col min="5897" max="6087" width="9.6640625" style="9"/>
    <col min="6088" max="6088" width="6.44140625" style="9" customWidth="1"/>
    <col min="6089" max="6089" width="13.88671875" style="9" customWidth="1"/>
    <col min="6090" max="6090" width="11.88671875" style="9" customWidth="1"/>
    <col min="6091" max="6093" width="9.6640625" style="9"/>
    <col min="6094" max="6094" width="15.44140625" style="9" customWidth="1"/>
    <col min="6095" max="6095" width="16.21875" style="9" customWidth="1"/>
    <col min="6096" max="6107" width="9.6640625" style="9"/>
    <col min="6108" max="6108" width="12" style="9" customWidth="1"/>
    <col min="6109" max="6109" width="12.77734375" style="9" customWidth="1"/>
    <col min="6110" max="6110" width="11.109375" style="9" customWidth="1"/>
    <col min="6111" max="6111" width="12" style="9" customWidth="1"/>
    <col min="6112" max="6112" width="9.6640625" style="9"/>
    <col min="6113" max="6113" width="15.33203125" style="9" customWidth="1"/>
    <col min="6114" max="6114" width="15.21875" style="9" customWidth="1"/>
    <col min="6115" max="6115" width="21.44140625" style="9" customWidth="1"/>
    <col min="6116" max="6131" width="9.6640625" style="9"/>
    <col min="6132" max="6133" width="13.44140625" style="9" customWidth="1"/>
    <col min="6134" max="6134" width="9.6640625" style="9"/>
    <col min="6135" max="6135" width="13.88671875" style="9" customWidth="1"/>
    <col min="6136" max="6136" width="10.6640625" style="9" customWidth="1"/>
    <col min="6137" max="6137" width="17.33203125" style="9" customWidth="1"/>
    <col min="6138" max="6139" width="12.6640625" style="9" customWidth="1"/>
    <col min="6140" max="6140" width="11.21875" style="9" customWidth="1"/>
    <col min="6141" max="6141" width="18.33203125" style="9" customWidth="1"/>
    <col min="6142" max="6142" width="12.88671875" style="9" customWidth="1"/>
    <col min="6143" max="6144" width="13.21875" style="9" customWidth="1"/>
    <col min="6145" max="6145" width="10.88671875" style="9" customWidth="1"/>
    <col min="6146" max="6146" width="11.109375" style="9" customWidth="1"/>
    <col min="6147" max="6147" width="15.21875" style="9" customWidth="1"/>
    <col min="6148" max="6148" width="9.6640625" style="9"/>
    <col min="6149" max="6149" width="11" style="9" customWidth="1"/>
    <col min="6150" max="6150" width="10.77734375" style="9" customWidth="1"/>
    <col min="6151" max="6151" width="11.44140625" style="9" customWidth="1"/>
    <col min="6152" max="6152" width="4" style="9" customWidth="1"/>
    <col min="6153" max="6343" width="9.6640625" style="9"/>
    <col min="6344" max="6344" width="6.44140625" style="9" customWidth="1"/>
    <col min="6345" max="6345" width="13.88671875" style="9" customWidth="1"/>
    <col min="6346" max="6346" width="11.88671875" style="9" customWidth="1"/>
    <col min="6347" max="6349" width="9.6640625" style="9"/>
    <col min="6350" max="6350" width="15.44140625" style="9" customWidth="1"/>
    <col min="6351" max="6351" width="16.21875" style="9" customWidth="1"/>
    <col min="6352" max="6363" width="9.6640625" style="9"/>
    <col min="6364" max="6364" width="12" style="9" customWidth="1"/>
    <col min="6365" max="6365" width="12.77734375" style="9" customWidth="1"/>
    <col min="6366" max="6366" width="11.109375" style="9" customWidth="1"/>
    <col min="6367" max="6367" width="12" style="9" customWidth="1"/>
    <col min="6368" max="6368" width="9.6640625" style="9"/>
    <col min="6369" max="6369" width="15.33203125" style="9" customWidth="1"/>
    <col min="6370" max="6370" width="15.21875" style="9" customWidth="1"/>
    <col min="6371" max="6371" width="21.44140625" style="9" customWidth="1"/>
    <col min="6372" max="6387" width="9.6640625" style="9"/>
    <col min="6388" max="6389" width="13.44140625" style="9" customWidth="1"/>
    <col min="6390" max="6390" width="9.6640625" style="9"/>
    <col min="6391" max="6391" width="13.88671875" style="9" customWidth="1"/>
    <col min="6392" max="6392" width="10.6640625" style="9" customWidth="1"/>
    <col min="6393" max="6393" width="17.33203125" style="9" customWidth="1"/>
    <col min="6394" max="6395" width="12.6640625" style="9" customWidth="1"/>
    <col min="6396" max="6396" width="11.21875" style="9" customWidth="1"/>
    <col min="6397" max="6397" width="18.33203125" style="9" customWidth="1"/>
    <col min="6398" max="6398" width="12.88671875" style="9" customWidth="1"/>
    <col min="6399" max="6400" width="13.21875" style="9" customWidth="1"/>
    <col min="6401" max="6401" width="10.88671875" style="9" customWidth="1"/>
    <col min="6402" max="6402" width="11.109375" style="9" customWidth="1"/>
    <col min="6403" max="6403" width="15.21875" style="9" customWidth="1"/>
    <col min="6404" max="6404" width="9.6640625" style="9"/>
    <col min="6405" max="6405" width="11" style="9" customWidth="1"/>
    <col min="6406" max="6406" width="10.77734375" style="9" customWidth="1"/>
    <col min="6407" max="6407" width="11.44140625" style="9" customWidth="1"/>
    <col min="6408" max="6408" width="4" style="9" customWidth="1"/>
    <col min="6409" max="6599" width="9.6640625" style="9"/>
    <col min="6600" max="6600" width="6.44140625" style="9" customWidth="1"/>
    <col min="6601" max="6601" width="13.88671875" style="9" customWidth="1"/>
    <col min="6602" max="6602" width="11.88671875" style="9" customWidth="1"/>
    <col min="6603" max="6605" width="9.6640625" style="9"/>
    <col min="6606" max="6606" width="15.44140625" style="9" customWidth="1"/>
    <col min="6607" max="6607" width="16.21875" style="9" customWidth="1"/>
    <col min="6608" max="6619" width="9.6640625" style="9"/>
    <col min="6620" max="6620" width="12" style="9" customWidth="1"/>
    <col min="6621" max="6621" width="12.77734375" style="9" customWidth="1"/>
    <col min="6622" max="6622" width="11.109375" style="9" customWidth="1"/>
    <col min="6623" max="6623" width="12" style="9" customWidth="1"/>
    <col min="6624" max="6624" width="9.6640625" style="9"/>
    <col min="6625" max="6625" width="15.33203125" style="9" customWidth="1"/>
    <col min="6626" max="6626" width="15.21875" style="9" customWidth="1"/>
    <col min="6627" max="6627" width="21.44140625" style="9" customWidth="1"/>
    <col min="6628" max="6643" width="9.6640625" style="9"/>
    <col min="6644" max="6645" width="13.44140625" style="9" customWidth="1"/>
    <col min="6646" max="6646" width="9.6640625" style="9"/>
    <col min="6647" max="6647" width="13.88671875" style="9" customWidth="1"/>
    <col min="6648" max="6648" width="10.6640625" style="9" customWidth="1"/>
    <col min="6649" max="6649" width="17.33203125" style="9" customWidth="1"/>
    <col min="6650" max="6651" width="12.6640625" style="9" customWidth="1"/>
    <col min="6652" max="6652" width="11.21875" style="9" customWidth="1"/>
    <col min="6653" max="6653" width="18.33203125" style="9" customWidth="1"/>
    <col min="6654" max="6654" width="12.88671875" style="9" customWidth="1"/>
    <col min="6655" max="6656" width="13.21875" style="9" customWidth="1"/>
    <col min="6657" max="6657" width="10.88671875" style="9" customWidth="1"/>
    <col min="6658" max="6658" width="11.109375" style="9" customWidth="1"/>
    <col min="6659" max="6659" width="15.21875" style="9" customWidth="1"/>
    <col min="6660" max="6660" width="9.6640625" style="9"/>
    <col min="6661" max="6661" width="11" style="9" customWidth="1"/>
    <col min="6662" max="6662" width="10.77734375" style="9" customWidth="1"/>
    <col min="6663" max="6663" width="11.44140625" style="9" customWidth="1"/>
    <col min="6664" max="6664" width="4" style="9" customWidth="1"/>
    <col min="6665" max="6855" width="9.6640625" style="9"/>
    <col min="6856" max="6856" width="6.44140625" style="9" customWidth="1"/>
    <col min="6857" max="6857" width="13.88671875" style="9" customWidth="1"/>
    <col min="6858" max="6858" width="11.88671875" style="9" customWidth="1"/>
    <col min="6859" max="6861" width="9.6640625" style="9"/>
    <col min="6862" max="6862" width="15.44140625" style="9" customWidth="1"/>
    <col min="6863" max="6863" width="16.21875" style="9" customWidth="1"/>
    <col min="6864" max="6875" width="9.6640625" style="9"/>
    <col min="6876" max="6876" width="12" style="9" customWidth="1"/>
    <col min="6877" max="6877" width="12.77734375" style="9" customWidth="1"/>
    <col min="6878" max="6878" width="11.109375" style="9" customWidth="1"/>
    <col min="6879" max="6879" width="12" style="9" customWidth="1"/>
    <col min="6880" max="6880" width="9.6640625" style="9"/>
    <col min="6881" max="6881" width="15.33203125" style="9" customWidth="1"/>
    <col min="6882" max="6882" width="15.21875" style="9" customWidth="1"/>
    <col min="6883" max="6883" width="21.44140625" style="9" customWidth="1"/>
    <col min="6884" max="6899" width="9.6640625" style="9"/>
    <col min="6900" max="6901" width="13.44140625" style="9" customWidth="1"/>
    <col min="6902" max="6902" width="9.6640625" style="9"/>
    <col min="6903" max="6903" width="13.88671875" style="9" customWidth="1"/>
    <col min="6904" max="6904" width="10.6640625" style="9" customWidth="1"/>
    <col min="6905" max="6905" width="17.33203125" style="9" customWidth="1"/>
    <col min="6906" max="6907" width="12.6640625" style="9" customWidth="1"/>
    <col min="6908" max="6908" width="11.21875" style="9" customWidth="1"/>
    <col min="6909" max="6909" width="18.33203125" style="9" customWidth="1"/>
    <col min="6910" max="6910" width="12.88671875" style="9" customWidth="1"/>
    <col min="6911" max="6912" width="13.21875" style="9" customWidth="1"/>
    <col min="6913" max="6913" width="10.88671875" style="9" customWidth="1"/>
    <col min="6914" max="6914" width="11.109375" style="9" customWidth="1"/>
    <col min="6915" max="6915" width="15.21875" style="9" customWidth="1"/>
    <col min="6916" max="6916" width="9.6640625" style="9"/>
    <col min="6917" max="6917" width="11" style="9" customWidth="1"/>
    <col min="6918" max="6918" width="10.77734375" style="9" customWidth="1"/>
    <col min="6919" max="6919" width="11.44140625" style="9" customWidth="1"/>
    <col min="6920" max="6920" width="4" style="9" customWidth="1"/>
    <col min="6921" max="7111" width="9.6640625" style="9"/>
    <col min="7112" max="7112" width="6.44140625" style="9" customWidth="1"/>
    <col min="7113" max="7113" width="13.88671875" style="9" customWidth="1"/>
    <col min="7114" max="7114" width="11.88671875" style="9" customWidth="1"/>
    <col min="7115" max="7117" width="9.6640625" style="9"/>
    <col min="7118" max="7118" width="15.44140625" style="9" customWidth="1"/>
    <col min="7119" max="7119" width="16.21875" style="9" customWidth="1"/>
    <col min="7120" max="7131" width="9.6640625" style="9"/>
    <col min="7132" max="7132" width="12" style="9" customWidth="1"/>
    <col min="7133" max="7133" width="12.77734375" style="9" customWidth="1"/>
    <col min="7134" max="7134" width="11.109375" style="9" customWidth="1"/>
    <col min="7135" max="7135" width="12" style="9" customWidth="1"/>
    <col min="7136" max="7136" width="9.6640625" style="9"/>
    <col min="7137" max="7137" width="15.33203125" style="9" customWidth="1"/>
    <col min="7138" max="7138" width="15.21875" style="9" customWidth="1"/>
    <col min="7139" max="7139" width="21.44140625" style="9" customWidth="1"/>
    <col min="7140" max="7155" width="9.6640625" style="9"/>
    <col min="7156" max="7157" width="13.44140625" style="9" customWidth="1"/>
    <col min="7158" max="7158" width="9.6640625" style="9"/>
    <col min="7159" max="7159" width="13.88671875" style="9" customWidth="1"/>
    <col min="7160" max="7160" width="10.6640625" style="9" customWidth="1"/>
    <col min="7161" max="7161" width="17.33203125" style="9" customWidth="1"/>
    <col min="7162" max="7163" width="12.6640625" style="9" customWidth="1"/>
    <col min="7164" max="7164" width="11.21875" style="9" customWidth="1"/>
    <col min="7165" max="7165" width="18.33203125" style="9" customWidth="1"/>
    <col min="7166" max="7166" width="12.88671875" style="9" customWidth="1"/>
    <col min="7167" max="7168" width="13.21875" style="9" customWidth="1"/>
    <col min="7169" max="7169" width="10.88671875" style="9" customWidth="1"/>
    <col min="7170" max="7170" width="11.109375" style="9" customWidth="1"/>
    <col min="7171" max="7171" width="15.21875" style="9" customWidth="1"/>
    <col min="7172" max="7172" width="9.6640625" style="9"/>
    <col min="7173" max="7173" width="11" style="9" customWidth="1"/>
    <col min="7174" max="7174" width="10.77734375" style="9" customWidth="1"/>
    <col min="7175" max="7175" width="11.44140625" style="9" customWidth="1"/>
    <col min="7176" max="7176" width="4" style="9" customWidth="1"/>
    <col min="7177" max="7367" width="9.6640625" style="9"/>
    <col min="7368" max="7368" width="6.44140625" style="9" customWidth="1"/>
    <col min="7369" max="7369" width="13.88671875" style="9" customWidth="1"/>
    <col min="7370" max="7370" width="11.88671875" style="9" customWidth="1"/>
    <col min="7371" max="7373" width="9.6640625" style="9"/>
    <col min="7374" max="7374" width="15.44140625" style="9" customWidth="1"/>
    <col min="7375" max="7375" width="16.21875" style="9" customWidth="1"/>
    <col min="7376" max="7387" width="9.6640625" style="9"/>
    <col min="7388" max="7388" width="12" style="9" customWidth="1"/>
    <col min="7389" max="7389" width="12.77734375" style="9" customWidth="1"/>
    <col min="7390" max="7390" width="11.109375" style="9" customWidth="1"/>
    <col min="7391" max="7391" width="12" style="9" customWidth="1"/>
    <col min="7392" max="7392" width="9.6640625" style="9"/>
    <col min="7393" max="7393" width="15.33203125" style="9" customWidth="1"/>
    <col min="7394" max="7394" width="15.21875" style="9" customWidth="1"/>
    <col min="7395" max="7395" width="21.44140625" style="9" customWidth="1"/>
    <col min="7396" max="7411" width="9.6640625" style="9"/>
    <col min="7412" max="7413" width="13.44140625" style="9" customWidth="1"/>
    <col min="7414" max="7414" width="9.6640625" style="9"/>
    <col min="7415" max="7415" width="13.88671875" style="9" customWidth="1"/>
    <col min="7416" max="7416" width="10.6640625" style="9" customWidth="1"/>
    <col min="7417" max="7417" width="17.33203125" style="9" customWidth="1"/>
    <col min="7418" max="7419" width="12.6640625" style="9" customWidth="1"/>
    <col min="7420" max="7420" width="11.21875" style="9" customWidth="1"/>
    <col min="7421" max="7421" width="18.33203125" style="9" customWidth="1"/>
    <col min="7422" max="7422" width="12.88671875" style="9" customWidth="1"/>
    <col min="7423" max="7424" width="13.21875" style="9" customWidth="1"/>
    <col min="7425" max="7425" width="10.88671875" style="9" customWidth="1"/>
    <col min="7426" max="7426" width="11.109375" style="9" customWidth="1"/>
    <col min="7427" max="7427" width="15.21875" style="9" customWidth="1"/>
    <col min="7428" max="7428" width="9.6640625" style="9"/>
    <col min="7429" max="7429" width="11" style="9" customWidth="1"/>
    <col min="7430" max="7430" width="10.77734375" style="9" customWidth="1"/>
    <col min="7431" max="7431" width="11.44140625" style="9" customWidth="1"/>
    <col min="7432" max="7432" width="4" style="9" customWidth="1"/>
    <col min="7433" max="7623" width="9.6640625" style="9"/>
    <col min="7624" max="7624" width="6.44140625" style="9" customWidth="1"/>
    <col min="7625" max="7625" width="13.88671875" style="9" customWidth="1"/>
    <col min="7626" max="7626" width="11.88671875" style="9" customWidth="1"/>
    <col min="7627" max="7629" width="9.6640625" style="9"/>
    <col min="7630" max="7630" width="15.44140625" style="9" customWidth="1"/>
    <col min="7631" max="7631" width="16.21875" style="9" customWidth="1"/>
    <col min="7632" max="7643" width="9.6640625" style="9"/>
    <col min="7644" max="7644" width="12" style="9" customWidth="1"/>
    <col min="7645" max="7645" width="12.77734375" style="9" customWidth="1"/>
    <col min="7646" max="7646" width="11.109375" style="9" customWidth="1"/>
    <col min="7647" max="7647" width="12" style="9" customWidth="1"/>
    <col min="7648" max="7648" width="9.6640625" style="9"/>
    <col min="7649" max="7649" width="15.33203125" style="9" customWidth="1"/>
    <col min="7650" max="7650" width="15.21875" style="9" customWidth="1"/>
    <col min="7651" max="7651" width="21.44140625" style="9" customWidth="1"/>
    <col min="7652" max="7667" width="9.6640625" style="9"/>
    <col min="7668" max="7669" width="13.44140625" style="9" customWidth="1"/>
    <col min="7670" max="7670" width="9.6640625" style="9"/>
    <col min="7671" max="7671" width="13.88671875" style="9" customWidth="1"/>
    <col min="7672" max="7672" width="10.6640625" style="9" customWidth="1"/>
    <col min="7673" max="7673" width="17.33203125" style="9" customWidth="1"/>
    <col min="7674" max="7675" width="12.6640625" style="9" customWidth="1"/>
    <col min="7676" max="7676" width="11.21875" style="9" customWidth="1"/>
    <col min="7677" max="7677" width="18.33203125" style="9" customWidth="1"/>
    <col min="7678" max="7678" width="12.88671875" style="9" customWidth="1"/>
    <col min="7679" max="7680" width="13.21875" style="9" customWidth="1"/>
    <col min="7681" max="7681" width="10.88671875" style="9" customWidth="1"/>
    <col min="7682" max="7682" width="11.109375" style="9" customWidth="1"/>
    <col min="7683" max="7683" width="15.21875" style="9" customWidth="1"/>
    <col min="7684" max="7684" width="9.6640625" style="9"/>
    <col min="7685" max="7685" width="11" style="9" customWidth="1"/>
    <col min="7686" max="7686" width="10.77734375" style="9" customWidth="1"/>
    <col min="7687" max="7687" width="11.44140625" style="9" customWidth="1"/>
    <col min="7688" max="7688" width="4" style="9" customWidth="1"/>
    <col min="7689" max="7879" width="9.6640625" style="9"/>
    <col min="7880" max="7880" width="6.44140625" style="9" customWidth="1"/>
    <col min="7881" max="7881" width="13.88671875" style="9" customWidth="1"/>
    <col min="7882" max="7882" width="11.88671875" style="9" customWidth="1"/>
    <col min="7883" max="7885" width="9.6640625" style="9"/>
    <col min="7886" max="7886" width="15.44140625" style="9" customWidth="1"/>
    <col min="7887" max="7887" width="16.21875" style="9" customWidth="1"/>
    <col min="7888" max="7899" width="9.6640625" style="9"/>
    <col min="7900" max="7900" width="12" style="9" customWidth="1"/>
    <col min="7901" max="7901" width="12.77734375" style="9" customWidth="1"/>
    <col min="7902" max="7902" width="11.109375" style="9" customWidth="1"/>
    <col min="7903" max="7903" width="12" style="9" customWidth="1"/>
    <col min="7904" max="7904" width="9.6640625" style="9"/>
    <col min="7905" max="7905" width="15.33203125" style="9" customWidth="1"/>
    <col min="7906" max="7906" width="15.21875" style="9" customWidth="1"/>
    <col min="7907" max="7907" width="21.44140625" style="9" customWidth="1"/>
    <col min="7908" max="7923" width="9.6640625" style="9"/>
    <col min="7924" max="7925" width="13.44140625" style="9" customWidth="1"/>
    <col min="7926" max="7926" width="9.6640625" style="9"/>
    <col min="7927" max="7927" width="13.88671875" style="9" customWidth="1"/>
    <col min="7928" max="7928" width="10.6640625" style="9" customWidth="1"/>
    <col min="7929" max="7929" width="17.33203125" style="9" customWidth="1"/>
    <col min="7930" max="7931" width="12.6640625" style="9" customWidth="1"/>
    <col min="7932" max="7932" width="11.21875" style="9" customWidth="1"/>
    <col min="7933" max="7933" width="18.33203125" style="9" customWidth="1"/>
    <col min="7934" max="7934" width="12.88671875" style="9" customWidth="1"/>
    <col min="7935" max="7936" width="13.21875" style="9" customWidth="1"/>
    <col min="7937" max="7937" width="10.88671875" style="9" customWidth="1"/>
    <col min="7938" max="7938" width="11.109375" style="9" customWidth="1"/>
    <col min="7939" max="7939" width="15.21875" style="9" customWidth="1"/>
    <col min="7940" max="7940" width="9.6640625" style="9"/>
    <col min="7941" max="7941" width="11" style="9" customWidth="1"/>
    <col min="7942" max="7942" width="10.77734375" style="9" customWidth="1"/>
    <col min="7943" max="7943" width="11.44140625" style="9" customWidth="1"/>
    <col min="7944" max="7944" width="4" style="9" customWidth="1"/>
    <col min="7945" max="8135" width="9.6640625" style="9"/>
    <col min="8136" max="8136" width="6.44140625" style="9" customWidth="1"/>
    <col min="8137" max="8137" width="13.88671875" style="9" customWidth="1"/>
    <col min="8138" max="8138" width="11.88671875" style="9" customWidth="1"/>
    <col min="8139" max="8141" width="9.6640625" style="9"/>
    <col min="8142" max="8142" width="15.44140625" style="9" customWidth="1"/>
    <col min="8143" max="8143" width="16.21875" style="9" customWidth="1"/>
    <col min="8144" max="8155" width="9.6640625" style="9"/>
    <col min="8156" max="8156" width="12" style="9" customWidth="1"/>
    <col min="8157" max="8157" width="12.77734375" style="9" customWidth="1"/>
    <col min="8158" max="8158" width="11.109375" style="9" customWidth="1"/>
    <col min="8159" max="8159" width="12" style="9" customWidth="1"/>
    <col min="8160" max="8160" width="9.6640625" style="9"/>
    <col min="8161" max="8161" width="15.33203125" style="9" customWidth="1"/>
    <col min="8162" max="8162" width="15.21875" style="9" customWidth="1"/>
    <col min="8163" max="8163" width="21.44140625" style="9" customWidth="1"/>
    <col min="8164" max="8179" width="9.6640625" style="9"/>
    <col min="8180" max="8181" width="13.44140625" style="9" customWidth="1"/>
    <col min="8182" max="8182" width="9.6640625" style="9"/>
    <col min="8183" max="8183" width="13.88671875" style="9" customWidth="1"/>
    <col min="8184" max="8184" width="10.6640625" style="9" customWidth="1"/>
    <col min="8185" max="8185" width="17.33203125" style="9" customWidth="1"/>
    <col min="8186" max="8187" width="12.6640625" style="9" customWidth="1"/>
    <col min="8188" max="8188" width="11.21875" style="9" customWidth="1"/>
    <col min="8189" max="8189" width="18.33203125" style="9" customWidth="1"/>
    <col min="8190" max="8190" width="12.88671875" style="9" customWidth="1"/>
    <col min="8191" max="8192" width="13.21875" style="9" customWidth="1"/>
    <col min="8193" max="8193" width="10.88671875" style="9" customWidth="1"/>
    <col min="8194" max="8194" width="11.109375" style="9" customWidth="1"/>
    <col min="8195" max="8195" width="15.21875" style="9" customWidth="1"/>
    <col min="8196" max="8196" width="9.6640625" style="9"/>
    <col min="8197" max="8197" width="11" style="9" customWidth="1"/>
    <col min="8198" max="8198" width="10.77734375" style="9" customWidth="1"/>
    <col min="8199" max="8199" width="11.44140625" style="9" customWidth="1"/>
    <col min="8200" max="8200" width="4" style="9" customWidth="1"/>
    <col min="8201" max="8391" width="9.6640625" style="9"/>
    <col min="8392" max="8392" width="6.44140625" style="9" customWidth="1"/>
    <col min="8393" max="8393" width="13.88671875" style="9" customWidth="1"/>
    <col min="8394" max="8394" width="11.88671875" style="9" customWidth="1"/>
    <col min="8395" max="8397" width="9.6640625" style="9"/>
    <col min="8398" max="8398" width="15.44140625" style="9" customWidth="1"/>
    <col min="8399" max="8399" width="16.21875" style="9" customWidth="1"/>
    <col min="8400" max="8411" width="9.6640625" style="9"/>
    <col min="8412" max="8412" width="12" style="9" customWidth="1"/>
    <col min="8413" max="8413" width="12.77734375" style="9" customWidth="1"/>
    <col min="8414" max="8414" width="11.109375" style="9" customWidth="1"/>
    <col min="8415" max="8415" width="12" style="9" customWidth="1"/>
    <col min="8416" max="8416" width="9.6640625" style="9"/>
    <col min="8417" max="8417" width="15.33203125" style="9" customWidth="1"/>
    <col min="8418" max="8418" width="15.21875" style="9" customWidth="1"/>
    <col min="8419" max="8419" width="21.44140625" style="9" customWidth="1"/>
    <col min="8420" max="8435" width="9.6640625" style="9"/>
    <col min="8436" max="8437" width="13.44140625" style="9" customWidth="1"/>
    <col min="8438" max="8438" width="9.6640625" style="9"/>
    <col min="8439" max="8439" width="13.88671875" style="9" customWidth="1"/>
    <col min="8440" max="8440" width="10.6640625" style="9" customWidth="1"/>
    <col min="8441" max="8441" width="17.33203125" style="9" customWidth="1"/>
    <col min="8442" max="8443" width="12.6640625" style="9" customWidth="1"/>
    <col min="8444" max="8444" width="11.21875" style="9" customWidth="1"/>
    <col min="8445" max="8445" width="18.33203125" style="9" customWidth="1"/>
    <col min="8446" max="8446" width="12.88671875" style="9" customWidth="1"/>
    <col min="8447" max="8448" width="13.21875" style="9" customWidth="1"/>
    <col min="8449" max="8449" width="10.88671875" style="9" customWidth="1"/>
    <col min="8450" max="8450" width="11.109375" style="9" customWidth="1"/>
    <col min="8451" max="8451" width="15.21875" style="9" customWidth="1"/>
    <col min="8452" max="8452" width="9.6640625" style="9"/>
    <col min="8453" max="8453" width="11" style="9" customWidth="1"/>
    <col min="8454" max="8454" width="10.77734375" style="9" customWidth="1"/>
    <col min="8455" max="8455" width="11.44140625" style="9" customWidth="1"/>
    <col min="8456" max="8456" width="4" style="9" customWidth="1"/>
    <col min="8457" max="8647" width="9.6640625" style="9"/>
    <col min="8648" max="8648" width="6.44140625" style="9" customWidth="1"/>
    <col min="8649" max="8649" width="13.88671875" style="9" customWidth="1"/>
    <col min="8650" max="8650" width="11.88671875" style="9" customWidth="1"/>
    <col min="8651" max="8653" width="9.6640625" style="9"/>
    <col min="8654" max="8654" width="15.44140625" style="9" customWidth="1"/>
    <col min="8655" max="8655" width="16.21875" style="9" customWidth="1"/>
    <col min="8656" max="8667" width="9.6640625" style="9"/>
    <col min="8668" max="8668" width="12" style="9" customWidth="1"/>
    <col min="8669" max="8669" width="12.77734375" style="9" customWidth="1"/>
    <col min="8670" max="8670" width="11.109375" style="9" customWidth="1"/>
    <col min="8671" max="8671" width="12" style="9" customWidth="1"/>
    <col min="8672" max="8672" width="9.6640625" style="9"/>
    <col min="8673" max="8673" width="15.33203125" style="9" customWidth="1"/>
    <col min="8674" max="8674" width="15.21875" style="9" customWidth="1"/>
    <col min="8675" max="8675" width="21.44140625" style="9" customWidth="1"/>
    <col min="8676" max="8691" width="9.6640625" style="9"/>
    <col min="8692" max="8693" width="13.44140625" style="9" customWidth="1"/>
    <col min="8694" max="8694" width="9.6640625" style="9"/>
    <col min="8695" max="8695" width="13.88671875" style="9" customWidth="1"/>
    <col min="8696" max="8696" width="10.6640625" style="9" customWidth="1"/>
    <col min="8697" max="8697" width="17.33203125" style="9" customWidth="1"/>
    <col min="8698" max="8699" width="12.6640625" style="9" customWidth="1"/>
    <col min="8700" max="8700" width="11.21875" style="9" customWidth="1"/>
    <col min="8701" max="8701" width="18.33203125" style="9" customWidth="1"/>
    <col min="8702" max="8702" width="12.88671875" style="9" customWidth="1"/>
    <col min="8703" max="8704" width="13.21875" style="9" customWidth="1"/>
    <col min="8705" max="8705" width="10.88671875" style="9" customWidth="1"/>
    <col min="8706" max="8706" width="11.109375" style="9" customWidth="1"/>
    <col min="8707" max="8707" width="15.21875" style="9" customWidth="1"/>
    <col min="8708" max="8708" width="9.6640625" style="9"/>
    <col min="8709" max="8709" width="11" style="9" customWidth="1"/>
    <col min="8710" max="8710" width="10.77734375" style="9" customWidth="1"/>
    <col min="8711" max="8711" width="11.44140625" style="9" customWidth="1"/>
    <col min="8712" max="8712" width="4" style="9" customWidth="1"/>
    <col min="8713" max="8903" width="9.6640625" style="9"/>
    <col min="8904" max="8904" width="6.44140625" style="9" customWidth="1"/>
    <col min="8905" max="8905" width="13.88671875" style="9" customWidth="1"/>
    <col min="8906" max="8906" width="11.88671875" style="9" customWidth="1"/>
    <col min="8907" max="8909" width="9.6640625" style="9"/>
    <col min="8910" max="8910" width="15.44140625" style="9" customWidth="1"/>
    <col min="8911" max="8911" width="16.21875" style="9" customWidth="1"/>
    <col min="8912" max="8923" width="9.6640625" style="9"/>
    <col min="8924" max="8924" width="12" style="9" customWidth="1"/>
    <col min="8925" max="8925" width="12.77734375" style="9" customWidth="1"/>
    <col min="8926" max="8926" width="11.109375" style="9" customWidth="1"/>
    <col min="8927" max="8927" width="12" style="9" customWidth="1"/>
    <col min="8928" max="8928" width="9.6640625" style="9"/>
    <col min="8929" max="8929" width="15.33203125" style="9" customWidth="1"/>
    <col min="8930" max="8930" width="15.21875" style="9" customWidth="1"/>
    <col min="8931" max="8931" width="21.44140625" style="9" customWidth="1"/>
    <col min="8932" max="8947" width="9.6640625" style="9"/>
    <col min="8948" max="8949" width="13.44140625" style="9" customWidth="1"/>
    <col min="8950" max="8950" width="9.6640625" style="9"/>
    <col min="8951" max="8951" width="13.88671875" style="9" customWidth="1"/>
    <col min="8952" max="8952" width="10.6640625" style="9" customWidth="1"/>
    <col min="8953" max="8953" width="17.33203125" style="9" customWidth="1"/>
    <col min="8954" max="8955" width="12.6640625" style="9" customWidth="1"/>
    <col min="8956" max="8956" width="11.21875" style="9" customWidth="1"/>
    <col min="8957" max="8957" width="18.33203125" style="9" customWidth="1"/>
    <col min="8958" max="8958" width="12.88671875" style="9" customWidth="1"/>
    <col min="8959" max="8960" width="13.21875" style="9" customWidth="1"/>
    <col min="8961" max="8961" width="10.88671875" style="9" customWidth="1"/>
    <col min="8962" max="8962" width="11.109375" style="9" customWidth="1"/>
    <col min="8963" max="8963" width="15.21875" style="9" customWidth="1"/>
    <col min="8964" max="8964" width="9.6640625" style="9"/>
    <col min="8965" max="8965" width="11" style="9" customWidth="1"/>
    <col min="8966" max="8966" width="10.77734375" style="9" customWidth="1"/>
    <col min="8967" max="8967" width="11.44140625" style="9" customWidth="1"/>
    <col min="8968" max="8968" width="4" style="9" customWidth="1"/>
    <col min="8969" max="9159" width="9.6640625" style="9"/>
    <col min="9160" max="9160" width="6.44140625" style="9" customWidth="1"/>
    <col min="9161" max="9161" width="13.88671875" style="9" customWidth="1"/>
    <col min="9162" max="9162" width="11.88671875" style="9" customWidth="1"/>
    <col min="9163" max="9165" width="9.6640625" style="9"/>
    <col min="9166" max="9166" width="15.44140625" style="9" customWidth="1"/>
    <col min="9167" max="9167" width="16.21875" style="9" customWidth="1"/>
    <col min="9168" max="9179" width="9.6640625" style="9"/>
    <col min="9180" max="9180" width="12" style="9" customWidth="1"/>
    <col min="9181" max="9181" width="12.77734375" style="9" customWidth="1"/>
    <col min="9182" max="9182" width="11.109375" style="9" customWidth="1"/>
    <col min="9183" max="9183" width="12" style="9" customWidth="1"/>
    <col min="9184" max="9184" width="9.6640625" style="9"/>
    <col min="9185" max="9185" width="15.33203125" style="9" customWidth="1"/>
    <col min="9186" max="9186" width="15.21875" style="9" customWidth="1"/>
    <col min="9187" max="9187" width="21.44140625" style="9" customWidth="1"/>
    <col min="9188" max="9203" width="9.6640625" style="9"/>
    <col min="9204" max="9205" width="13.44140625" style="9" customWidth="1"/>
    <col min="9206" max="9206" width="9.6640625" style="9"/>
    <col min="9207" max="9207" width="13.88671875" style="9" customWidth="1"/>
    <col min="9208" max="9208" width="10.6640625" style="9" customWidth="1"/>
    <col min="9209" max="9209" width="17.33203125" style="9" customWidth="1"/>
    <col min="9210" max="9211" width="12.6640625" style="9" customWidth="1"/>
    <col min="9212" max="9212" width="11.21875" style="9" customWidth="1"/>
    <col min="9213" max="9213" width="18.33203125" style="9" customWidth="1"/>
    <col min="9214" max="9214" width="12.88671875" style="9" customWidth="1"/>
    <col min="9215" max="9216" width="13.21875" style="9" customWidth="1"/>
    <col min="9217" max="9217" width="10.88671875" style="9" customWidth="1"/>
    <col min="9218" max="9218" width="11.109375" style="9" customWidth="1"/>
    <col min="9219" max="9219" width="15.21875" style="9" customWidth="1"/>
    <col min="9220" max="9220" width="9.6640625" style="9"/>
    <col min="9221" max="9221" width="11" style="9" customWidth="1"/>
    <col min="9222" max="9222" width="10.77734375" style="9" customWidth="1"/>
    <col min="9223" max="9223" width="11.44140625" style="9" customWidth="1"/>
    <col min="9224" max="9224" width="4" style="9" customWidth="1"/>
    <col min="9225" max="9415" width="9.6640625" style="9"/>
    <col min="9416" max="9416" width="6.44140625" style="9" customWidth="1"/>
    <col min="9417" max="9417" width="13.88671875" style="9" customWidth="1"/>
    <col min="9418" max="9418" width="11.88671875" style="9" customWidth="1"/>
    <col min="9419" max="9421" width="9.6640625" style="9"/>
    <col min="9422" max="9422" width="15.44140625" style="9" customWidth="1"/>
    <col min="9423" max="9423" width="16.21875" style="9" customWidth="1"/>
    <col min="9424" max="9435" width="9.6640625" style="9"/>
    <col min="9436" max="9436" width="12" style="9" customWidth="1"/>
    <col min="9437" max="9437" width="12.77734375" style="9" customWidth="1"/>
    <col min="9438" max="9438" width="11.109375" style="9" customWidth="1"/>
    <col min="9439" max="9439" width="12" style="9" customWidth="1"/>
    <col min="9440" max="9440" width="9.6640625" style="9"/>
    <col min="9441" max="9441" width="15.33203125" style="9" customWidth="1"/>
    <col min="9442" max="9442" width="15.21875" style="9" customWidth="1"/>
    <col min="9443" max="9443" width="21.44140625" style="9" customWidth="1"/>
    <col min="9444" max="9459" width="9.6640625" style="9"/>
    <col min="9460" max="9461" width="13.44140625" style="9" customWidth="1"/>
    <col min="9462" max="9462" width="9.6640625" style="9"/>
    <col min="9463" max="9463" width="13.88671875" style="9" customWidth="1"/>
    <col min="9464" max="9464" width="10.6640625" style="9" customWidth="1"/>
    <col min="9465" max="9465" width="17.33203125" style="9" customWidth="1"/>
    <col min="9466" max="9467" width="12.6640625" style="9" customWidth="1"/>
    <col min="9468" max="9468" width="11.21875" style="9" customWidth="1"/>
    <col min="9469" max="9469" width="18.33203125" style="9" customWidth="1"/>
    <col min="9470" max="9470" width="12.88671875" style="9" customWidth="1"/>
    <col min="9471" max="9472" width="13.21875" style="9" customWidth="1"/>
    <col min="9473" max="9473" width="10.88671875" style="9" customWidth="1"/>
    <col min="9474" max="9474" width="11.109375" style="9" customWidth="1"/>
    <col min="9475" max="9475" width="15.21875" style="9" customWidth="1"/>
    <col min="9476" max="9476" width="9.6640625" style="9"/>
    <col min="9477" max="9477" width="11" style="9" customWidth="1"/>
    <col min="9478" max="9478" width="10.77734375" style="9" customWidth="1"/>
    <col min="9479" max="9479" width="11.44140625" style="9" customWidth="1"/>
    <col min="9480" max="9480" width="4" style="9" customWidth="1"/>
    <col min="9481" max="9671" width="9.6640625" style="9"/>
    <col min="9672" max="9672" width="6.44140625" style="9" customWidth="1"/>
    <col min="9673" max="9673" width="13.88671875" style="9" customWidth="1"/>
    <col min="9674" max="9674" width="11.88671875" style="9" customWidth="1"/>
    <col min="9675" max="9677" width="9.6640625" style="9"/>
    <col min="9678" max="9678" width="15.44140625" style="9" customWidth="1"/>
    <col min="9679" max="9679" width="16.21875" style="9" customWidth="1"/>
    <col min="9680" max="9691" width="9.6640625" style="9"/>
    <col min="9692" max="9692" width="12" style="9" customWidth="1"/>
    <col min="9693" max="9693" width="12.77734375" style="9" customWidth="1"/>
    <col min="9694" max="9694" width="11.109375" style="9" customWidth="1"/>
    <col min="9695" max="9695" width="12" style="9" customWidth="1"/>
    <col min="9696" max="9696" width="9.6640625" style="9"/>
    <col min="9697" max="9697" width="15.33203125" style="9" customWidth="1"/>
    <col min="9698" max="9698" width="15.21875" style="9" customWidth="1"/>
    <col min="9699" max="9699" width="21.44140625" style="9" customWidth="1"/>
    <col min="9700" max="9715" width="9.6640625" style="9"/>
    <col min="9716" max="9717" width="13.44140625" style="9" customWidth="1"/>
    <col min="9718" max="9718" width="9.6640625" style="9"/>
    <col min="9719" max="9719" width="13.88671875" style="9" customWidth="1"/>
    <col min="9720" max="9720" width="10.6640625" style="9" customWidth="1"/>
    <col min="9721" max="9721" width="17.33203125" style="9" customWidth="1"/>
    <col min="9722" max="9723" width="12.6640625" style="9" customWidth="1"/>
    <col min="9724" max="9724" width="11.21875" style="9" customWidth="1"/>
    <col min="9725" max="9725" width="18.33203125" style="9" customWidth="1"/>
    <col min="9726" max="9726" width="12.88671875" style="9" customWidth="1"/>
    <col min="9727" max="9728" width="13.21875" style="9" customWidth="1"/>
    <col min="9729" max="9729" width="10.88671875" style="9" customWidth="1"/>
    <col min="9730" max="9730" width="11.109375" style="9" customWidth="1"/>
    <col min="9731" max="9731" width="15.21875" style="9" customWidth="1"/>
    <col min="9732" max="9732" width="9.6640625" style="9"/>
    <col min="9733" max="9733" width="11" style="9" customWidth="1"/>
    <col min="9734" max="9734" width="10.77734375" style="9" customWidth="1"/>
    <col min="9735" max="9735" width="11.44140625" style="9" customWidth="1"/>
    <col min="9736" max="9736" width="4" style="9" customWidth="1"/>
    <col min="9737" max="9927" width="9.6640625" style="9"/>
    <col min="9928" max="9928" width="6.44140625" style="9" customWidth="1"/>
    <col min="9929" max="9929" width="13.88671875" style="9" customWidth="1"/>
    <col min="9930" max="9930" width="11.88671875" style="9" customWidth="1"/>
    <col min="9931" max="9933" width="9.6640625" style="9"/>
    <col min="9934" max="9934" width="15.44140625" style="9" customWidth="1"/>
    <col min="9935" max="9935" width="16.21875" style="9" customWidth="1"/>
    <col min="9936" max="9947" width="9.6640625" style="9"/>
    <col min="9948" max="9948" width="12" style="9" customWidth="1"/>
    <col min="9949" max="9949" width="12.77734375" style="9" customWidth="1"/>
    <col min="9950" max="9950" width="11.109375" style="9" customWidth="1"/>
    <col min="9951" max="9951" width="12" style="9" customWidth="1"/>
    <col min="9952" max="9952" width="9.6640625" style="9"/>
    <col min="9953" max="9953" width="15.33203125" style="9" customWidth="1"/>
    <col min="9954" max="9954" width="15.21875" style="9" customWidth="1"/>
    <col min="9955" max="9955" width="21.44140625" style="9" customWidth="1"/>
    <col min="9956" max="9971" width="9.6640625" style="9"/>
    <col min="9972" max="9973" width="13.44140625" style="9" customWidth="1"/>
    <col min="9974" max="9974" width="9.6640625" style="9"/>
    <col min="9975" max="9975" width="13.88671875" style="9" customWidth="1"/>
    <col min="9976" max="9976" width="10.6640625" style="9" customWidth="1"/>
    <col min="9977" max="9977" width="17.33203125" style="9" customWidth="1"/>
    <col min="9978" max="9979" width="12.6640625" style="9" customWidth="1"/>
    <col min="9980" max="9980" width="11.21875" style="9" customWidth="1"/>
    <col min="9981" max="9981" width="18.33203125" style="9" customWidth="1"/>
    <col min="9982" max="9982" width="12.88671875" style="9" customWidth="1"/>
    <col min="9983" max="9984" width="13.21875" style="9" customWidth="1"/>
    <col min="9985" max="9985" width="10.88671875" style="9" customWidth="1"/>
    <col min="9986" max="9986" width="11.109375" style="9" customWidth="1"/>
    <col min="9987" max="9987" width="15.21875" style="9" customWidth="1"/>
    <col min="9988" max="9988" width="9.6640625" style="9"/>
    <col min="9989" max="9989" width="11" style="9" customWidth="1"/>
    <col min="9990" max="9990" width="10.77734375" style="9" customWidth="1"/>
    <col min="9991" max="9991" width="11.44140625" style="9" customWidth="1"/>
    <col min="9992" max="9992" width="4" style="9" customWidth="1"/>
    <col min="9993" max="10183" width="9.6640625" style="9"/>
    <col min="10184" max="10184" width="6.44140625" style="9" customWidth="1"/>
    <col min="10185" max="10185" width="13.88671875" style="9" customWidth="1"/>
    <col min="10186" max="10186" width="11.88671875" style="9" customWidth="1"/>
    <col min="10187" max="10189" width="9.6640625" style="9"/>
    <col min="10190" max="10190" width="15.44140625" style="9" customWidth="1"/>
    <col min="10191" max="10191" width="16.21875" style="9" customWidth="1"/>
    <col min="10192" max="10203" width="9.6640625" style="9"/>
    <col min="10204" max="10204" width="12" style="9" customWidth="1"/>
    <col min="10205" max="10205" width="12.77734375" style="9" customWidth="1"/>
    <col min="10206" max="10206" width="11.109375" style="9" customWidth="1"/>
    <col min="10207" max="10207" width="12" style="9" customWidth="1"/>
    <col min="10208" max="10208" width="9.6640625" style="9"/>
    <col min="10209" max="10209" width="15.33203125" style="9" customWidth="1"/>
    <col min="10210" max="10210" width="15.21875" style="9" customWidth="1"/>
    <col min="10211" max="10211" width="21.44140625" style="9" customWidth="1"/>
    <col min="10212" max="10227" width="9.6640625" style="9"/>
    <col min="10228" max="10229" width="13.44140625" style="9" customWidth="1"/>
    <col min="10230" max="10230" width="9.6640625" style="9"/>
    <col min="10231" max="10231" width="13.88671875" style="9" customWidth="1"/>
    <col min="10232" max="10232" width="10.6640625" style="9" customWidth="1"/>
    <col min="10233" max="10233" width="17.33203125" style="9" customWidth="1"/>
    <col min="10234" max="10235" width="12.6640625" style="9" customWidth="1"/>
    <col min="10236" max="10236" width="11.21875" style="9" customWidth="1"/>
    <col min="10237" max="10237" width="18.33203125" style="9" customWidth="1"/>
    <col min="10238" max="10238" width="12.88671875" style="9" customWidth="1"/>
    <col min="10239" max="10240" width="13.21875" style="9" customWidth="1"/>
    <col min="10241" max="10241" width="10.88671875" style="9" customWidth="1"/>
    <col min="10242" max="10242" width="11.109375" style="9" customWidth="1"/>
    <col min="10243" max="10243" width="15.21875" style="9" customWidth="1"/>
    <col min="10244" max="10244" width="9.6640625" style="9"/>
    <col min="10245" max="10245" width="11" style="9" customWidth="1"/>
    <col min="10246" max="10246" width="10.77734375" style="9" customWidth="1"/>
    <col min="10247" max="10247" width="11.44140625" style="9" customWidth="1"/>
    <col min="10248" max="10248" width="4" style="9" customWidth="1"/>
    <col min="10249" max="10439" width="9.6640625" style="9"/>
    <col min="10440" max="10440" width="6.44140625" style="9" customWidth="1"/>
    <col min="10441" max="10441" width="13.88671875" style="9" customWidth="1"/>
    <col min="10442" max="10442" width="11.88671875" style="9" customWidth="1"/>
    <col min="10443" max="10445" width="9.6640625" style="9"/>
    <col min="10446" max="10446" width="15.44140625" style="9" customWidth="1"/>
    <col min="10447" max="10447" width="16.21875" style="9" customWidth="1"/>
    <col min="10448" max="10459" width="9.6640625" style="9"/>
    <col min="10460" max="10460" width="12" style="9" customWidth="1"/>
    <col min="10461" max="10461" width="12.77734375" style="9" customWidth="1"/>
    <col min="10462" max="10462" width="11.109375" style="9" customWidth="1"/>
    <col min="10463" max="10463" width="12" style="9" customWidth="1"/>
    <col min="10464" max="10464" width="9.6640625" style="9"/>
    <col min="10465" max="10465" width="15.33203125" style="9" customWidth="1"/>
    <col min="10466" max="10466" width="15.21875" style="9" customWidth="1"/>
    <col min="10467" max="10467" width="21.44140625" style="9" customWidth="1"/>
    <col min="10468" max="10483" width="9.6640625" style="9"/>
    <col min="10484" max="10485" width="13.44140625" style="9" customWidth="1"/>
    <col min="10486" max="10486" width="9.6640625" style="9"/>
    <col min="10487" max="10487" width="13.88671875" style="9" customWidth="1"/>
    <col min="10488" max="10488" width="10.6640625" style="9" customWidth="1"/>
    <col min="10489" max="10489" width="17.33203125" style="9" customWidth="1"/>
    <col min="10490" max="10491" width="12.6640625" style="9" customWidth="1"/>
    <col min="10492" max="10492" width="11.21875" style="9" customWidth="1"/>
    <col min="10493" max="10493" width="18.33203125" style="9" customWidth="1"/>
    <col min="10494" max="10494" width="12.88671875" style="9" customWidth="1"/>
    <col min="10495" max="10496" width="13.21875" style="9" customWidth="1"/>
    <col min="10497" max="10497" width="10.88671875" style="9" customWidth="1"/>
    <col min="10498" max="10498" width="11.109375" style="9" customWidth="1"/>
    <col min="10499" max="10499" width="15.21875" style="9" customWidth="1"/>
    <col min="10500" max="10500" width="9.6640625" style="9"/>
    <col min="10501" max="10501" width="11" style="9" customWidth="1"/>
    <col min="10502" max="10502" width="10.77734375" style="9" customWidth="1"/>
    <col min="10503" max="10503" width="11.44140625" style="9" customWidth="1"/>
    <col min="10504" max="10504" width="4" style="9" customWidth="1"/>
    <col min="10505" max="10695" width="9.6640625" style="9"/>
    <col min="10696" max="10696" width="6.44140625" style="9" customWidth="1"/>
    <col min="10697" max="10697" width="13.88671875" style="9" customWidth="1"/>
    <col min="10698" max="10698" width="11.88671875" style="9" customWidth="1"/>
    <col min="10699" max="10701" width="9.6640625" style="9"/>
    <col min="10702" max="10702" width="15.44140625" style="9" customWidth="1"/>
    <col min="10703" max="10703" width="16.21875" style="9" customWidth="1"/>
    <col min="10704" max="10715" width="9.6640625" style="9"/>
    <col min="10716" max="10716" width="12" style="9" customWidth="1"/>
    <col min="10717" max="10717" width="12.77734375" style="9" customWidth="1"/>
    <col min="10718" max="10718" width="11.109375" style="9" customWidth="1"/>
    <col min="10719" max="10719" width="12" style="9" customWidth="1"/>
    <col min="10720" max="10720" width="9.6640625" style="9"/>
    <col min="10721" max="10721" width="15.33203125" style="9" customWidth="1"/>
    <col min="10722" max="10722" width="15.21875" style="9" customWidth="1"/>
    <col min="10723" max="10723" width="21.44140625" style="9" customWidth="1"/>
    <col min="10724" max="10739" width="9.6640625" style="9"/>
    <col min="10740" max="10741" width="13.44140625" style="9" customWidth="1"/>
    <col min="10742" max="10742" width="9.6640625" style="9"/>
    <col min="10743" max="10743" width="13.88671875" style="9" customWidth="1"/>
    <col min="10744" max="10744" width="10.6640625" style="9" customWidth="1"/>
    <col min="10745" max="10745" width="17.33203125" style="9" customWidth="1"/>
    <col min="10746" max="10747" width="12.6640625" style="9" customWidth="1"/>
    <col min="10748" max="10748" width="11.21875" style="9" customWidth="1"/>
    <col min="10749" max="10749" width="18.33203125" style="9" customWidth="1"/>
    <col min="10750" max="10750" width="12.88671875" style="9" customWidth="1"/>
    <col min="10751" max="10752" width="13.21875" style="9" customWidth="1"/>
    <col min="10753" max="10753" width="10.88671875" style="9" customWidth="1"/>
    <col min="10754" max="10754" width="11.109375" style="9" customWidth="1"/>
    <col min="10755" max="10755" width="15.21875" style="9" customWidth="1"/>
    <col min="10756" max="10756" width="9.6640625" style="9"/>
    <col min="10757" max="10757" width="11" style="9" customWidth="1"/>
    <col min="10758" max="10758" width="10.77734375" style="9" customWidth="1"/>
    <col min="10759" max="10759" width="11.44140625" style="9" customWidth="1"/>
    <col min="10760" max="10760" width="4" style="9" customWidth="1"/>
    <col min="10761" max="10951" width="9.6640625" style="9"/>
    <col min="10952" max="10952" width="6.44140625" style="9" customWidth="1"/>
    <col min="10953" max="10953" width="13.88671875" style="9" customWidth="1"/>
    <col min="10954" max="10954" width="11.88671875" style="9" customWidth="1"/>
    <col min="10955" max="10957" width="9.6640625" style="9"/>
    <col min="10958" max="10958" width="15.44140625" style="9" customWidth="1"/>
    <col min="10959" max="10959" width="16.21875" style="9" customWidth="1"/>
    <col min="10960" max="10971" width="9.6640625" style="9"/>
    <col min="10972" max="10972" width="12" style="9" customWidth="1"/>
    <col min="10973" max="10973" width="12.77734375" style="9" customWidth="1"/>
    <col min="10974" max="10974" width="11.109375" style="9" customWidth="1"/>
    <col min="10975" max="10975" width="12" style="9" customWidth="1"/>
    <col min="10976" max="10976" width="9.6640625" style="9"/>
    <col min="10977" max="10977" width="15.33203125" style="9" customWidth="1"/>
    <col min="10978" max="10978" width="15.21875" style="9" customWidth="1"/>
    <col min="10979" max="10979" width="21.44140625" style="9" customWidth="1"/>
    <col min="10980" max="10995" width="9.6640625" style="9"/>
    <col min="10996" max="10997" width="13.44140625" style="9" customWidth="1"/>
    <col min="10998" max="10998" width="9.6640625" style="9"/>
    <col min="10999" max="10999" width="13.88671875" style="9" customWidth="1"/>
    <col min="11000" max="11000" width="10.6640625" style="9" customWidth="1"/>
    <col min="11001" max="11001" width="17.33203125" style="9" customWidth="1"/>
    <col min="11002" max="11003" width="12.6640625" style="9" customWidth="1"/>
    <col min="11004" max="11004" width="11.21875" style="9" customWidth="1"/>
    <col min="11005" max="11005" width="18.33203125" style="9" customWidth="1"/>
    <col min="11006" max="11006" width="12.88671875" style="9" customWidth="1"/>
    <col min="11007" max="11008" width="13.21875" style="9" customWidth="1"/>
    <col min="11009" max="11009" width="10.88671875" style="9" customWidth="1"/>
    <col min="11010" max="11010" width="11.109375" style="9" customWidth="1"/>
    <col min="11011" max="11011" width="15.21875" style="9" customWidth="1"/>
    <col min="11012" max="11012" width="9.6640625" style="9"/>
    <col min="11013" max="11013" width="11" style="9" customWidth="1"/>
    <col min="11014" max="11014" width="10.77734375" style="9" customWidth="1"/>
    <col min="11015" max="11015" width="11.44140625" style="9" customWidth="1"/>
    <col min="11016" max="11016" width="4" style="9" customWidth="1"/>
    <col min="11017" max="11207" width="9.6640625" style="9"/>
    <col min="11208" max="11208" width="6.44140625" style="9" customWidth="1"/>
    <col min="11209" max="11209" width="13.88671875" style="9" customWidth="1"/>
    <col min="11210" max="11210" width="11.88671875" style="9" customWidth="1"/>
    <col min="11211" max="11213" width="9.6640625" style="9"/>
    <col min="11214" max="11214" width="15.44140625" style="9" customWidth="1"/>
    <col min="11215" max="11215" width="16.21875" style="9" customWidth="1"/>
    <col min="11216" max="11227" width="9.6640625" style="9"/>
    <col min="11228" max="11228" width="12" style="9" customWidth="1"/>
    <col min="11229" max="11229" width="12.77734375" style="9" customWidth="1"/>
    <col min="11230" max="11230" width="11.109375" style="9" customWidth="1"/>
    <col min="11231" max="11231" width="12" style="9" customWidth="1"/>
    <col min="11232" max="11232" width="9.6640625" style="9"/>
    <col min="11233" max="11233" width="15.33203125" style="9" customWidth="1"/>
    <col min="11234" max="11234" width="15.21875" style="9" customWidth="1"/>
    <col min="11235" max="11235" width="21.44140625" style="9" customWidth="1"/>
    <col min="11236" max="11251" width="9.6640625" style="9"/>
    <col min="11252" max="11253" width="13.44140625" style="9" customWidth="1"/>
    <col min="11254" max="11254" width="9.6640625" style="9"/>
    <col min="11255" max="11255" width="13.88671875" style="9" customWidth="1"/>
    <col min="11256" max="11256" width="10.6640625" style="9" customWidth="1"/>
    <col min="11257" max="11257" width="17.33203125" style="9" customWidth="1"/>
    <col min="11258" max="11259" width="12.6640625" style="9" customWidth="1"/>
    <col min="11260" max="11260" width="11.21875" style="9" customWidth="1"/>
    <col min="11261" max="11261" width="18.33203125" style="9" customWidth="1"/>
    <col min="11262" max="11262" width="12.88671875" style="9" customWidth="1"/>
    <col min="11263" max="11264" width="13.21875" style="9" customWidth="1"/>
    <col min="11265" max="11265" width="10.88671875" style="9" customWidth="1"/>
    <col min="11266" max="11266" width="11.109375" style="9" customWidth="1"/>
    <col min="11267" max="11267" width="15.21875" style="9" customWidth="1"/>
    <col min="11268" max="11268" width="9.6640625" style="9"/>
    <col min="11269" max="11269" width="11" style="9" customWidth="1"/>
    <col min="11270" max="11270" width="10.77734375" style="9" customWidth="1"/>
    <col min="11271" max="11271" width="11.44140625" style="9" customWidth="1"/>
    <col min="11272" max="11272" width="4" style="9" customWidth="1"/>
    <col min="11273" max="11463" width="9.6640625" style="9"/>
    <col min="11464" max="11464" width="6.44140625" style="9" customWidth="1"/>
    <col min="11465" max="11465" width="13.88671875" style="9" customWidth="1"/>
    <col min="11466" max="11466" width="11.88671875" style="9" customWidth="1"/>
    <col min="11467" max="11469" width="9.6640625" style="9"/>
    <col min="11470" max="11470" width="15.44140625" style="9" customWidth="1"/>
    <col min="11471" max="11471" width="16.21875" style="9" customWidth="1"/>
    <col min="11472" max="11483" width="9.6640625" style="9"/>
    <col min="11484" max="11484" width="12" style="9" customWidth="1"/>
    <col min="11485" max="11485" width="12.77734375" style="9" customWidth="1"/>
    <col min="11486" max="11486" width="11.109375" style="9" customWidth="1"/>
    <col min="11487" max="11487" width="12" style="9" customWidth="1"/>
    <col min="11488" max="11488" width="9.6640625" style="9"/>
    <col min="11489" max="11489" width="15.33203125" style="9" customWidth="1"/>
    <col min="11490" max="11490" width="15.21875" style="9" customWidth="1"/>
    <col min="11491" max="11491" width="21.44140625" style="9" customWidth="1"/>
    <col min="11492" max="11507" width="9.6640625" style="9"/>
    <col min="11508" max="11509" width="13.44140625" style="9" customWidth="1"/>
    <col min="11510" max="11510" width="9.6640625" style="9"/>
    <col min="11511" max="11511" width="13.88671875" style="9" customWidth="1"/>
    <col min="11512" max="11512" width="10.6640625" style="9" customWidth="1"/>
    <col min="11513" max="11513" width="17.33203125" style="9" customWidth="1"/>
    <col min="11514" max="11515" width="12.6640625" style="9" customWidth="1"/>
    <col min="11516" max="11516" width="11.21875" style="9" customWidth="1"/>
    <col min="11517" max="11517" width="18.33203125" style="9" customWidth="1"/>
    <col min="11518" max="11518" width="12.88671875" style="9" customWidth="1"/>
    <col min="11519" max="11520" width="13.21875" style="9" customWidth="1"/>
    <col min="11521" max="11521" width="10.88671875" style="9" customWidth="1"/>
    <col min="11522" max="11522" width="11.109375" style="9" customWidth="1"/>
    <col min="11523" max="11523" width="15.21875" style="9" customWidth="1"/>
    <col min="11524" max="11524" width="9.6640625" style="9"/>
    <col min="11525" max="11525" width="11" style="9" customWidth="1"/>
    <col min="11526" max="11526" width="10.77734375" style="9" customWidth="1"/>
    <col min="11527" max="11527" width="11.44140625" style="9" customWidth="1"/>
    <col min="11528" max="11528" width="4" style="9" customWidth="1"/>
    <col min="11529" max="11719" width="9.6640625" style="9"/>
    <col min="11720" max="11720" width="6.44140625" style="9" customWidth="1"/>
    <col min="11721" max="11721" width="13.88671875" style="9" customWidth="1"/>
    <col min="11722" max="11722" width="11.88671875" style="9" customWidth="1"/>
    <col min="11723" max="11725" width="9.6640625" style="9"/>
    <col min="11726" max="11726" width="15.44140625" style="9" customWidth="1"/>
    <col min="11727" max="11727" width="16.21875" style="9" customWidth="1"/>
    <col min="11728" max="11739" width="9.6640625" style="9"/>
    <col min="11740" max="11740" width="12" style="9" customWidth="1"/>
    <col min="11741" max="11741" width="12.77734375" style="9" customWidth="1"/>
    <col min="11742" max="11742" width="11.109375" style="9" customWidth="1"/>
    <col min="11743" max="11743" width="12" style="9" customWidth="1"/>
    <col min="11744" max="11744" width="9.6640625" style="9"/>
    <col min="11745" max="11745" width="15.33203125" style="9" customWidth="1"/>
    <col min="11746" max="11746" width="15.21875" style="9" customWidth="1"/>
    <col min="11747" max="11747" width="21.44140625" style="9" customWidth="1"/>
    <col min="11748" max="11763" width="9.6640625" style="9"/>
    <col min="11764" max="11765" width="13.44140625" style="9" customWidth="1"/>
    <col min="11766" max="11766" width="9.6640625" style="9"/>
    <col min="11767" max="11767" width="13.88671875" style="9" customWidth="1"/>
    <col min="11768" max="11768" width="10.6640625" style="9" customWidth="1"/>
    <col min="11769" max="11769" width="17.33203125" style="9" customWidth="1"/>
    <col min="11770" max="11771" width="12.6640625" style="9" customWidth="1"/>
    <col min="11772" max="11772" width="11.21875" style="9" customWidth="1"/>
    <col min="11773" max="11773" width="18.33203125" style="9" customWidth="1"/>
    <col min="11774" max="11774" width="12.88671875" style="9" customWidth="1"/>
    <col min="11775" max="11776" width="13.21875" style="9" customWidth="1"/>
    <col min="11777" max="11777" width="10.88671875" style="9" customWidth="1"/>
    <col min="11778" max="11778" width="11.109375" style="9" customWidth="1"/>
    <col min="11779" max="11779" width="15.21875" style="9" customWidth="1"/>
    <col min="11780" max="11780" width="9.6640625" style="9"/>
    <col min="11781" max="11781" width="11" style="9" customWidth="1"/>
    <col min="11782" max="11782" width="10.77734375" style="9" customWidth="1"/>
    <col min="11783" max="11783" width="11.44140625" style="9" customWidth="1"/>
    <col min="11784" max="11784" width="4" style="9" customWidth="1"/>
    <col min="11785" max="11975" width="9.6640625" style="9"/>
    <col min="11976" max="11976" width="6.44140625" style="9" customWidth="1"/>
    <col min="11977" max="11977" width="13.88671875" style="9" customWidth="1"/>
    <col min="11978" max="11978" width="11.88671875" style="9" customWidth="1"/>
    <col min="11979" max="11981" width="9.6640625" style="9"/>
    <col min="11982" max="11982" width="15.44140625" style="9" customWidth="1"/>
    <col min="11983" max="11983" width="16.21875" style="9" customWidth="1"/>
    <col min="11984" max="11995" width="9.6640625" style="9"/>
    <col min="11996" max="11996" width="12" style="9" customWidth="1"/>
    <col min="11997" max="11997" width="12.77734375" style="9" customWidth="1"/>
    <col min="11998" max="11998" width="11.109375" style="9" customWidth="1"/>
    <col min="11999" max="11999" width="12" style="9" customWidth="1"/>
    <col min="12000" max="12000" width="9.6640625" style="9"/>
    <col min="12001" max="12001" width="15.33203125" style="9" customWidth="1"/>
    <col min="12002" max="12002" width="15.21875" style="9" customWidth="1"/>
    <col min="12003" max="12003" width="21.44140625" style="9" customWidth="1"/>
    <col min="12004" max="12019" width="9.6640625" style="9"/>
    <col min="12020" max="12021" width="13.44140625" style="9" customWidth="1"/>
    <col min="12022" max="12022" width="9.6640625" style="9"/>
    <col min="12023" max="12023" width="13.88671875" style="9" customWidth="1"/>
    <col min="12024" max="12024" width="10.6640625" style="9" customWidth="1"/>
    <col min="12025" max="12025" width="17.33203125" style="9" customWidth="1"/>
    <col min="12026" max="12027" width="12.6640625" style="9" customWidth="1"/>
    <col min="12028" max="12028" width="11.21875" style="9" customWidth="1"/>
    <col min="12029" max="12029" width="18.33203125" style="9" customWidth="1"/>
    <col min="12030" max="12030" width="12.88671875" style="9" customWidth="1"/>
    <col min="12031" max="12032" width="13.21875" style="9" customWidth="1"/>
    <col min="12033" max="12033" width="10.88671875" style="9" customWidth="1"/>
    <col min="12034" max="12034" width="11.109375" style="9" customWidth="1"/>
    <col min="12035" max="12035" width="15.21875" style="9" customWidth="1"/>
    <col min="12036" max="12036" width="9.6640625" style="9"/>
    <col min="12037" max="12037" width="11" style="9" customWidth="1"/>
    <col min="12038" max="12038" width="10.77734375" style="9" customWidth="1"/>
    <col min="12039" max="12039" width="11.44140625" style="9" customWidth="1"/>
    <col min="12040" max="12040" width="4" style="9" customWidth="1"/>
    <col min="12041" max="12231" width="9.6640625" style="9"/>
    <col min="12232" max="12232" width="6.44140625" style="9" customWidth="1"/>
    <col min="12233" max="12233" width="13.88671875" style="9" customWidth="1"/>
    <col min="12234" max="12234" width="11.88671875" style="9" customWidth="1"/>
    <col min="12235" max="12237" width="9.6640625" style="9"/>
    <col min="12238" max="12238" width="15.44140625" style="9" customWidth="1"/>
    <col min="12239" max="12239" width="16.21875" style="9" customWidth="1"/>
    <col min="12240" max="12251" width="9.6640625" style="9"/>
    <col min="12252" max="12252" width="12" style="9" customWidth="1"/>
    <col min="12253" max="12253" width="12.77734375" style="9" customWidth="1"/>
    <col min="12254" max="12254" width="11.109375" style="9" customWidth="1"/>
    <col min="12255" max="12255" width="12" style="9" customWidth="1"/>
    <col min="12256" max="12256" width="9.6640625" style="9"/>
    <col min="12257" max="12257" width="15.33203125" style="9" customWidth="1"/>
    <col min="12258" max="12258" width="15.21875" style="9" customWidth="1"/>
    <col min="12259" max="12259" width="21.44140625" style="9" customWidth="1"/>
    <col min="12260" max="12275" width="9.6640625" style="9"/>
    <col min="12276" max="12277" width="13.44140625" style="9" customWidth="1"/>
    <col min="12278" max="12278" width="9.6640625" style="9"/>
    <col min="12279" max="12279" width="13.88671875" style="9" customWidth="1"/>
    <col min="12280" max="12280" width="10.6640625" style="9" customWidth="1"/>
    <col min="12281" max="12281" width="17.33203125" style="9" customWidth="1"/>
    <col min="12282" max="12283" width="12.6640625" style="9" customWidth="1"/>
    <col min="12284" max="12284" width="11.21875" style="9" customWidth="1"/>
    <col min="12285" max="12285" width="18.33203125" style="9" customWidth="1"/>
    <col min="12286" max="12286" width="12.88671875" style="9" customWidth="1"/>
    <col min="12287" max="12288" width="13.21875" style="9" customWidth="1"/>
    <col min="12289" max="12289" width="10.88671875" style="9" customWidth="1"/>
    <col min="12290" max="12290" width="11.109375" style="9" customWidth="1"/>
    <col min="12291" max="12291" width="15.21875" style="9" customWidth="1"/>
    <col min="12292" max="12292" width="9.6640625" style="9"/>
    <col min="12293" max="12293" width="11" style="9" customWidth="1"/>
    <col min="12294" max="12294" width="10.77734375" style="9" customWidth="1"/>
    <col min="12295" max="12295" width="11.44140625" style="9" customWidth="1"/>
    <col min="12296" max="12296" width="4" style="9" customWidth="1"/>
    <col min="12297" max="12487" width="9.6640625" style="9"/>
    <col min="12488" max="12488" width="6.44140625" style="9" customWidth="1"/>
    <col min="12489" max="12489" width="13.88671875" style="9" customWidth="1"/>
    <col min="12490" max="12490" width="11.88671875" style="9" customWidth="1"/>
    <col min="12491" max="12493" width="9.6640625" style="9"/>
    <col min="12494" max="12494" width="15.44140625" style="9" customWidth="1"/>
    <col min="12495" max="12495" width="16.21875" style="9" customWidth="1"/>
    <col min="12496" max="12507" width="9.6640625" style="9"/>
    <col min="12508" max="12508" width="12" style="9" customWidth="1"/>
    <col min="12509" max="12509" width="12.77734375" style="9" customWidth="1"/>
    <col min="12510" max="12510" width="11.109375" style="9" customWidth="1"/>
    <col min="12511" max="12511" width="12" style="9" customWidth="1"/>
    <col min="12512" max="12512" width="9.6640625" style="9"/>
    <col min="12513" max="12513" width="15.33203125" style="9" customWidth="1"/>
    <col min="12514" max="12514" width="15.21875" style="9" customWidth="1"/>
    <col min="12515" max="12515" width="21.44140625" style="9" customWidth="1"/>
    <col min="12516" max="12531" width="9.6640625" style="9"/>
    <col min="12532" max="12533" width="13.44140625" style="9" customWidth="1"/>
    <col min="12534" max="12534" width="9.6640625" style="9"/>
    <col min="12535" max="12535" width="13.88671875" style="9" customWidth="1"/>
    <col min="12536" max="12536" width="10.6640625" style="9" customWidth="1"/>
    <col min="12537" max="12537" width="17.33203125" style="9" customWidth="1"/>
    <col min="12538" max="12539" width="12.6640625" style="9" customWidth="1"/>
    <col min="12540" max="12540" width="11.21875" style="9" customWidth="1"/>
    <col min="12541" max="12541" width="18.33203125" style="9" customWidth="1"/>
    <col min="12542" max="12542" width="12.88671875" style="9" customWidth="1"/>
    <col min="12543" max="12544" width="13.21875" style="9" customWidth="1"/>
    <col min="12545" max="12545" width="10.88671875" style="9" customWidth="1"/>
    <col min="12546" max="12546" width="11.109375" style="9" customWidth="1"/>
    <col min="12547" max="12547" width="15.21875" style="9" customWidth="1"/>
    <col min="12548" max="12548" width="9.6640625" style="9"/>
    <col min="12549" max="12549" width="11" style="9" customWidth="1"/>
    <col min="12550" max="12550" width="10.77734375" style="9" customWidth="1"/>
    <col min="12551" max="12551" width="11.44140625" style="9" customWidth="1"/>
    <col min="12552" max="12552" width="4" style="9" customWidth="1"/>
    <col min="12553" max="12743" width="9.6640625" style="9"/>
    <col min="12744" max="12744" width="6.44140625" style="9" customWidth="1"/>
    <col min="12745" max="12745" width="13.88671875" style="9" customWidth="1"/>
    <col min="12746" max="12746" width="11.88671875" style="9" customWidth="1"/>
    <col min="12747" max="12749" width="9.6640625" style="9"/>
    <col min="12750" max="12750" width="15.44140625" style="9" customWidth="1"/>
    <col min="12751" max="12751" width="16.21875" style="9" customWidth="1"/>
    <col min="12752" max="12763" width="9.6640625" style="9"/>
    <col min="12764" max="12764" width="12" style="9" customWidth="1"/>
    <col min="12765" max="12765" width="12.77734375" style="9" customWidth="1"/>
    <col min="12766" max="12766" width="11.109375" style="9" customWidth="1"/>
    <col min="12767" max="12767" width="12" style="9" customWidth="1"/>
    <col min="12768" max="12768" width="9.6640625" style="9"/>
    <col min="12769" max="12769" width="15.33203125" style="9" customWidth="1"/>
    <col min="12770" max="12770" width="15.21875" style="9" customWidth="1"/>
    <col min="12771" max="12771" width="21.44140625" style="9" customWidth="1"/>
    <col min="12772" max="12787" width="9.6640625" style="9"/>
    <col min="12788" max="12789" width="13.44140625" style="9" customWidth="1"/>
    <col min="12790" max="12790" width="9.6640625" style="9"/>
    <col min="12791" max="12791" width="13.88671875" style="9" customWidth="1"/>
    <col min="12792" max="12792" width="10.6640625" style="9" customWidth="1"/>
    <col min="12793" max="12793" width="17.33203125" style="9" customWidth="1"/>
    <col min="12794" max="12795" width="12.6640625" style="9" customWidth="1"/>
    <col min="12796" max="12796" width="11.21875" style="9" customWidth="1"/>
    <col min="12797" max="12797" width="18.33203125" style="9" customWidth="1"/>
    <col min="12798" max="12798" width="12.88671875" style="9" customWidth="1"/>
    <col min="12799" max="12800" width="13.21875" style="9" customWidth="1"/>
    <col min="12801" max="12801" width="10.88671875" style="9" customWidth="1"/>
    <col min="12802" max="12802" width="11.109375" style="9" customWidth="1"/>
    <col min="12803" max="12803" width="15.21875" style="9" customWidth="1"/>
    <col min="12804" max="12804" width="9.6640625" style="9"/>
    <col min="12805" max="12805" width="11" style="9" customWidth="1"/>
    <col min="12806" max="12806" width="10.77734375" style="9" customWidth="1"/>
    <col min="12807" max="12807" width="11.44140625" style="9" customWidth="1"/>
    <col min="12808" max="12808" width="4" style="9" customWidth="1"/>
    <col min="12809" max="12999" width="9.6640625" style="9"/>
    <col min="13000" max="13000" width="6.44140625" style="9" customWidth="1"/>
    <col min="13001" max="13001" width="13.88671875" style="9" customWidth="1"/>
    <col min="13002" max="13002" width="11.88671875" style="9" customWidth="1"/>
    <col min="13003" max="13005" width="9.6640625" style="9"/>
    <col min="13006" max="13006" width="15.44140625" style="9" customWidth="1"/>
    <col min="13007" max="13007" width="16.21875" style="9" customWidth="1"/>
    <col min="13008" max="13019" width="9.6640625" style="9"/>
    <col min="13020" max="13020" width="12" style="9" customWidth="1"/>
    <col min="13021" max="13021" width="12.77734375" style="9" customWidth="1"/>
    <col min="13022" max="13022" width="11.109375" style="9" customWidth="1"/>
    <col min="13023" max="13023" width="12" style="9" customWidth="1"/>
    <col min="13024" max="13024" width="9.6640625" style="9"/>
    <col min="13025" max="13025" width="15.33203125" style="9" customWidth="1"/>
    <col min="13026" max="13026" width="15.21875" style="9" customWidth="1"/>
    <col min="13027" max="13027" width="21.44140625" style="9" customWidth="1"/>
    <col min="13028" max="13043" width="9.6640625" style="9"/>
    <col min="13044" max="13045" width="13.44140625" style="9" customWidth="1"/>
    <col min="13046" max="13046" width="9.6640625" style="9"/>
    <col min="13047" max="13047" width="13.88671875" style="9" customWidth="1"/>
    <col min="13048" max="13048" width="10.6640625" style="9" customWidth="1"/>
    <col min="13049" max="13049" width="17.33203125" style="9" customWidth="1"/>
    <col min="13050" max="13051" width="12.6640625" style="9" customWidth="1"/>
    <col min="13052" max="13052" width="11.21875" style="9" customWidth="1"/>
    <col min="13053" max="13053" width="18.33203125" style="9" customWidth="1"/>
    <col min="13054" max="13054" width="12.88671875" style="9" customWidth="1"/>
    <col min="13055" max="13056" width="13.21875" style="9" customWidth="1"/>
    <col min="13057" max="13057" width="10.88671875" style="9" customWidth="1"/>
    <col min="13058" max="13058" width="11.109375" style="9" customWidth="1"/>
    <col min="13059" max="13059" width="15.21875" style="9" customWidth="1"/>
    <col min="13060" max="13060" width="9.6640625" style="9"/>
    <col min="13061" max="13061" width="11" style="9" customWidth="1"/>
    <col min="13062" max="13062" width="10.77734375" style="9" customWidth="1"/>
    <col min="13063" max="13063" width="11.44140625" style="9" customWidth="1"/>
    <col min="13064" max="13064" width="4" style="9" customWidth="1"/>
    <col min="13065" max="13255" width="9.6640625" style="9"/>
    <col min="13256" max="13256" width="6.44140625" style="9" customWidth="1"/>
    <col min="13257" max="13257" width="13.88671875" style="9" customWidth="1"/>
    <col min="13258" max="13258" width="11.88671875" style="9" customWidth="1"/>
    <col min="13259" max="13261" width="9.6640625" style="9"/>
    <col min="13262" max="13262" width="15.44140625" style="9" customWidth="1"/>
    <col min="13263" max="13263" width="16.21875" style="9" customWidth="1"/>
    <col min="13264" max="13275" width="9.6640625" style="9"/>
    <col min="13276" max="13276" width="12" style="9" customWidth="1"/>
    <col min="13277" max="13277" width="12.77734375" style="9" customWidth="1"/>
    <col min="13278" max="13278" width="11.109375" style="9" customWidth="1"/>
    <col min="13279" max="13279" width="12" style="9" customWidth="1"/>
    <col min="13280" max="13280" width="9.6640625" style="9"/>
    <col min="13281" max="13281" width="15.33203125" style="9" customWidth="1"/>
    <col min="13282" max="13282" width="15.21875" style="9" customWidth="1"/>
    <col min="13283" max="13283" width="21.44140625" style="9" customWidth="1"/>
    <col min="13284" max="13299" width="9.6640625" style="9"/>
    <col min="13300" max="13301" width="13.44140625" style="9" customWidth="1"/>
    <col min="13302" max="13302" width="9.6640625" style="9"/>
    <col min="13303" max="13303" width="13.88671875" style="9" customWidth="1"/>
    <col min="13304" max="13304" width="10.6640625" style="9" customWidth="1"/>
    <col min="13305" max="13305" width="17.33203125" style="9" customWidth="1"/>
    <col min="13306" max="13307" width="12.6640625" style="9" customWidth="1"/>
    <col min="13308" max="13308" width="11.21875" style="9" customWidth="1"/>
    <col min="13309" max="13309" width="18.33203125" style="9" customWidth="1"/>
    <col min="13310" max="13310" width="12.88671875" style="9" customWidth="1"/>
    <col min="13311" max="13312" width="13.21875" style="9" customWidth="1"/>
    <col min="13313" max="13313" width="10.88671875" style="9" customWidth="1"/>
    <col min="13314" max="13314" width="11.109375" style="9" customWidth="1"/>
    <col min="13315" max="13315" width="15.21875" style="9" customWidth="1"/>
    <col min="13316" max="13316" width="9.6640625" style="9"/>
    <col min="13317" max="13317" width="11" style="9" customWidth="1"/>
    <col min="13318" max="13318" width="10.77734375" style="9" customWidth="1"/>
    <col min="13319" max="13319" width="11.44140625" style="9" customWidth="1"/>
    <col min="13320" max="13320" width="4" style="9" customWidth="1"/>
    <col min="13321" max="13511" width="9.6640625" style="9"/>
    <col min="13512" max="13512" width="6.44140625" style="9" customWidth="1"/>
    <col min="13513" max="13513" width="13.88671875" style="9" customWidth="1"/>
    <col min="13514" max="13514" width="11.88671875" style="9" customWidth="1"/>
    <col min="13515" max="13517" width="9.6640625" style="9"/>
    <col min="13518" max="13518" width="15.44140625" style="9" customWidth="1"/>
    <col min="13519" max="13519" width="16.21875" style="9" customWidth="1"/>
    <col min="13520" max="13531" width="9.6640625" style="9"/>
    <col min="13532" max="13532" width="12" style="9" customWidth="1"/>
    <col min="13533" max="13533" width="12.77734375" style="9" customWidth="1"/>
    <col min="13534" max="13534" width="11.109375" style="9" customWidth="1"/>
    <col min="13535" max="13535" width="12" style="9" customWidth="1"/>
    <col min="13536" max="13536" width="9.6640625" style="9"/>
    <col min="13537" max="13537" width="15.33203125" style="9" customWidth="1"/>
    <col min="13538" max="13538" width="15.21875" style="9" customWidth="1"/>
    <col min="13539" max="13539" width="21.44140625" style="9" customWidth="1"/>
    <col min="13540" max="13555" width="9.6640625" style="9"/>
    <col min="13556" max="13557" width="13.44140625" style="9" customWidth="1"/>
    <col min="13558" max="13558" width="9.6640625" style="9"/>
    <col min="13559" max="13559" width="13.88671875" style="9" customWidth="1"/>
    <col min="13560" max="13560" width="10.6640625" style="9" customWidth="1"/>
    <col min="13561" max="13561" width="17.33203125" style="9" customWidth="1"/>
    <col min="13562" max="13563" width="12.6640625" style="9" customWidth="1"/>
    <col min="13564" max="13564" width="11.21875" style="9" customWidth="1"/>
    <col min="13565" max="13565" width="18.33203125" style="9" customWidth="1"/>
    <col min="13566" max="13566" width="12.88671875" style="9" customWidth="1"/>
    <col min="13567" max="13568" width="13.21875" style="9" customWidth="1"/>
    <col min="13569" max="13569" width="10.88671875" style="9" customWidth="1"/>
    <col min="13570" max="13570" width="11.109375" style="9" customWidth="1"/>
    <col min="13571" max="13571" width="15.21875" style="9" customWidth="1"/>
    <col min="13572" max="13572" width="9.6640625" style="9"/>
    <col min="13573" max="13573" width="11" style="9" customWidth="1"/>
    <col min="13574" max="13574" width="10.77734375" style="9" customWidth="1"/>
    <col min="13575" max="13575" width="11.44140625" style="9" customWidth="1"/>
    <col min="13576" max="13576" width="4" style="9" customWidth="1"/>
    <col min="13577" max="13767" width="9.6640625" style="9"/>
    <col min="13768" max="13768" width="6.44140625" style="9" customWidth="1"/>
    <col min="13769" max="13769" width="13.88671875" style="9" customWidth="1"/>
    <col min="13770" max="13770" width="11.88671875" style="9" customWidth="1"/>
    <col min="13771" max="13773" width="9.6640625" style="9"/>
    <col min="13774" max="13774" width="15.44140625" style="9" customWidth="1"/>
    <col min="13775" max="13775" width="16.21875" style="9" customWidth="1"/>
    <col min="13776" max="13787" width="9.6640625" style="9"/>
    <col min="13788" max="13788" width="12" style="9" customWidth="1"/>
    <col min="13789" max="13789" width="12.77734375" style="9" customWidth="1"/>
    <col min="13790" max="13790" width="11.109375" style="9" customWidth="1"/>
    <col min="13791" max="13791" width="12" style="9" customWidth="1"/>
    <col min="13792" max="13792" width="9.6640625" style="9"/>
    <col min="13793" max="13793" width="15.33203125" style="9" customWidth="1"/>
    <col min="13794" max="13794" width="15.21875" style="9" customWidth="1"/>
    <col min="13795" max="13795" width="21.44140625" style="9" customWidth="1"/>
    <col min="13796" max="13811" width="9.6640625" style="9"/>
    <col min="13812" max="13813" width="13.44140625" style="9" customWidth="1"/>
    <col min="13814" max="13814" width="9.6640625" style="9"/>
    <col min="13815" max="13815" width="13.88671875" style="9" customWidth="1"/>
    <col min="13816" max="13816" width="10.6640625" style="9" customWidth="1"/>
    <col min="13817" max="13817" width="17.33203125" style="9" customWidth="1"/>
    <col min="13818" max="13819" width="12.6640625" style="9" customWidth="1"/>
    <col min="13820" max="13820" width="11.21875" style="9" customWidth="1"/>
    <col min="13821" max="13821" width="18.33203125" style="9" customWidth="1"/>
    <col min="13822" max="13822" width="12.88671875" style="9" customWidth="1"/>
    <col min="13823" max="13824" width="13.21875" style="9" customWidth="1"/>
    <col min="13825" max="13825" width="10.88671875" style="9" customWidth="1"/>
    <col min="13826" max="13826" width="11.109375" style="9" customWidth="1"/>
    <col min="13827" max="13827" width="15.21875" style="9" customWidth="1"/>
    <col min="13828" max="13828" width="9.6640625" style="9"/>
    <col min="13829" max="13829" width="11" style="9" customWidth="1"/>
    <col min="13830" max="13830" width="10.77734375" style="9" customWidth="1"/>
    <col min="13831" max="13831" width="11.44140625" style="9" customWidth="1"/>
    <col min="13832" max="13832" width="4" style="9" customWidth="1"/>
    <col min="13833" max="14023" width="9.6640625" style="9"/>
    <col min="14024" max="14024" width="6.44140625" style="9" customWidth="1"/>
    <col min="14025" max="14025" width="13.88671875" style="9" customWidth="1"/>
    <col min="14026" max="14026" width="11.88671875" style="9" customWidth="1"/>
    <col min="14027" max="14029" width="9.6640625" style="9"/>
    <col min="14030" max="14030" width="15.44140625" style="9" customWidth="1"/>
    <col min="14031" max="14031" width="16.21875" style="9" customWidth="1"/>
    <col min="14032" max="14043" width="9.6640625" style="9"/>
    <col min="14044" max="14044" width="12" style="9" customWidth="1"/>
    <col min="14045" max="14045" width="12.77734375" style="9" customWidth="1"/>
    <col min="14046" max="14046" width="11.109375" style="9" customWidth="1"/>
    <col min="14047" max="14047" width="12" style="9" customWidth="1"/>
    <col min="14048" max="14048" width="9.6640625" style="9"/>
    <col min="14049" max="14049" width="15.33203125" style="9" customWidth="1"/>
    <col min="14050" max="14050" width="15.21875" style="9" customWidth="1"/>
    <col min="14051" max="14051" width="21.44140625" style="9" customWidth="1"/>
    <col min="14052" max="14067" width="9.6640625" style="9"/>
    <col min="14068" max="14069" width="13.44140625" style="9" customWidth="1"/>
    <col min="14070" max="14070" width="9.6640625" style="9"/>
    <col min="14071" max="14071" width="13.88671875" style="9" customWidth="1"/>
    <col min="14072" max="14072" width="10.6640625" style="9" customWidth="1"/>
    <col min="14073" max="14073" width="17.33203125" style="9" customWidth="1"/>
    <col min="14074" max="14075" width="12.6640625" style="9" customWidth="1"/>
    <col min="14076" max="14076" width="11.21875" style="9" customWidth="1"/>
    <col min="14077" max="14077" width="18.33203125" style="9" customWidth="1"/>
    <col min="14078" max="14078" width="12.88671875" style="9" customWidth="1"/>
    <col min="14079" max="14080" width="13.21875" style="9" customWidth="1"/>
    <col min="14081" max="14081" width="10.88671875" style="9" customWidth="1"/>
    <col min="14082" max="14082" width="11.109375" style="9" customWidth="1"/>
    <col min="14083" max="14083" width="15.21875" style="9" customWidth="1"/>
    <col min="14084" max="14084" width="9.6640625" style="9"/>
    <col min="14085" max="14085" width="11" style="9" customWidth="1"/>
    <col min="14086" max="14086" width="10.77734375" style="9" customWidth="1"/>
    <col min="14087" max="14087" width="11.44140625" style="9" customWidth="1"/>
    <col min="14088" max="14088" width="4" style="9" customWidth="1"/>
    <col min="14089" max="14279" width="9.6640625" style="9"/>
    <col min="14280" max="14280" width="6.44140625" style="9" customWidth="1"/>
    <col min="14281" max="14281" width="13.88671875" style="9" customWidth="1"/>
    <col min="14282" max="14282" width="11.88671875" style="9" customWidth="1"/>
    <col min="14283" max="14285" width="9.6640625" style="9"/>
    <col min="14286" max="14286" width="15.44140625" style="9" customWidth="1"/>
    <col min="14287" max="14287" width="16.21875" style="9" customWidth="1"/>
    <col min="14288" max="14299" width="9.6640625" style="9"/>
    <col min="14300" max="14300" width="12" style="9" customWidth="1"/>
    <col min="14301" max="14301" width="12.77734375" style="9" customWidth="1"/>
    <col min="14302" max="14302" width="11.109375" style="9" customWidth="1"/>
    <col min="14303" max="14303" width="12" style="9" customWidth="1"/>
    <col min="14304" max="14304" width="9.6640625" style="9"/>
    <col min="14305" max="14305" width="15.33203125" style="9" customWidth="1"/>
    <col min="14306" max="14306" width="15.21875" style="9" customWidth="1"/>
    <col min="14307" max="14307" width="21.44140625" style="9" customWidth="1"/>
    <col min="14308" max="14323" width="9.6640625" style="9"/>
    <col min="14324" max="14325" width="13.44140625" style="9" customWidth="1"/>
    <col min="14326" max="14326" width="9.6640625" style="9"/>
    <col min="14327" max="14327" width="13.88671875" style="9" customWidth="1"/>
    <col min="14328" max="14328" width="10.6640625" style="9" customWidth="1"/>
    <col min="14329" max="14329" width="17.33203125" style="9" customWidth="1"/>
    <col min="14330" max="14331" width="12.6640625" style="9" customWidth="1"/>
    <col min="14332" max="14332" width="11.21875" style="9" customWidth="1"/>
    <col min="14333" max="14333" width="18.33203125" style="9" customWidth="1"/>
    <col min="14334" max="14334" width="12.88671875" style="9" customWidth="1"/>
    <col min="14335" max="14336" width="13.21875" style="9" customWidth="1"/>
    <col min="14337" max="14337" width="10.88671875" style="9" customWidth="1"/>
    <col min="14338" max="14338" width="11.109375" style="9" customWidth="1"/>
    <col min="14339" max="14339" width="15.21875" style="9" customWidth="1"/>
    <col min="14340" max="14340" width="9.6640625" style="9"/>
    <col min="14341" max="14341" width="11" style="9" customWidth="1"/>
    <col min="14342" max="14342" width="10.77734375" style="9" customWidth="1"/>
    <col min="14343" max="14343" width="11.44140625" style="9" customWidth="1"/>
    <col min="14344" max="14344" width="4" style="9" customWidth="1"/>
    <col min="14345" max="14535" width="9.6640625" style="9"/>
    <col min="14536" max="14536" width="6.44140625" style="9" customWidth="1"/>
    <col min="14537" max="14537" width="13.88671875" style="9" customWidth="1"/>
    <col min="14538" max="14538" width="11.88671875" style="9" customWidth="1"/>
    <col min="14539" max="14541" width="9.6640625" style="9"/>
    <col min="14542" max="14542" width="15.44140625" style="9" customWidth="1"/>
    <col min="14543" max="14543" width="16.21875" style="9" customWidth="1"/>
    <col min="14544" max="14555" width="9.6640625" style="9"/>
    <col min="14556" max="14556" width="12" style="9" customWidth="1"/>
    <col min="14557" max="14557" width="12.77734375" style="9" customWidth="1"/>
    <col min="14558" max="14558" width="11.109375" style="9" customWidth="1"/>
    <col min="14559" max="14559" width="12" style="9" customWidth="1"/>
    <col min="14560" max="14560" width="9.6640625" style="9"/>
    <col min="14561" max="14561" width="15.33203125" style="9" customWidth="1"/>
    <col min="14562" max="14562" width="15.21875" style="9" customWidth="1"/>
    <col min="14563" max="14563" width="21.44140625" style="9" customWidth="1"/>
    <col min="14564" max="14579" width="9.6640625" style="9"/>
    <col min="14580" max="14581" width="13.44140625" style="9" customWidth="1"/>
    <col min="14582" max="14582" width="9.6640625" style="9"/>
    <col min="14583" max="14583" width="13.88671875" style="9" customWidth="1"/>
    <col min="14584" max="14584" width="10.6640625" style="9" customWidth="1"/>
    <col min="14585" max="14585" width="17.33203125" style="9" customWidth="1"/>
    <col min="14586" max="14587" width="12.6640625" style="9" customWidth="1"/>
    <col min="14588" max="14588" width="11.21875" style="9" customWidth="1"/>
    <col min="14589" max="14589" width="18.33203125" style="9" customWidth="1"/>
    <col min="14590" max="14590" width="12.88671875" style="9" customWidth="1"/>
    <col min="14591" max="14592" width="13.21875" style="9" customWidth="1"/>
    <col min="14593" max="14593" width="10.88671875" style="9" customWidth="1"/>
    <col min="14594" max="14594" width="11.109375" style="9" customWidth="1"/>
    <col min="14595" max="14595" width="15.21875" style="9" customWidth="1"/>
    <col min="14596" max="14596" width="9.6640625" style="9"/>
    <col min="14597" max="14597" width="11" style="9" customWidth="1"/>
    <col min="14598" max="14598" width="10.77734375" style="9" customWidth="1"/>
    <col min="14599" max="14599" width="11.44140625" style="9" customWidth="1"/>
    <col min="14600" max="14600" width="4" style="9" customWidth="1"/>
    <col min="14601" max="14791" width="9.6640625" style="9"/>
    <col min="14792" max="14792" width="6.44140625" style="9" customWidth="1"/>
    <col min="14793" max="14793" width="13.88671875" style="9" customWidth="1"/>
    <col min="14794" max="14794" width="11.88671875" style="9" customWidth="1"/>
    <col min="14795" max="14797" width="9.6640625" style="9"/>
    <col min="14798" max="14798" width="15.44140625" style="9" customWidth="1"/>
    <col min="14799" max="14799" width="16.21875" style="9" customWidth="1"/>
    <col min="14800" max="14811" width="9.6640625" style="9"/>
    <col min="14812" max="14812" width="12" style="9" customWidth="1"/>
    <col min="14813" max="14813" width="12.77734375" style="9" customWidth="1"/>
    <col min="14814" max="14814" width="11.109375" style="9" customWidth="1"/>
    <col min="14815" max="14815" width="12" style="9" customWidth="1"/>
    <col min="14816" max="14816" width="9.6640625" style="9"/>
    <col min="14817" max="14817" width="15.33203125" style="9" customWidth="1"/>
    <col min="14818" max="14818" width="15.21875" style="9" customWidth="1"/>
    <col min="14819" max="14819" width="21.44140625" style="9" customWidth="1"/>
    <col min="14820" max="14835" width="9.6640625" style="9"/>
    <col min="14836" max="14837" width="13.44140625" style="9" customWidth="1"/>
    <col min="14838" max="14838" width="9.6640625" style="9"/>
    <col min="14839" max="14839" width="13.88671875" style="9" customWidth="1"/>
    <col min="14840" max="14840" width="10.6640625" style="9" customWidth="1"/>
    <col min="14841" max="14841" width="17.33203125" style="9" customWidth="1"/>
    <col min="14842" max="14843" width="12.6640625" style="9" customWidth="1"/>
    <col min="14844" max="14844" width="11.21875" style="9" customWidth="1"/>
    <col min="14845" max="14845" width="18.33203125" style="9" customWidth="1"/>
    <col min="14846" max="14846" width="12.88671875" style="9" customWidth="1"/>
    <col min="14847" max="14848" width="13.21875" style="9" customWidth="1"/>
    <col min="14849" max="14849" width="10.88671875" style="9" customWidth="1"/>
    <col min="14850" max="14850" width="11.109375" style="9" customWidth="1"/>
    <col min="14851" max="14851" width="15.21875" style="9" customWidth="1"/>
    <col min="14852" max="14852" width="9.6640625" style="9"/>
    <col min="14853" max="14853" width="11" style="9" customWidth="1"/>
    <col min="14854" max="14854" width="10.77734375" style="9" customWidth="1"/>
    <col min="14855" max="14855" width="11.44140625" style="9" customWidth="1"/>
    <col min="14856" max="14856" width="4" style="9" customWidth="1"/>
    <col min="14857" max="15047" width="9.6640625" style="9"/>
    <col min="15048" max="15048" width="6.44140625" style="9" customWidth="1"/>
    <col min="15049" max="15049" width="13.88671875" style="9" customWidth="1"/>
    <col min="15050" max="15050" width="11.88671875" style="9" customWidth="1"/>
    <col min="15051" max="15053" width="9.6640625" style="9"/>
    <col min="15054" max="15054" width="15.44140625" style="9" customWidth="1"/>
    <col min="15055" max="15055" width="16.21875" style="9" customWidth="1"/>
    <col min="15056" max="15067" width="9.6640625" style="9"/>
    <col min="15068" max="15068" width="12" style="9" customWidth="1"/>
    <col min="15069" max="15069" width="12.77734375" style="9" customWidth="1"/>
    <col min="15070" max="15070" width="11.109375" style="9" customWidth="1"/>
    <col min="15071" max="15071" width="12" style="9" customWidth="1"/>
    <col min="15072" max="15072" width="9.6640625" style="9"/>
    <col min="15073" max="15073" width="15.33203125" style="9" customWidth="1"/>
    <col min="15074" max="15074" width="15.21875" style="9" customWidth="1"/>
    <col min="15075" max="15075" width="21.44140625" style="9" customWidth="1"/>
    <col min="15076" max="15091" width="9.6640625" style="9"/>
    <col min="15092" max="15093" width="13.44140625" style="9" customWidth="1"/>
    <col min="15094" max="15094" width="9.6640625" style="9"/>
    <col min="15095" max="15095" width="13.88671875" style="9" customWidth="1"/>
    <col min="15096" max="15096" width="10.6640625" style="9" customWidth="1"/>
    <col min="15097" max="15097" width="17.33203125" style="9" customWidth="1"/>
    <col min="15098" max="15099" width="12.6640625" style="9" customWidth="1"/>
    <col min="15100" max="15100" width="11.21875" style="9" customWidth="1"/>
    <col min="15101" max="15101" width="18.33203125" style="9" customWidth="1"/>
    <col min="15102" max="15102" width="12.88671875" style="9" customWidth="1"/>
    <col min="15103" max="15104" width="13.21875" style="9" customWidth="1"/>
    <col min="15105" max="15105" width="10.88671875" style="9" customWidth="1"/>
    <col min="15106" max="15106" width="11.109375" style="9" customWidth="1"/>
    <col min="15107" max="15107" width="15.21875" style="9" customWidth="1"/>
    <col min="15108" max="15108" width="9.6640625" style="9"/>
    <col min="15109" max="15109" width="11" style="9" customWidth="1"/>
    <col min="15110" max="15110" width="10.77734375" style="9" customWidth="1"/>
    <col min="15111" max="15111" width="11.44140625" style="9" customWidth="1"/>
    <col min="15112" max="15112" width="4" style="9" customWidth="1"/>
    <col min="15113" max="15303" width="9.6640625" style="9"/>
    <col min="15304" max="15304" width="6.44140625" style="9" customWidth="1"/>
    <col min="15305" max="15305" width="13.88671875" style="9" customWidth="1"/>
    <col min="15306" max="15306" width="11.88671875" style="9" customWidth="1"/>
    <col min="15307" max="15309" width="9.6640625" style="9"/>
    <col min="15310" max="15310" width="15.44140625" style="9" customWidth="1"/>
    <col min="15311" max="15311" width="16.21875" style="9" customWidth="1"/>
    <col min="15312" max="15323" width="9.6640625" style="9"/>
    <col min="15324" max="15324" width="12" style="9" customWidth="1"/>
    <col min="15325" max="15325" width="12.77734375" style="9" customWidth="1"/>
    <col min="15326" max="15326" width="11.109375" style="9" customWidth="1"/>
    <col min="15327" max="15327" width="12" style="9" customWidth="1"/>
    <col min="15328" max="15328" width="9.6640625" style="9"/>
    <col min="15329" max="15329" width="15.33203125" style="9" customWidth="1"/>
    <col min="15330" max="15330" width="15.21875" style="9" customWidth="1"/>
    <col min="15331" max="15331" width="21.44140625" style="9" customWidth="1"/>
    <col min="15332" max="15347" width="9.6640625" style="9"/>
    <col min="15348" max="15349" width="13.44140625" style="9" customWidth="1"/>
    <col min="15350" max="15350" width="9.6640625" style="9"/>
    <col min="15351" max="15351" width="13.88671875" style="9" customWidth="1"/>
    <col min="15352" max="15352" width="10.6640625" style="9" customWidth="1"/>
    <col min="15353" max="15353" width="17.33203125" style="9" customWidth="1"/>
    <col min="15354" max="15355" width="12.6640625" style="9" customWidth="1"/>
    <col min="15356" max="15356" width="11.21875" style="9" customWidth="1"/>
    <col min="15357" max="15357" width="18.33203125" style="9" customWidth="1"/>
    <col min="15358" max="15358" width="12.88671875" style="9" customWidth="1"/>
    <col min="15359" max="15360" width="13.21875" style="9" customWidth="1"/>
    <col min="15361" max="15361" width="10.88671875" style="9" customWidth="1"/>
    <col min="15362" max="15362" width="11.109375" style="9" customWidth="1"/>
    <col min="15363" max="15363" width="15.21875" style="9" customWidth="1"/>
    <col min="15364" max="15364" width="9.6640625" style="9"/>
    <col min="15365" max="15365" width="11" style="9" customWidth="1"/>
    <col min="15366" max="15366" width="10.77734375" style="9" customWidth="1"/>
    <col min="15367" max="15367" width="11.44140625" style="9" customWidth="1"/>
    <col min="15368" max="15368" width="4" style="9" customWidth="1"/>
    <col min="15369" max="15559" width="9.6640625" style="9"/>
    <col min="15560" max="15560" width="6.44140625" style="9" customWidth="1"/>
    <col min="15561" max="15561" width="13.88671875" style="9" customWidth="1"/>
    <col min="15562" max="15562" width="11.88671875" style="9" customWidth="1"/>
    <col min="15563" max="15565" width="9.6640625" style="9"/>
    <col min="15566" max="15566" width="15.44140625" style="9" customWidth="1"/>
    <col min="15567" max="15567" width="16.21875" style="9" customWidth="1"/>
    <col min="15568" max="15579" width="9.6640625" style="9"/>
    <col min="15580" max="15580" width="12" style="9" customWidth="1"/>
    <col min="15581" max="15581" width="12.77734375" style="9" customWidth="1"/>
    <col min="15582" max="15582" width="11.109375" style="9" customWidth="1"/>
    <col min="15583" max="15583" width="12" style="9" customWidth="1"/>
    <col min="15584" max="15584" width="9.6640625" style="9"/>
    <col min="15585" max="15585" width="15.33203125" style="9" customWidth="1"/>
    <col min="15586" max="15586" width="15.21875" style="9" customWidth="1"/>
    <col min="15587" max="15587" width="21.44140625" style="9" customWidth="1"/>
    <col min="15588" max="15603" width="9.6640625" style="9"/>
    <col min="15604" max="15605" width="13.44140625" style="9" customWidth="1"/>
    <col min="15606" max="15606" width="9.6640625" style="9"/>
    <col min="15607" max="15607" width="13.88671875" style="9" customWidth="1"/>
    <col min="15608" max="15608" width="10.6640625" style="9" customWidth="1"/>
    <col min="15609" max="15609" width="17.33203125" style="9" customWidth="1"/>
    <col min="15610" max="15611" width="12.6640625" style="9" customWidth="1"/>
    <col min="15612" max="15612" width="11.21875" style="9" customWidth="1"/>
    <col min="15613" max="15613" width="18.33203125" style="9" customWidth="1"/>
    <col min="15614" max="15614" width="12.88671875" style="9" customWidth="1"/>
    <col min="15615" max="15616" width="13.21875" style="9" customWidth="1"/>
    <col min="15617" max="15617" width="10.88671875" style="9" customWidth="1"/>
    <col min="15618" max="15618" width="11.109375" style="9" customWidth="1"/>
    <col min="15619" max="15619" width="15.21875" style="9" customWidth="1"/>
    <col min="15620" max="15620" width="9.6640625" style="9"/>
    <col min="15621" max="15621" width="11" style="9" customWidth="1"/>
    <col min="15622" max="15622" width="10.77734375" style="9" customWidth="1"/>
    <col min="15623" max="15623" width="11.44140625" style="9" customWidth="1"/>
    <col min="15624" max="15624" width="4" style="9" customWidth="1"/>
    <col min="15625" max="15815" width="9.6640625" style="9"/>
    <col min="15816" max="15816" width="6.44140625" style="9" customWidth="1"/>
    <col min="15817" max="15817" width="13.88671875" style="9" customWidth="1"/>
    <col min="15818" max="15818" width="11.88671875" style="9" customWidth="1"/>
    <col min="15819" max="15821" width="9.6640625" style="9"/>
    <col min="15822" max="15822" width="15.44140625" style="9" customWidth="1"/>
    <col min="15823" max="15823" width="16.21875" style="9" customWidth="1"/>
    <col min="15824" max="15835" width="9.6640625" style="9"/>
    <col min="15836" max="15836" width="12" style="9" customWidth="1"/>
    <col min="15837" max="15837" width="12.77734375" style="9" customWidth="1"/>
    <col min="15838" max="15838" width="11.109375" style="9" customWidth="1"/>
    <col min="15839" max="15839" width="12" style="9" customWidth="1"/>
    <col min="15840" max="15840" width="9.6640625" style="9"/>
    <col min="15841" max="15841" width="15.33203125" style="9" customWidth="1"/>
    <col min="15842" max="15842" width="15.21875" style="9" customWidth="1"/>
    <col min="15843" max="15843" width="21.44140625" style="9" customWidth="1"/>
    <col min="15844" max="15859" width="9.6640625" style="9"/>
    <col min="15860" max="15861" width="13.44140625" style="9" customWidth="1"/>
    <col min="15862" max="15862" width="9.6640625" style="9"/>
    <col min="15863" max="15863" width="13.88671875" style="9" customWidth="1"/>
    <col min="15864" max="15864" width="10.6640625" style="9" customWidth="1"/>
    <col min="15865" max="15865" width="17.33203125" style="9" customWidth="1"/>
    <col min="15866" max="15867" width="12.6640625" style="9" customWidth="1"/>
    <col min="15868" max="15868" width="11.21875" style="9" customWidth="1"/>
    <col min="15869" max="15869" width="18.33203125" style="9" customWidth="1"/>
    <col min="15870" max="15870" width="12.88671875" style="9" customWidth="1"/>
    <col min="15871" max="15872" width="13.21875" style="9" customWidth="1"/>
    <col min="15873" max="15873" width="10.88671875" style="9" customWidth="1"/>
    <col min="15874" max="15874" width="11.109375" style="9" customWidth="1"/>
    <col min="15875" max="15875" width="15.21875" style="9" customWidth="1"/>
    <col min="15876" max="15876" width="9.6640625" style="9"/>
    <col min="15877" max="15877" width="11" style="9" customWidth="1"/>
    <col min="15878" max="15878" width="10.77734375" style="9" customWidth="1"/>
    <col min="15879" max="15879" width="11.44140625" style="9" customWidth="1"/>
    <col min="15880" max="15880" width="4" style="9" customWidth="1"/>
    <col min="15881" max="16071" width="9.6640625" style="9"/>
    <col min="16072" max="16072" width="6.44140625" style="9" customWidth="1"/>
    <col min="16073" max="16073" width="13.88671875" style="9" customWidth="1"/>
    <col min="16074" max="16074" width="11.88671875" style="9" customWidth="1"/>
    <col min="16075" max="16077" width="9.6640625" style="9"/>
    <col min="16078" max="16078" width="15.44140625" style="9" customWidth="1"/>
    <col min="16079" max="16079" width="16.21875" style="9" customWidth="1"/>
    <col min="16080" max="16091" width="9.6640625" style="9"/>
    <col min="16092" max="16092" width="12" style="9" customWidth="1"/>
    <col min="16093" max="16093" width="12.77734375" style="9" customWidth="1"/>
    <col min="16094" max="16094" width="11.109375" style="9" customWidth="1"/>
    <col min="16095" max="16095" width="12" style="9" customWidth="1"/>
    <col min="16096" max="16096" width="9.6640625" style="9"/>
    <col min="16097" max="16097" width="15.33203125" style="9" customWidth="1"/>
    <col min="16098" max="16098" width="15.21875" style="9" customWidth="1"/>
    <col min="16099" max="16099" width="21.44140625" style="9" customWidth="1"/>
    <col min="16100" max="16115" width="9.6640625" style="9"/>
    <col min="16116" max="16117" width="13.44140625" style="9" customWidth="1"/>
    <col min="16118" max="16118" width="9.6640625" style="9"/>
    <col min="16119" max="16119" width="13.88671875" style="9" customWidth="1"/>
    <col min="16120" max="16120" width="10.6640625" style="9" customWidth="1"/>
    <col min="16121" max="16121" width="17.33203125" style="9" customWidth="1"/>
    <col min="16122" max="16123" width="12.6640625" style="9" customWidth="1"/>
    <col min="16124" max="16124" width="11.21875" style="9" customWidth="1"/>
    <col min="16125" max="16125" width="18.33203125" style="9" customWidth="1"/>
    <col min="16126" max="16126" width="12.88671875" style="9" customWidth="1"/>
    <col min="16127" max="16128" width="13.21875" style="9" customWidth="1"/>
    <col min="16129" max="16129" width="10.88671875" style="9" customWidth="1"/>
    <col min="16130" max="16130" width="11.109375" style="9" customWidth="1"/>
    <col min="16131" max="16131" width="15.21875" style="9" customWidth="1"/>
    <col min="16132" max="16132" width="9.6640625" style="9"/>
    <col min="16133" max="16133" width="11" style="9" customWidth="1"/>
    <col min="16134" max="16134" width="10.77734375" style="9" customWidth="1"/>
    <col min="16135" max="16135" width="11.44140625" style="9" customWidth="1"/>
    <col min="16136" max="16136" width="4" style="9" customWidth="1"/>
    <col min="16137" max="16384" width="9.6640625" style="9"/>
  </cols>
  <sheetData>
    <row r="1" spans="1:144" ht="13.2" x14ac:dyDescent="0.2">
      <c r="A1" s="8" t="s">
        <v>75</v>
      </c>
    </row>
    <row r="2" spans="1:144" x14ac:dyDescent="0.2">
      <c r="C2" s="11" t="s">
        <v>76</v>
      </c>
      <c r="BG2" s="11"/>
    </row>
    <row r="3" spans="1:144" s="10" customFormat="1" x14ac:dyDescent="0.2">
      <c r="A3" s="12"/>
      <c r="B3" s="13" t="s">
        <v>77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</row>
    <row r="4" spans="1:144" s="10" customFormat="1" x14ac:dyDescent="0.2">
      <c r="A4" s="12"/>
      <c r="B4" s="15" t="s">
        <v>78</v>
      </c>
      <c r="C4" s="14" t="s">
        <v>527</v>
      </c>
      <c r="D4" s="14" t="s">
        <v>527</v>
      </c>
      <c r="E4" s="14" t="s">
        <v>527</v>
      </c>
      <c r="F4" s="14" t="s">
        <v>527</v>
      </c>
      <c r="G4" s="14" t="s">
        <v>527</v>
      </c>
      <c r="H4" s="14" t="s">
        <v>527</v>
      </c>
      <c r="I4" s="14" t="s">
        <v>527</v>
      </c>
      <c r="J4" s="14" t="s">
        <v>527</v>
      </c>
      <c r="K4" s="14" t="s">
        <v>527</v>
      </c>
      <c r="L4" s="14" t="s">
        <v>527</v>
      </c>
      <c r="M4" s="14" t="s">
        <v>527</v>
      </c>
      <c r="N4" s="14" t="s">
        <v>527</v>
      </c>
      <c r="O4" s="14" t="s">
        <v>527</v>
      </c>
      <c r="P4" s="14" t="s">
        <v>527</v>
      </c>
      <c r="Q4" s="14" t="s">
        <v>527</v>
      </c>
      <c r="R4" s="14" t="s">
        <v>527</v>
      </c>
      <c r="S4" s="14" t="s">
        <v>527</v>
      </c>
      <c r="T4" s="14" t="s">
        <v>527</v>
      </c>
      <c r="U4" s="14" t="s">
        <v>527</v>
      </c>
      <c r="V4" s="14" t="s">
        <v>527</v>
      </c>
      <c r="W4" s="14" t="s">
        <v>527</v>
      </c>
      <c r="X4" s="14" t="s">
        <v>527</v>
      </c>
      <c r="Y4" s="14" t="s">
        <v>527</v>
      </c>
      <c r="Z4" s="14" t="s">
        <v>527</v>
      </c>
      <c r="AA4" s="14" t="s">
        <v>527</v>
      </c>
      <c r="AB4" s="14" t="s">
        <v>527</v>
      </c>
      <c r="AC4" s="14" t="s">
        <v>527</v>
      </c>
      <c r="AD4" s="14" t="s">
        <v>527</v>
      </c>
      <c r="AE4" s="14" t="s">
        <v>527</v>
      </c>
      <c r="AF4" s="14" t="s">
        <v>527</v>
      </c>
      <c r="AG4" s="14" t="s">
        <v>527</v>
      </c>
      <c r="AH4" s="14" t="s">
        <v>527</v>
      </c>
      <c r="AI4" s="14" t="s">
        <v>527</v>
      </c>
      <c r="AJ4" s="14" t="s">
        <v>527</v>
      </c>
      <c r="AK4" s="14" t="s">
        <v>527</v>
      </c>
      <c r="AL4" s="14" t="s">
        <v>527</v>
      </c>
      <c r="AM4" s="14" t="s">
        <v>527</v>
      </c>
      <c r="AN4" s="14" t="s">
        <v>527</v>
      </c>
      <c r="AO4" s="14" t="s">
        <v>527</v>
      </c>
      <c r="AP4" s="14" t="s">
        <v>527</v>
      </c>
      <c r="AQ4" s="14" t="s">
        <v>527</v>
      </c>
      <c r="AR4" s="14" t="s">
        <v>527</v>
      </c>
      <c r="AS4" s="14" t="s">
        <v>527</v>
      </c>
      <c r="AT4" s="14" t="s">
        <v>527</v>
      </c>
      <c r="AU4" s="14" t="s">
        <v>527</v>
      </c>
      <c r="AV4" s="14" t="s">
        <v>527</v>
      </c>
      <c r="AW4" s="14" t="s">
        <v>527</v>
      </c>
      <c r="AX4" s="14" t="s">
        <v>527</v>
      </c>
      <c r="AY4" s="14" t="s">
        <v>527</v>
      </c>
      <c r="AZ4" s="14" t="s">
        <v>527</v>
      </c>
      <c r="BA4" s="14" t="s">
        <v>527</v>
      </c>
      <c r="BB4" s="14" t="s">
        <v>527</v>
      </c>
      <c r="BC4" s="14" t="s">
        <v>527</v>
      </c>
      <c r="BD4" s="14" t="s">
        <v>527</v>
      </c>
      <c r="BE4" s="14" t="s">
        <v>527</v>
      </c>
      <c r="BF4" s="14" t="s">
        <v>527</v>
      </c>
      <c r="BG4" s="14" t="s">
        <v>527</v>
      </c>
      <c r="BH4" s="14" t="s">
        <v>527</v>
      </c>
      <c r="BI4" s="14" t="s">
        <v>527</v>
      </c>
      <c r="BJ4" s="14" t="s">
        <v>527</v>
      </c>
      <c r="BK4" s="14" t="s">
        <v>574</v>
      </c>
      <c r="BL4" s="14" t="s">
        <v>527</v>
      </c>
      <c r="BM4" s="14" t="s">
        <v>574</v>
      </c>
      <c r="BN4" s="14" t="s">
        <v>527</v>
      </c>
      <c r="BO4" s="14" t="s">
        <v>527</v>
      </c>
      <c r="BP4" s="14" t="s">
        <v>527</v>
      </c>
      <c r="BQ4" s="14" t="s">
        <v>527</v>
      </c>
      <c r="BR4" s="14" t="s">
        <v>527</v>
      </c>
      <c r="BS4" s="14" t="s">
        <v>527</v>
      </c>
      <c r="BT4" s="14" t="s">
        <v>527</v>
      </c>
      <c r="BU4" s="14" t="s">
        <v>527</v>
      </c>
      <c r="BV4" s="14" t="s">
        <v>527</v>
      </c>
      <c r="BW4" s="14" t="s">
        <v>527</v>
      </c>
      <c r="BX4" s="14" t="s">
        <v>527</v>
      </c>
      <c r="BY4" s="14" t="s">
        <v>527</v>
      </c>
      <c r="BZ4" s="14" t="s">
        <v>527</v>
      </c>
      <c r="CA4" s="14" t="s">
        <v>527</v>
      </c>
      <c r="CB4" s="14" t="s">
        <v>527</v>
      </c>
      <c r="CC4" s="14" t="s">
        <v>527</v>
      </c>
      <c r="CD4" s="14" t="s">
        <v>527</v>
      </c>
      <c r="CE4" s="14" t="s">
        <v>527</v>
      </c>
      <c r="CF4" s="14" t="s">
        <v>527</v>
      </c>
      <c r="CG4" s="14" t="s">
        <v>527</v>
      </c>
      <c r="CH4" s="14" t="s">
        <v>527</v>
      </c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</row>
    <row r="5" spans="1:144" s="10" customFormat="1" x14ac:dyDescent="0.2">
      <c r="A5" s="12"/>
      <c r="B5" s="13" t="s">
        <v>79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</row>
    <row r="6" spans="1:144" s="18" customFormat="1" ht="20.399999999999999" x14ac:dyDescent="0.2">
      <c r="A6" s="16"/>
      <c r="B6" s="13" t="s">
        <v>80</v>
      </c>
      <c r="C6" s="100"/>
      <c r="D6" s="100"/>
      <c r="E6" s="100"/>
      <c r="F6" s="100"/>
      <c r="G6" s="100"/>
      <c r="H6" s="100"/>
      <c r="I6" s="100"/>
      <c r="J6" s="100" t="s">
        <v>523</v>
      </c>
      <c r="K6" s="100" t="s">
        <v>524</v>
      </c>
      <c r="L6" s="100" t="s">
        <v>523</v>
      </c>
      <c r="M6" s="100" t="s">
        <v>523</v>
      </c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 t="s">
        <v>519</v>
      </c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</row>
    <row r="7" spans="1:144" s="27" customFormat="1" ht="38.4" customHeight="1" x14ac:dyDescent="0.2">
      <c r="A7" s="26"/>
      <c r="B7" s="13" t="s">
        <v>81</v>
      </c>
      <c r="C7" s="20" t="s">
        <v>295</v>
      </c>
      <c r="D7" s="20" t="s">
        <v>296</v>
      </c>
      <c r="E7" s="20" t="s">
        <v>297</v>
      </c>
      <c r="F7" s="20" t="s">
        <v>298</v>
      </c>
      <c r="G7" s="20" t="s">
        <v>299</v>
      </c>
      <c r="H7" s="20" t="s">
        <v>300</v>
      </c>
      <c r="I7" s="20" t="s">
        <v>301</v>
      </c>
      <c r="J7" s="20" t="s">
        <v>60</v>
      </c>
      <c r="K7" s="20" t="s">
        <v>525</v>
      </c>
      <c r="L7" s="20" t="s">
        <v>38</v>
      </c>
      <c r="M7" s="20" t="s">
        <v>526</v>
      </c>
      <c r="N7" s="20" t="s">
        <v>60</v>
      </c>
      <c r="O7" s="20" t="s">
        <v>642</v>
      </c>
      <c r="P7" s="20" t="s">
        <v>38</v>
      </c>
      <c r="Q7" s="20" t="s">
        <v>483</v>
      </c>
      <c r="R7" s="20" t="s">
        <v>53</v>
      </c>
      <c r="S7" s="20" t="s">
        <v>643</v>
      </c>
      <c r="T7" s="20" t="s">
        <v>516</v>
      </c>
      <c r="U7" s="20" t="s">
        <v>302</v>
      </c>
      <c r="V7" s="20" t="s">
        <v>303</v>
      </c>
      <c r="W7" s="20" t="s">
        <v>159</v>
      </c>
      <c r="X7" s="20" t="s">
        <v>304</v>
      </c>
      <c r="Y7" s="20" t="s">
        <v>305</v>
      </c>
      <c r="Z7" s="20" t="s">
        <v>317</v>
      </c>
      <c r="AA7" s="20" t="s">
        <v>318</v>
      </c>
      <c r="AB7" s="20" t="s">
        <v>313</v>
      </c>
      <c r="AC7" s="20" t="s">
        <v>314</v>
      </c>
      <c r="AD7" s="20" t="s">
        <v>315</v>
      </c>
      <c r="AE7" s="20" t="s">
        <v>316</v>
      </c>
      <c r="AF7" s="20" t="s">
        <v>319</v>
      </c>
      <c r="AG7" s="20" t="s">
        <v>320</v>
      </c>
      <c r="AH7" s="20" t="s">
        <v>306</v>
      </c>
      <c r="AI7" s="20" t="s">
        <v>321</v>
      </c>
      <c r="AJ7" s="20" t="s">
        <v>322</v>
      </c>
      <c r="AK7" s="20" t="s">
        <v>307</v>
      </c>
      <c r="AL7" s="20" t="s">
        <v>323</v>
      </c>
      <c r="AM7" s="20" t="s">
        <v>324</v>
      </c>
      <c r="AN7" s="20" t="s">
        <v>308</v>
      </c>
      <c r="AO7" s="20" t="s">
        <v>326</v>
      </c>
      <c r="AP7" s="20" t="s">
        <v>309</v>
      </c>
      <c r="AQ7" s="20" t="s">
        <v>325</v>
      </c>
      <c r="AR7" s="20" t="s">
        <v>328</v>
      </c>
      <c r="AS7" s="20" t="s">
        <v>329</v>
      </c>
      <c r="AT7" s="20" t="s">
        <v>330</v>
      </c>
      <c r="AU7" s="20" t="s">
        <v>331</v>
      </c>
      <c r="AV7" s="20" t="s">
        <v>332</v>
      </c>
      <c r="AW7" s="20" t="s">
        <v>250</v>
      </c>
      <c r="AX7" s="20" t="s">
        <v>333</v>
      </c>
      <c r="AY7" s="20" t="s">
        <v>644</v>
      </c>
      <c r="AZ7" s="20" t="s">
        <v>645</v>
      </c>
      <c r="BA7" s="20" t="s">
        <v>310</v>
      </c>
      <c r="BB7" s="20" t="s">
        <v>334</v>
      </c>
      <c r="BC7" s="20" t="s">
        <v>335</v>
      </c>
      <c r="BD7" s="20" t="s">
        <v>336</v>
      </c>
      <c r="BE7" s="20" t="s">
        <v>646</v>
      </c>
      <c r="BF7" s="20" t="s">
        <v>647</v>
      </c>
      <c r="BG7" s="20" t="s">
        <v>648</v>
      </c>
      <c r="BH7" s="20" t="s">
        <v>311</v>
      </c>
      <c r="BI7" s="20" t="s">
        <v>312</v>
      </c>
      <c r="BJ7" s="20" t="s">
        <v>337</v>
      </c>
      <c r="BK7" s="20" t="s">
        <v>338</v>
      </c>
      <c r="BL7" s="20" t="s">
        <v>338</v>
      </c>
      <c r="BM7" s="20" t="s">
        <v>134</v>
      </c>
      <c r="BN7" s="20" t="s">
        <v>134</v>
      </c>
      <c r="BO7" s="20" t="s">
        <v>40</v>
      </c>
      <c r="BP7" s="20" t="s">
        <v>339</v>
      </c>
      <c r="BQ7" s="20" t="s">
        <v>340</v>
      </c>
      <c r="BR7" s="20" t="s">
        <v>341</v>
      </c>
      <c r="BS7" s="20" t="s">
        <v>342</v>
      </c>
      <c r="BT7" s="20" t="s">
        <v>343</v>
      </c>
      <c r="BU7" s="20" t="s">
        <v>344</v>
      </c>
      <c r="BV7" s="20" t="s">
        <v>345</v>
      </c>
      <c r="BW7" s="20" t="s">
        <v>353</v>
      </c>
      <c r="BX7" s="20" t="s">
        <v>354</v>
      </c>
      <c r="BY7" s="20" t="s">
        <v>649</v>
      </c>
      <c r="BZ7" s="20" t="s">
        <v>94</v>
      </c>
      <c r="CA7" s="20" t="s">
        <v>352</v>
      </c>
      <c r="CB7" s="20" t="s">
        <v>351</v>
      </c>
      <c r="CC7" s="20" t="s">
        <v>349</v>
      </c>
      <c r="CD7" s="20" t="s">
        <v>350</v>
      </c>
      <c r="CE7" s="20" t="s">
        <v>348</v>
      </c>
      <c r="CF7" s="20" t="s">
        <v>346</v>
      </c>
      <c r="CG7" s="20" t="s">
        <v>355</v>
      </c>
      <c r="CH7" s="20" t="s">
        <v>347</v>
      </c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</row>
    <row r="8" spans="1:144" x14ac:dyDescent="0.2">
      <c r="A8" s="22" t="s">
        <v>88</v>
      </c>
      <c r="B8" s="23"/>
    </row>
    <row r="9" spans="1:144" x14ac:dyDescent="0.2">
      <c r="A9" s="24" t="s">
        <v>585</v>
      </c>
      <c r="B9" s="23"/>
      <c r="C9" s="25" t="s">
        <v>582</v>
      </c>
      <c r="D9" s="25" t="s">
        <v>582</v>
      </c>
      <c r="E9" s="25" t="s">
        <v>582</v>
      </c>
      <c r="F9" s="25" t="s">
        <v>582</v>
      </c>
      <c r="G9" s="25" t="s">
        <v>582</v>
      </c>
      <c r="H9" s="25" t="s">
        <v>582</v>
      </c>
      <c r="I9" s="25" t="s">
        <v>582</v>
      </c>
      <c r="J9" s="25">
        <v>6.1340366879284316</v>
      </c>
      <c r="K9" s="25">
        <v>4.9993601501514311</v>
      </c>
      <c r="L9" s="25">
        <v>2.5</v>
      </c>
      <c r="M9" s="25">
        <v>5.7142857142857144</v>
      </c>
      <c r="N9" s="25" t="s">
        <v>582</v>
      </c>
      <c r="O9" s="25" t="s">
        <v>582</v>
      </c>
      <c r="P9" s="25" t="s">
        <v>582</v>
      </c>
      <c r="Q9" s="25" t="s">
        <v>582</v>
      </c>
      <c r="R9" s="25" t="s">
        <v>582</v>
      </c>
      <c r="S9" s="25" t="s">
        <v>582</v>
      </c>
      <c r="T9" s="25" t="s">
        <v>582</v>
      </c>
      <c r="U9" s="25" t="s">
        <v>582</v>
      </c>
      <c r="V9" s="25" t="s">
        <v>582</v>
      </c>
      <c r="W9" s="25" t="s">
        <v>582</v>
      </c>
      <c r="X9" s="25" t="s">
        <v>582</v>
      </c>
      <c r="Y9" s="25" t="s">
        <v>582</v>
      </c>
      <c r="Z9" s="25" t="s">
        <v>582</v>
      </c>
      <c r="AA9" s="25" t="s">
        <v>582</v>
      </c>
      <c r="AB9" s="25" t="s">
        <v>582</v>
      </c>
      <c r="AC9" s="25" t="s">
        <v>582</v>
      </c>
      <c r="AD9" s="25" t="s">
        <v>582</v>
      </c>
      <c r="AE9" s="25" t="s">
        <v>582</v>
      </c>
      <c r="AF9" s="25" t="s">
        <v>582</v>
      </c>
      <c r="AG9" s="25" t="s">
        <v>582</v>
      </c>
      <c r="AH9" s="25" t="s">
        <v>582</v>
      </c>
      <c r="AI9" s="25" t="s">
        <v>582</v>
      </c>
      <c r="AJ9" s="25" t="s">
        <v>582</v>
      </c>
      <c r="AK9" s="25" t="s">
        <v>582</v>
      </c>
      <c r="AL9" s="25" t="s">
        <v>582</v>
      </c>
      <c r="AM9" s="25" t="s">
        <v>582</v>
      </c>
      <c r="AN9" s="25" t="s">
        <v>582</v>
      </c>
      <c r="AO9" s="25" t="s">
        <v>582</v>
      </c>
      <c r="AP9" s="25" t="s">
        <v>582</v>
      </c>
      <c r="AQ9" s="25" t="s">
        <v>582</v>
      </c>
      <c r="AR9" s="25" t="s">
        <v>582</v>
      </c>
      <c r="AS9" s="25" t="s">
        <v>582</v>
      </c>
      <c r="AT9" s="25" t="s">
        <v>582</v>
      </c>
      <c r="AU9" s="25" t="s">
        <v>582</v>
      </c>
      <c r="AV9" s="25" t="s">
        <v>582</v>
      </c>
      <c r="AW9" s="25" t="s">
        <v>582</v>
      </c>
      <c r="AX9" s="25" t="s">
        <v>582</v>
      </c>
      <c r="AY9" s="25" t="s">
        <v>582</v>
      </c>
      <c r="AZ9" s="25" t="s">
        <v>582</v>
      </c>
      <c r="BA9" s="25" t="s">
        <v>582</v>
      </c>
      <c r="BB9" s="25" t="s">
        <v>582</v>
      </c>
      <c r="BC9" s="25" t="s">
        <v>582</v>
      </c>
      <c r="BD9" s="25" t="s">
        <v>582</v>
      </c>
      <c r="BE9" s="25" t="s">
        <v>582</v>
      </c>
      <c r="BF9" s="25" t="s">
        <v>582</v>
      </c>
      <c r="BG9" s="25" t="s">
        <v>582</v>
      </c>
      <c r="BH9" s="25" t="s">
        <v>582</v>
      </c>
      <c r="BI9" s="25" t="s">
        <v>582</v>
      </c>
      <c r="BJ9" s="25" t="s">
        <v>582</v>
      </c>
      <c r="BK9" s="25" t="s">
        <v>582</v>
      </c>
      <c r="BL9" s="25" t="s">
        <v>582</v>
      </c>
      <c r="BM9" s="25" t="s">
        <v>582</v>
      </c>
      <c r="BN9" s="25" t="s">
        <v>582</v>
      </c>
      <c r="BO9" s="25" t="s">
        <v>582</v>
      </c>
      <c r="BP9" s="25" t="s">
        <v>582</v>
      </c>
      <c r="BQ9" s="25" t="s">
        <v>582</v>
      </c>
      <c r="BR9" s="25" t="s">
        <v>582</v>
      </c>
      <c r="BS9" s="25" t="s">
        <v>582</v>
      </c>
      <c r="BT9" s="25" t="s">
        <v>582</v>
      </c>
      <c r="BU9" s="25" t="s">
        <v>582</v>
      </c>
      <c r="BV9" s="25" t="s">
        <v>582</v>
      </c>
      <c r="BW9" s="25" t="s">
        <v>582</v>
      </c>
      <c r="BX9" s="25" t="s">
        <v>582</v>
      </c>
      <c r="BY9" s="25" t="s">
        <v>582</v>
      </c>
      <c r="BZ9" s="25" t="s">
        <v>582</v>
      </c>
      <c r="CA9" s="25" t="s">
        <v>582</v>
      </c>
      <c r="CB9" s="25" t="s">
        <v>582</v>
      </c>
      <c r="CC9" s="25" t="s">
        <v>582</v>
      </c>
      <c r="CD9" s="25" t="s">
        <v>582</v>
      </c>
      <c r="CE9" s="25" t="s">
        <v>582</v>
      </c>
      <c r="CF9" s="25" t="s">
        <v>582</v>
      </c>
      <c r="CG9" s="25" t="s">
        <v>582</v>
      </c>
      <c r="CH9" s="25" t="s">
        <v>582</v>
      </c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</row>
    <row r="10" spans="1:144" x14ac:dyDescent="0.2">
      <c r="A10" s="24" t="s">
        <v>586</v>
      </c>
      <c r="B10" s="23"/>
      <c r="C10" s="25"/>
      <c r="D10" s="25"/>
      <c r="E10" s="25"/>
      <c r="F10" s="25"/>
      <c r="G10" s="25"/>
      <c r="H10" s="25"/>
      <c r="I10" s="25"/>
      <c r="J10" s="25"/>
      <c r="K10" s="25">
        <v>1.575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</row>
    <row r="11" spans="1:144" x14ac:dyDescent="0.2">
      <c r="A11" s="24" t="s">
        <v>462</v>
      </c>
      <c r="B11" s="28"/>
      <c r="C11" s="25" t="s">
        <v>582</v>
      </c>
      <c r="D11" s="25" t="s">
        <v>582</v>
      </c>
      <c r="E11" s="25" t="s">
        <v>582</v>
      </c>
      <c r="F11" s="25" t="s">
        <v>582</v>
      </c>
      <c r="G11" s="25" t="s">
        <v>582</v>
      </c>
      <c r="H11" s="25" t="s">
        <v>582</v>
      </c>
      <c r="I11" s="25" t="s">
        <v>582</v>
      </c>
      <c r="J11" s="25"/>
      <c r="K11" s="25" t="s">
        <v>582</v>
      </c>
      <c r="L11" s="25" t="s">
        <v>582</v>
      </c>
      <c r="M11" s="25" t="s">
        <v>582</v>
      </c>
      <c r="N11" s="25" t="s">
        <v>582</v>
      </c>
      <c r="O11" s="25" t="s">
        <v>582</v>
      </c>
      <c r="P11" s="25" t="s">
        <v>582</v>
      </c>
      <c r="Q11" s="25" t="s">
        <v>582</v>
      </c>
      <c r="R11" s="25" t="s">
        <v>582</v>
      </c>
      <c r="S11" s="25" t="s">
        <v>582</v>
      </c>
      <c r="T11" s="25" t="s">
        <v>582</v>
      </c>
      <c r="U11" s="25" t="s">
        <v>582</v>
      </c>
      <c r="V11" s="25" t="s">
        <v>582</v>
      </c>
      <c r="W11" s="25" t="s">
        <v>582</v>
      </c>
      <c r="X11" s="25" t="s">
        <v>582</v>
      </c>
      <c r="Y11" s="25" t="s">
        <v>582</v>
      </c>
      <c r="Z11" s="25" t="s">
        <v>582</v>
      </c>
      <c r="AA11" s="25" t="s">
        <v>582</v>
      </c>
      <c r="AB11" s="25" t="s">
        <v>582</v>
      </c>
      <c r="AC11" s="25" t="s">
        <v>582</v>
      </c>
      <c r="AD11" s="25" t="s">
        <v>582</v>
      </c>
      <c r="AE11" s="25" t="s">
        <v>582</v>
      </c>
      <c r="AF11" s="25" t="s">
        <v>582</v>
      </c>
      <c r="AG11" s="25" t="s">
        <v>582</v>
      </c>
      <c r="AH11" s="25" t="s">
        <v>582</v>
      </c>
      <c r="AI11" s="25" t="s">
        <v>582</v>
      </c>
      <c r="AJ11" s="25" t="s">
        <v>582</v>
      </c>
      <c r="AK11" s="25" t="s">
        <v>582</v>
      </c>
      <c r="AL11" s="25" t="s">
        <v>582</v>
      </c>
      <c r="AM11" s="25" t="s">
        <v>582</v>
      </c>
      <c r="AN11" s="25" t="s">
        <v>582</v>
      </c>
      <c r="AO11" s="25" t="s">
        <v>582</v>
      </c>
      <c r="AP11" s="25" t="s">
        <v>582</v>
      </c>
      <c r="AQ11" s="25" t="s">
        <v>582</v>
      </c>
      <c r="AR11" s="25" t="s">
        <v>582</v>
      </c>
      <c r="AS11" s="25" t="s">
        <v>582</v>
      </c>
      <c r="AT11" s="25" t="s">
        <v>582</v>
      </c>
      <c r="AU11" s="25" t="s">
        <v>582</v>
      </c>
      <c r="AV11" s="25" t="s">
        <v>582</v>
      </c>
      <c r="AW11" s="25" t="s">
        <v>582</v>
      </c>
      <c r="AX11" s="25" t="s">
        <v>582</v>
      </c>
      <c r="AY11" s="25" t="s">
        <v>582</v>
      </c>
      <c r="AZ11" s="25" t="s">
        <v>582</v>
      </c>
      <c r="BA11" s="25" t="s">
        <v>582</v>
      </c>
      <c r="BB11" s="25" t="s">
        <v>582</v>
      </c>
      <c r="BC11" s="25" t="s">
        <v>582</v>
      </c>
      <c r="BD11" s="25" t="s">
        <v>582</v>
      </c>
      <c r="BE11" s="25" t="s">
        <v>582</v>
      </c>
      <c r="BF11" s="25" t="s">
        <v>582</v>
      </c>
      <c r="BG11" s="25" t="s">
        <v>582</v>
      </c>
      <c r="BH11" s="25" t="s">
        <v>582</v>
      </c>
      <c r="BI11" s="25" t="s">
        <v>582</v>
      </c>
      <c r="BJ11" s="25"/>
      <c r="BK11" s="25"/>
      <c r="BL11" s="25"/>
      <c r="BM11" s="25">
        <v>0.14362026758910817</v>
      </c>
      <c r="BN11" s="25"/>
      <c r="BO11" s="25" t="s">
        <v>582</v>
      </c>
      <c r="BP11" s="25" t="s">
        <v>582</v>
      </c>
      <c r="BQ11" s="25" t="s">
        <v>582</v>
      </c>
      <c r="BR11" s="25" t="s">
        <v>582</v>
      </c>
      <c r="BS11" s="25" t="s">
        <v>582</v>
      </c>
      <c r="BT11" s="25" t="s">
        <v>582</v>
      </c>
      <c r="BU11" s="25" t="s">
        <v>582</v>
      </c>
      <c r="BV11" s="25" t="s">
        <v>582</v>
      </c>
      <c r="BW11" s="25" t="s">
        <v>582</v>
      </c>
      <c r="BX11" s="25" t="s">
        <v>582</v>
      </c>
      <c r="BY11" s="25" t="s">
        <v>582</v>
      </c>
      <c r="BZ11" s="25" t="s">
        <v>582</v>
      </c>
      <c r="CA11" s="25" t="s">
        <v>582</v>
      </c>
      <c r="CB11" s="25" t="s">
        <v>582</v>
      </c>
      <c r="CC11" s="25" t="s">
        <v>582</v>
      </c>
      <c r="CD11" s="25" t="s">
        <v>582</v>
      </c>
      <c r="CE11" s="25" t="s">
        <v>582</v>
      </c>
      <c r="CF11" s="25" t="s">
        <v>582</v>
      </c>
      <c r="CG11" s="25" t="s">
        <v>582</v>
      </c>
      <c r="CH11" s="25" t="s">
        <v>582</v>
      </c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</row>
    <row r="12" spans="1:144" x14ac:dyDescent="0.2">
      <c r="A12" s="24" t="s">
        <v>460</v>
      </c>
      <c r="C12" s="25" t="s">
        <v>582</v>
      </c>
      <c r="D12" s="25" t="s">
        <v>582</v>
      </c>
      <c r="E12" s="25" t="s">
        <v>582</v>
      </c>
      <c r="F12" s="25" t="s">
        <v>582</v>
      </c>
      <c r="G12" s="25" t="s">
        <v>582</v>
      </c>
      <c r="H12" s="25" t="s">
        <v>582</v>
      </c>
      <c r="I12" s="25" t="s">
        <v>582</v>
      </c>
      <c r="J12" s="25"/>
      <c r="K12" s="25" t="s">
        <v>582</v>
      </c>
      <c r="L12" s="25" t="s">
        <v>582</v>
      </c>
      <c r="M12" s="25" t="s">
        <v>582</v>
      </c>
      <c r="N12" s="25" t="s">
        <v>582</v>
      </c>
      <c r="O12" s="25" t="s">
        <v>582</v>
      </c>
      <c r="P12" s="25" t="s">
        <v>582</v>
      </c>
      <c r="Q12" s="25" t="s">
        <v>582</v>
      </c>
      <c r="R12" s="25" t="s">
        <v>582</v>
      </c>
      <c r="S12" s="25" t="s">
        <v>582</v>
      </c>
      <c r="T12" s="25" t="s">
        <v>582</v>
      </c>
      <c r="U12" s="25" t="s">
        <v>582</v>
      </c>
      <c r="V12" s="25" t="s">
        <v>582</v>
      </c>
      <c r="W12" s="25" t="s">
        <v>582</v>
      </c>
      <c r="X12" s="25" t="s">
        <v>582</v>
      </c>
      <c r="Y12" s="25" t="s">
        <v>582</v>
      </c>
      <c r="Z12" s="25" t="s">
        <v>582</v>
      </c>
      <c r="AA12" s="25" t="s">
        <v>582</v>
      </c>
      <c r="AB12" s="25" t="s">
        <v>582</v>
      </c>
      <c r="AC12" s="25" t="s">
        <v>582</v>
      </c>
      <c r="AD12" s="25" t="s">
        <v>582</v>
      </c>
      <c r="AE12" s="25" t="s">
        <v>582</v>
      </c>
      <c r="AF12" s="25" t="s">
        <v>582</v>
      </c>
      <c r="AG12" s="25" t="s">
        <v>582</v>
      </c>
      <c r="AH12" s="25" t="s">
        <v>582</v>
      </c>
      <c r="AI12" s="25" t="s">
        <v>582</v>
      </c>
      <c r="AJ12" s="25" t="s">
        <v>582</v>
      </c>
      <c r="AK12" s="25" t="s">
        <v>582</v>
      </c>
      <c r="AL12" s="25" t="s">
        <v>582</v>
      </c>
      <c r="AM12" s="25" t="s">
        <v>582</v>
      </c>
      <c r="AN12" s="25" t="s">
        <v>582</v>
      </c>
      <c r="AO12" s="25" t="s">
        <v>582</v>
      </c>
      <c r="AP12" s="25" t="s">
        <v>582</v>
      </c>
      <c r="AQ12" s="25" t="s">
        <v>582</v>
      </c>
      <c r="AR12" s="25" t="s">
        <v>582</v>
      </c>
      <c r="AS12" s="25" t="s">
        <v>582</v>
      </c>
      <c r="AT12" s="25" t="s">
        <v>582</v>
      </c>
      <c r="AU12" s="25" t="s">
        <v>582</v>
      </c>
      <c r="AV12" s="25" t="s">
        <v>582</v>
      </c>
      <c r="AW12" s="25" t="s">
        <v>582</v>
      </c>
      <c r="AX12" s="25" t="s">
        <v>582</v>
      </c>
      <c r="AY12" s="25" t="s">
        <v>582</v>
      </c>
      <c r="AZ12" s="25" t="s">
        <v>582</v>
      </c>
      <c r="BA12" s="25" t="s">
        <v>582</v>
      </c>
      <c r="BB12" s="25" t="s">
        <v>582</v>
      </c>
      <c r="BC12" s="25" t="s">
        <v>582</v>
      </c>
      <c r="BD12" s="25" t="s">
        <v>582</v>
      </c>
      <c r="BE12" s="25" t="s">
        <v>582</v>
      </c>
      <c r="BF12" s="25" t="s">
        <v>582</v>
      </c>
      <c r="BG12" s="25" t="s">
        <v>582</v>
      </c>
      <c r="BH12" s="25" t="s">
        <v>582</v>
      </c>
      <c r="BI12" s="25" t="s">
        <v>582</v>
      </c>
      <c r="BJ12" s="25" t="s">
        <v>582</v>
      </c>
      <c r="BK12" s="25" t="s">
        <v>582</v>
      </c>
      <c r="BL12" s="25" t="s">
        <v>582</v>
      </c>
      <c r="BM12" s="25">
        <v>0.12563704796297237</v>
      </c>
      <c r="BN12" s="25"/>
      <c r="BO12" s="25" t="s">
        <v>582</v>
      </c>
      <c r="BP12" s="25" t="s">
        <v>582</v>
      </c>
      <c r="BQ12" s="25" t="s">
        <v>582</v>
      </c>
      <c r="BR12" s="25" t="s">
        <v>582</v>
      </c>
      <c r="BS12" s="25" t="s">
        <v>582</v>
      </c>
      <c r="BT12" s="25" t="s">
        <v>582</v>
      </c>
      <c r="BU12" s="25" t="s">
        <v>582</v>
      </c>
      <c r="BV12" s="25" t="s">
        <v>582</v>
      </c>
      <c r="BW12" s="25" t="s">
        <v>582</v>
      </c>
      <c r="BX12" s="25" t="s">
        <v>582</v>
      </c>
      <c r="BY12" s="25" t="s">
        <v>582</v>
      </c>
      <c r="BZ12" s="25" t="s">
        <v>582</v>
      </c>
      <c r="CA12" s="25" t="s">
        <v>582</v>
      </c>
      <c r="CB12" s="25" t="s">
        <v>582</v>
      </c>
      <c r="CC12" s="25" t="s">
        <v>582</v>
      </c>
      <c r="CD12" s="25" t="s">
        <v>582</v>
      </c>
      <c r="CE12" s="25" t="s">
        <v>582</v>
      </c>
      <c r="CF12" s="25" t="s">
        <v>582</v>
      </c>
      <c r="CG12" s="25" t="s">
        <v>582</v>
      </c>
      <c r="CH12" s="25" t="s">
        <v>582</v>
      </c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</row>
    <row r="13" spans="1:144" x14ac:dyDescent="0.2">
      <c r="A13" s="24" t="s">
        <v>455</v>
      </c>
      <c r="C13" s="25" t="s">
        <v>582</v>
      </c>
      <c r="D13" s="25" t="s">
        <v>582</v>
      </c>
      <c r="E13" s="25" t="s">
        <v>582</v>
      </c>
      <c r="F13" s="25" t="s">
        <v>582</v>
      </c>
      <c r="G13" s="25" t="s">
        <v>582</v>
      </c>
      <c r="H13" s="25" t="s">
        <v>582</v>
      </c>
      <c r="I13" s="25" t="s">
        <v>582</v>
      </c>
      <c r="J13" s="25"/>
      <c r="K13" s="25" t="s">
        <v>582</v>
      </c>
      <c r="L13" s="25" t="s">
        <v>582</v>
      </c>
      <c r="M13" s="25" t="s">
        <v>582</v>
      </c>
      <c r="N13" s="25">
        <v>13.252728495960787</v>
      </c>
      <c r="O13" s="25">
        <v>9.6475453698626517</v>
      </c>
      <c r="P13" s="25" t="s">
        <v>582</v>
      </c>
      <c r="Q13" s="25" t="s">
        <v>582</v>
      </c>
      <c r="R13" s="25" t="s">
        <v>582</v>
      </c>
      <c r="S13" s="25" t="s">
        <v>582</v>
      </c>
      <c r="T13" s="25" t="s">
        <v>582</v>
      </c>
      <c r="U13" s="25" t="s">
        <v>582</v>
      </c>
      <c r="V13" s="25" t="s">
        <v>582</v>
      </c>
      <c r="W13" s="25" t="s">
        <v>582</v>
      </c>
      <c r="X13" s="25" t="s">
        <v>582</v>
      </c>
      <c r="Y13" s="25" t="s">
        <v>582</v>
      </c>
      <c r="Z13" s="25" t="s">
        <v>582</v>
      </c>
      <c r="AA13" s="25" t="s">
        <v>582</v>
      </c>
      <c r="AB13" s="25" t="s">
        <v>582</v>
      </c>
      <c r="AC13" s="25" t="s">
        <v>582</v>
      </c>
      <c r="AD13" s="25" t="s">
        <v>582</v>
      </c>
      <c r="AE13" s="25" t="s">
        <v>582</v>
      </c>
      <c r="AF13" s="25" t="s">
        <v>582</v>
      </c>
      <c r="AG13" s="25" t="s">
        <v>582</v>
      </c>
      <c r="AH13" s="25" t="s">
        <v>582</v>
      </c>
      <c r="AI13" s="25" t="s">
        <v>582</v>
      </c>
      <c r="AJ13" s="25" t="s">
        <v>582</v>
      </c>
      <c r="AK13" s="25" t="s">
        <v>582</v>
      </c>
      <c r="AL13" s="25" t="s">
        <v>582</v>
      </c>
      <c r="AM13" s="25" t="s">
        <v>582</v>
      </c>
      <c r="AN13" s="25" t="s">
        <v>582</v>
      </c>
      <c r="AO13" s="25" t="s">
        <v>582</v>
      </c>
      <c r="AP13" s="25" t="s">
        <v>582</v>
      </c>
      <c r="AQ13" s="25" t="s">
        <v>582</v>
      </c>
      <c r="AR13" s="25" t="s">
        <v>582</v>
      </c>
      <c r="AS13" s="25" t="s">
        <v>582</v>
      </c>
      <c r="AT13" s="25" t="s">
        <v>582</v>
      </c>
      <c r="AU13" s="25" t="s">
        <v>582</v>
      </c>
      <c r="AV13" s="25" t="s">
        <v>582</v>
      </c>
      <c r="AW13" s="25" t="s">
        <v>582</v>
      </c>
      <c r="AX13" s="25" t="s">
        <v>582</v>
      </c>
      <c r="AY13" s="25" t="s">
        <v>582</v>
      </c>
      <c r="AZ13" s="25" t="s">
        <v>582</v>
      </c>
      <c r="BA13" s="25" t="s">
        <v>582</v>
      </c>
      <c r="BB13" s="25" t="s">
        <v>582</v>
      </c>
      <c r="BC13" s="25" t="s">
        <v>582</v>
      </c>
      <c r="BD13" s="25" t="s">
        <v>582</v>
      </c>
      <c r="BE13" s="25" t="s">
        <v>582</v>
      </c>
      <c r="BF13" s="25" t="s">
        <v>582</v>
      </c>
      <c r="BG13" s="25" t="s">
        <v>582</v>
      </c>
      <c r="BH13" s="25" t="s">
        <v>582</v>
      </c>
      <c r="BI13" s="25" t="s">
        <v>582</v>
      </c>
      <c r="BJ13" s="25" t="s">
        <v>582</v>
      </c>
      <c r="BK13" s="25">
        <v>2.9219376498620553E-2</v>
      </c>
      <c r="BL13" s="25"/>
      <c r="BM13" s="25" t="s">
        <v>582</v>
      </c>
      <c r="BN13" s="25" t="s">
        <v>582</v>
      </c>
      <c r="BO13" s="25" t="s">
        <v>582</v>
      </c>
      <c r="BP13" s="25" t="s">
        <v>582</v>
      </c>
      <c r="BQ13" s="25" t="s">
        <v>582</v>
      </c>
      <c r="BR13" s="25" t="s">
        <v>582</v>
      </c>
      <c r="BS13" s="25" t="s">
        <v>582</v>
      </c>
      <c r="BT13" s="25" t="s">
        <v>582</v>
      </c>
      <c r="BU13" s="25" t="s">
        <v>582</v>
      </c>
      <c r="BV13" s="25" t="s">
        <v>582</v>
      </c>
      <c r="BW13" s="25" t="s">
        <v>582</v>
      </c>
      <c r="BX13" s="25" t="s">
        <v>582</v>
      </c>
      <c r="BY13" s="25" t="s">
        <v>582</v>
      </c>
      <c r="BZ13" s="25" t="s">
        <v>582</v>
      </c>
      <c r="CA13" s="25" t="s">
        <v>582</v>
      </c>
      <c r="CB13" s="25" t="s">
        <v>582</v>
      </c>
      <c r="CC13" s="25" t="s">
        <v>582</v>
      </c>
      <c r="CD13" s="25" t="s">
        <v>582</v>
      </c>
      <c r="CE13" s="25" t="s">
        <v>582</v>
      </c>
      <c r="CF13" s="25" t="s">
        <v>582</v>
      </c>
      <c r="CG13" s="25" t="s">
        <v>582</v>
      </c>
      <c r="CH13" s="25" t="s">
        <v>582</v>
      </c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</row>
    <row r="14" spans="1:144" x14ac:dyDescent="0.2">
      <c r="A14" s="24" t="s">
        <v>588</v>
      </c>
      <c r="C14" s="25" t="s">
        <v>582</v>
      </c>
      <c r="D14" s="25" t="s">
        <v>582</v>
      </c>
      <c r="E14" s="25" t="s">
        <v>582</v>
      </c>
      <c r="F14" s="25" t="s">
        <v>582</v>
      </c>
      <c r="G14" s="25" t="s">
        <v>582</v>
      </c>
      <c r="H14" s="25" t="s">
        <v>582</v>
      </c>
      <c r="I14" s="25" t="s">
        <v>582</v>
      </c>
      <c r="J14" s="25"/>
      <c r="K14" s="25" t="s">
        <v>582</v>
      </c>
      <c r="L14" s="25" t="s">
        <v>582</v>
      </c>
      <c r="M14" s="25" t="s">
        <v>582</v>
      </c>
      <c r="N14" s="25">
        <v>13.691980942120081</v>
      </c>
      <c r="O14" s="25">
        <v>10.903217981372604</v>
      </c>
      <c r="P14" s="25" t="s">
        <v>582</v>
      </c>
      <c r="Q14" s="25" t="s">
        <v>582</v>
      </c>
      <c r="R14" s="25" t="s">
        <v>582</v>
      </c>
      <c r="S14" s="25" t="s">
        <v>582</v>
      </c>
      <c r="T14" s="25" t="s">
        <v>582</v>
      </c>
      <c r="U14" s="25" t="s">
        <v>582</v>
      </c>
      <c r="V14" s="25" t="s">
        <v>582</v>
      </c>
      <c r="W14" s="25" t="s">
        <v>582</v>
      </c>
      <c r="X14" s="25" t="s">
        <v>582</v>
      </c>
      <c r="Y14" s="25" t="s">
        <v>582</v>
      </c>
      <c r="Z14" s="25" t="s">
        <v>582</v>
      </c>
      <c r="AA14" s="25" t="s">
        <v>582</v>
      </c>
      <c r="AB14" s="25" t="s">
        <v>582</v>
      </c>
      <c r="AC14" s="25" t="s">
        <v>582</v>
      </c>
      <c r="AD14" s="25" t="s">
        <v>582</v>
      </c>
      <c r="AE14" s="25" t="s">
        <v>582</v>
      </c>
      <c r="AF14" s="25" t="s">
        <v>582</v>
      </c>
      <c r="AG14" s="25" t="s">
        <v>582</v>
      </c>
      <c r="AH14" s="25" t="s">
        <v>582</v>
      </c>
      <c r="AI14" s="25" t="s">
        <v>582</v>
      </c>
      <c r="AJ14" s="25" t="s">
        <v>582</v>
      </c>
      <c r="AK14" s="25" t="s">
        <v>582</v>
      </c>
      <c r="AL14" s="25" t="s">
        <v>582</v>
      </c>
      <c r="AM14" s="25" t="s">
        <v>582</v>
      </c>
      <c r="AN14" s="25" t="s">
        <v>582</v>
      </c>
      <c r="AO14" s="25" t="s">
        <v>582</v>
      </c>
      <c r="AP14" s="25" t="s">
        <v>582</v>
      </c>
      <c r="AQ14" s="25" t="s">
        <v>582</v>
      </c>
      <c r="AR14" s="25" t="s">
        <v>582</v>
      </c>
      <c r="AS14" s="25" t="s">
        <v>582</v>
      </c>
      <c r="AT14" s="25" t="s">
        <v>582</v>
      </c>
      <c r="AU14" s="25" t="s">
        <v>582</v>
      </c>
      <c r="AV14" s="25" t="s">
        <v>582</v>
      </c>
      <c r="AW14" s="25" t="s">
        <v>582</v>
      </c>
      <c r="AX14" s="25" t="s">
        <v>582</v>
      </c>
      <c r="AY14" s="25" t="s">
        <v>582</v>
      </c>
      <c r="AZ14" s="25" t="s">
        <v>582</v>
      </c>
      <c r="BA14" s="25" t="s">
        <v>582</v>
      </c>
      <c r="BB14" s="25" t="s">
        <v>582</v>
      </c>
      <c r="BC14" s="25" t="s">
        <v>582</v>
      </c>
      <c r="BD14" s="25" t="s">
        <v>582</v>
      </c>
      <c r="BE14" s="25" t="s">
        <v>582</v>
      </c>
      <c r="BF14" s="25" t="s">
        <v>582</v>
      </c>
      <c r="BG14" s="25" t="s">
        <v>582</v>
      </c>
      <c r="BH14" s="25" t="s">
        <v>582</v>
      </c>
      <c r="BI14" s="25" t="s">
        <v>582</v>
      </c>
      <c r="BJ14" s="25" t="s">
        <v>582</v>
      </c>
      <c r="BK14" s="25" t="s">
        <v>582</v>
      </c>
      <c r="BL14" s="25" t="s">
        <v>582</v>
      </c>
      <c r="BM14" s="25" t="s">
        <v>582</v>
      </c>
      <c r="BN14" s="25" t="s">
        <v>582</v>
      </c>
      <c r="BO14" s="25" t="s">
        <v>582</v>
      </c>
      <c r="BP14" s="25" t="s">
        <v>582</v>
      </c>
      <c r="BQ14" s="25" t="s">
        <v>582</v>
      </c>
      <c r="BR14" s="25" t="s">
        <v>582</v>
      </c>
      <c r="BS14" s="25" t="s">
        <v>582</v>
      </c>
      <c r="BT14" s="25" t="s">
        <v>582</v>
      </c>
      <c r="BU14" s="25" t="s">
        <v>582</v>
      </c>
      <c r="BV14" s="25" t="s">
        <v>582</v>
      </c>
      <c r="BW14" s="25" t="s">
        <v>582</v>
      </c>
      <c r="BX14" s="25" t="s">
        <v>582</v>
      </c>
      <c r="BY14" s="25" t="s">
        <v>582</v>
      </c>
      <c r="BZ14" s="25" t="s">
        <v>582</v>
      </c>
      <c r="CA14" s="25" t="s">
        <v>582</v>
      </c>
      <c r="CB14" s="25" t="s">
        <v>582</v>
      </c>
      <c r="CC14" s="25" t="s">
        <v>582</v>
      </c>
      <c r="CD14" s="25" t="s">
        <v>582</v>
      </c>
      <c r="CE14" s="25" t="s">
        <v>582</v>
      </c>
      <c r="CF14" s="25" t="s">
        <v>582</v>
      </c>
      <c r="CG14" s="25" t="s">
        <v>582</v>
      </c>
      <c r="CH14" s="25" t="s">
        <v>582</v>
      </c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</row>
    <row r="15" spans="1:144" x14ac:dyDescent="0.2">
      <c r="A15" s="24" t="s">
        <v>580</v>
      </c>
      <c r="C15" s="25">
        <v>54.166666666666664</v>
      </c>
      <c r="D15" s="25">
        <v>100</v>
      </c>
      <c r="E15" s="25">
        <v>73.333333333333329</v>
      </c>
      <c r="F15" s="25">
        <v>54.761904761904759</v>
      </c>
      <c r="G15" s="25">
        <v>31.533333333333335</v>
      </c>
      <c r="H15" s="25">
        <v>34.375</v>
      </c>
      <c r="I15" s="25">
        <v>56.98924731182796</v>
      </c>
      <c r="J15" s="25" t="s">
        <v>582</v>
      </c>
      <c r="K15" s="25" t="s">
        <v>582</v>
      </c>
      <c r="L15" s="25" t="s">
        <v>582</v>
      </c>
      <c r="M15" s="25" t="s">
        <v>582</v>
      </c>
      <c r="N15" s="25" t="s">
        <v>582</v>
      </c>
      <c r="O15" s="25" t="s">
        <v>582</v>
      </c>
      <c r="P15" s="25" t="s">
        <v>582</v>
      </c>
      <c r="Q15" s="25" t="s">
        <v>582</v>
      </c>
      <c r="R15" s="25" t="s">
        <v>582</v>
      </c>
      <c r="S15" s="25">
        <v>6.3457330415754925</v>
      </c>
      <c r="T15" s="25">
        <v>14.583333333333334</v>
      </c>
      <c r="U15" s="25">
        <v>4.1033434650455929</v>
      </c>
      <c r="V15" s="25">
        <v>0.42566129522651264</v>
      </c>
      <c r="W15" s="25">
        <v>11.178388448998602</v>
      </c>
      <c r="X15" s="25">
        <v>11.30952380952381</v>
      </c>
      <c r="Y15" s="25">
        <v>16.091954022988507</v>
      </c>
      <c r="Z15" s="25">
        <v>22.988505747126435</v>
      </c>
      <c r="AA15" s="25">
        <v>40</v>
      </c>
      <c r="AB15" s="25">
        <v>13.793103448275861</v>
      </c>
      <c r="AC15" s="25">
        <v>24.074074074074073</v>
      </c>
      <c r="AD15" s="25">
        <v>77.41935483870968</v>
      </c>
      <c r="AE15" s="25">
        <v>15.384615384615385</v>
      </c>
      <c r="AF15" s="25">
        <v>90.909090909090907</v>
      </c>
      <c r="AG15" s="25">
        <v>16.194331983805668</v>
      </c>
      <c r="AH15" s="25">
        <v>37.029288702928874</v>
      </c>
      <c r="AI15" s="25">
        <v>28.440366972477065</v>
      </c>
      <c r="AJ15" s="25">
        <v>21.691176470588236</v>
      </c>
      <c r="AK15" s="25">
        <v>10.39919490103992</v>
      </c>
      <c r="AL15" s="25">
        <v>11.513157894736842</v>
      </c>
      <c r="AM15" s="25">
        <v>143.33333333333334</v>
      </c>
      <c r="AN15" s="25">
        <v>3.5460992907801416</v>
      </c>
      <c r="AO15" s="25">
        <v>88.235294117647058</v>
      </c>
      <c r="AP15" s="25">
        <v>154.16666666666666</v>
      </c>
      <c r="AQ15" s="25">
        <v>1353.6585365853659</v>
      </c>
      <c r="AR15" s="25">
        <v>155.55555555555554</v>
      </c>
      <c r="AS15" s="25">
        <v>18.181818181818183</v>
      </c>
      <c r="AT15" s="25">
        <v>3.671804170444243</v>
      </c>
      <c r="AU15" s="25">
        <v>61.81818181818182</v>
      </c>
      <c r="AV15" s="25">
        <v>19.736842105263158</v>
      </c>
      <c r="AW15" s="25">
        <v>25.373134328358208</v>
      </c>
      <c r="AX15" s="25">
        <v>9.6895578551269992</v>
      </c>
      <c r="AY15" s="25">
        <v>14.035087719298245</v>
      </c>
      <c r="AZ15" s="25">
        <v>22.641509433962263</v>
      </c>
      <c r="BA15" s="25">
        <v>9.3137254901960791</v>
      </c>
      <c r="BB15" s="25">
        <v>2.1052631578947367</v>
      </c>
      <c r="BC15" s="25">
        <v>6.7255149222362336</v>
      </c>
      <c r="BD15" s="25">
        <v>103.8961038961039</v>
      </c>
      <c r="BE15" s="25">
        <v>80.27210884353741</v>
      </c>
      <c r="BF15" s="25">
        <v>81.23456790123457</v>
      </c>
      <c r="BG15" s="25">
        <v>83.333333333333329</v>
      </c>
      <c r="BH15" s="25">
        <v>220.68965517241378</v>
      </c>
      <c r="BI15" s="25">
        <v>187.5</v>
      </c>
      <c r="BJ15" s="25">
        <v>53.658536585365852</v>
      </c>
      <c r="BK15" s="25"/>
      <c r="BL15" s="25">
        <v>42.25352112676056</v>
      </c>
      <c r="BM15" s="25"/>
      <c r="BN15" s="25">
        <v>148.0617088607595</v>
      </c>
      <c r="BO15" s="25">
        <v>378.37837837837839</v>
      </c>
      <c r="BP15" s="25">
        <v>194.11764705882354</v>
      </c>
      <c r="BQ15" s="25">
        <v>110.77694235588973</v>
      </c>
      <c r="BR15" s="25">
        <v>188.88888888888889</v>
      </c>
      <c r="BS15" s="25">
        <v>51.37481910274964</v>
      </c>
      <c r="BT15" s="25" t="s">
        <v>582</v>
      </c>
      <c r="BU15" s="25">
        <v>230.76923076923077</v>
      </c>
      <c r="BV15" s="25">
        <v>250</v>
      </c>
      <c r="BW15" s="25">
        <v>366.66666666666669</v>
      </c>
      <c r="BX15" s="25">
        <v>276.03305785123968</v>
      </c>
      <c r="BY15" s="25">
        <v>250</v>
      </c>
      <c r="BZ15" s="25">
        <v>481.08108108108109</v>
      </c>
      <c r="CA15" s="25">
        <v>355.55555555555554</v>
      </c>
      <c r="CB15" s="25">
        <v>158.33333333333334</v>
      </c>
      <c r="CC15" s="25">
        <v>166.45962732919256</v>
      </c>
      <c r="CD15" s="25">
        <v>157.14285714285714</v>
      </c>
      <c r="CE15" s="25">
        <v>120.54794520547945</v>
      </c>
      <c r="CF15" s="25">
        <v>10.584343991179713</v>
      </c>
      <c r="CG15" s="25">
        <v>6.660746003552398</v>
      </c>
      <c r="CH15" s="25">
        <v>347.77777777777777</v>
      </c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H45"/>
  <sheetViews>
    <sheetView zoomScale="110" zoomScaleNormal="110" workbookViewId="0">
      <pane xSplit="2" ySplit="8" topLeftCell="C9" activePane="bottomRight" state="frozenSplit"/>
      <selection activeCell="C34" sqref="C34"/>
      <selection pane="topRight" activeCell="C34" sqref="C34"/>
      <selection pane="bottomLeft" activeCell="C34" sqref="C34"/>
      <selection pane="bottomRight" activeCell="D19" sqref="D19"/>
    </sheetView>
  </sheetViews>
  <sheetFormatPr defaultColWidth="9.6640625" defaultRowHeight="12" x14ac:dyDescent="0.2"/>
  <cols>
    <col min="1" max="1" width="8.6640625" style="10" customWidth="1"/>
    <col min="2" max="2" width="13.88671875" style="9" customWidth="1"/>
    <col min="3" max="67" width="14.88671875" style="9" customWidth="1"/>
    <col min="68" max="71" width="8.88671875" style="9" customWidth="1"/>
    <col min="72" max="72" width="11.5546875" style="9" bestFit="1" customWidth="1"/>
    <col min="73" max="73" width="8.88671875" style="9" customWidth="1"/>
    <col min="74" max="74" width="11.33203125" style="9" bestFit="1" customWidth="1"/>
    <col min="75" max="75" width="8.88671875" style="9" customWidth="1"/>
    <col min="76" max="76" width="10.6640625" style="9" bestFit="1" customWidth="1"/>
    <col min="77" max="78" width="8.88671875" style="9" customWidth="1"/>
    <col min="79" max="79" width="10.109375" style="9" bestFit="1" customWidth="1"/>
    <col min="80" max="93" width="8.88671875" style="9" customWidth="1"/>
    <col min="94" max="95" width="12.77734375" style="9" bestFit="1" customWidth="1"/>
    <col min="96" max="96" width="8.88671875" style="9" customWidth="1"/>
    <col min="97" max="97" width="10.21875" style="9" bestFit="1" customWidth="1"/>
    <col min="98" max="98" width="11.77734375" style="9" bestFit="1" customWidth="1"/>
    <col min="99" max="100" width="8.88671875" style="9" customWidth="1"/>
    <col min="101" max="101" width="11.33203125" style="9" bestFit="1" customWidth="1"/>
    <col min="102" max="102" width="13.33203125" style="9" bestFit="1" customWidth="1"/>
    <col min="103" max="103" width="10.77734375" style="9" bestFit="1" customWidth="1"/>
    <col min="104" max="104" width="14.44140625" style="9" bestFit="1" customWidth="1"/>
    <col min="105" max="105" width="8.88671875" style="9" customWidth="1"/>
    <col min="106" max="106" width="10.21875" style="9" bestFit="1" customWidth="1"/>
    <col min="107" max="109" width="9" style="9" customWidth="1"/>
    <col min="110" max="110" width="10.6640625" style="9" bestFit="1" customWidth="1"/>
    <col min="111" max="111" width="9" style="9" customWidth="1"/>
    <col min="112" max="112" width="10" style="9" bestFit="1" customWidth="1"/>
    <col min="113" max="113" width="9" style="9" customWidth="1"/>
    <col min="114" max="114" width="11.44140625" style="9" customWidth="1"/>
    <col min="115" max="115" width="10.88671875" style="9" customWidth="1"/>
    <col min="116" max="121" width="9" style="9" customWidth="1"/>
    <col min="122" max="122" width="12.109375" style="9" bestFit="1" customWidth="1"/>
    <col min="123" max="125" width="9" style="9" customWidth="1"/>
    <col min="126" max="126" width="11.21875" style="9" bestFit="1" customWidth="1"/>
    <col min="127" max="127" width="9" style="9" customWidth="1"/>
    <col min="128" max="128" width="11.88671875" style="9" bestFit="1" customWidth="1"/>
    <col min="129" max="130" width="9" style="9" customWidth="1"/>
    <col min="131" max="131" width="12.77734375" style="9" bestFit="1" customWidth="1"/>
    <col min="132" max="134" width="9" style="9" customWidth="1"/>
    <col min="135" max="135" width="15" style="9" bestFit="1" customWidth="1"/>
    <col min="136" max="140" width="9" style="9" customWidth="1"/>
    <col min="141" max="141" width="11.109375" style="9" bestFit="1" customWidth="1"/>
    <col min="142" max="142" width="9" style="9" customWidth="1"/>
    <col min="143" max="143" width="11.6640625" style="9" bestFit="1" customWidth="1"/>
    <col min="144" max="148" width="9.6640625" style="9"/>
    <col min="149" max="149" width="11.109375" style="9" bestFit="1" customWidth="1"/>
    <col min="150" max="150" width="9.6640625" style="9"/>
    <col min="151" max="151" width="12.44140625" style="9" bestFit="1" customWidth="1"/>
    <col min="152" max="157" width="9.6640625" style="9"/>
    <col min="158" max="158" width="12.109375" style="9" bestFit="1" customWidth="1"/>
    <col min="159" max="161" width="9.6640625" style="9"/>
    <col min="162" max="162" width="12.33203125" style="9" bestFit="1" customWidth="1"/>
    <col min="163" max="231" width="9.6640625" style="9"/>
    <col min="232" max="232" width="6.44140625" style="9" customWidth="1"/>
    <col min="233" max="233" width="13.88671875" style="9" customWidth="1"/>
    <col min="234" max="234" width="14.33203125" style="9" customWidth="1"/>
    <col min="235" max="251" width="9.6640625" style="9"/>
    <col min="252" max="252" width="12" style="9" customWidth="1"/>
    <col min="253" max="253" width="12.77734375" style="9" customWidth="1"/>
    <col min="254" max="254" width="11.109375" style="9" customWidth="1"/>
    <col min="255" max="255" width="12" style="9" customWidth="1"/>
    <col min="256" max="256" width="9.6640625" style="9"/>
    <col min="257" max="257" width="15.33203125" style="9" customWidth="1"/>
    <col min="258" max="258" width="15.21875" style="9" customWidth="1"/>
    <col min="259" max="259" width="21.44140625" style="9" customWidth="1"/>
    <col min="260" max="275" width="9.6640625" style="9"/>
    <col min="276" max="277" width="13.44140625" style="9" customWidth="1"/>
    <col min="278" max="278" width="9.6640625" style="9"/>
    <col min="279" max="279" width="13.88671875" style="9" customWidth="1"/>
    <col min="280" max="280" width="10.6640625" style="9" customWidth="1"/>
    <col min="281" max="281" width="17.33203125" style="9" customWidth="1"/>
    <col min="282" max="283" width="12.6640625" style="9" customWidth="1"/>
    <col min="284" max="284" width="11.21875" style="9" customWidth="1"/>
    <col min="285" max="285" width="18.33203125" style="9" customWidth="1"/>
    <col min="286" max="286" width="12.88671875" style="9" customWidth="1"/>
    <col min="287" max="288" width="13.21875" style="9" customWidth="1"/>
    <col min="289" max="289" width="10.88671875" style="9" customWidth="1"/>
    <col min="290" max="290" width="11.109375" style="9" customWidth="1"/>
    <col min="291" max="291" width="15.21875" style="9" customWidth="1"/>
    <col min="292" max="292" width="9.6640625" style="9"/>
    <col min="293" max="293" width="11" style="9" customWidth="1"/>
    <col min="294" max="294" width="10.77734375" style="9" customWidth="1"/>
    <col min="295" max="295" width="11.44140625" style="9" customWidth="1"/>
    <col min="296" max="296" width="4" style="9" customWidth="1"/>
    <col min="297" max="487" width="9.6640625" style="9"/>
    <col min="488" max="488" width="6.44140625" style="9" customWidth="1"/>
    <col min="489" max="489" width="13.88671875" style="9" customWidth="1"/>
    <col min="490" max="490" width="14.33203125" style="9" customWidth="1"/>
    <col min="491" max="507" width="9.6640625" style="9"/>
    <col min="508" max="508" width="12" style="9" customWidth="1"/>
    <col min="509" max="509" width="12.77734375" style="9" customWidth="1"/>
    <col min="510" max="510" width="11.109375" style="9" customWidth="1"/>
    <col min="511" max="511" width="12" style="9" customWidth="1"/>
    <col min="512" max="512" width="9.6640625" style="9"/>
    <col min="513" max="513" width="15.33203125" style="9" customWidth="1"/>
    <col min="514" max="514" width="15.21875" style="9" customWidth="1"/>
    <col min="515" max="515" width="21.44140625" style="9" customWidth="1"/>
    <col min="516" max="531" width="9.6640625" style="9"/>
    <col min="532" max="533" width="13.44140625" style="9" customWidth="1"/>
    <col min="534" max="534" width="9.6640625" style="9"/>
    <col min="535" max="535" width="13.88671875" style="9" customWidth="1"/>
    <col min="536" max="536" width="10.6640625" style="9" customWidth="1"/>
    <col min="537" max="537" width="17.33203125" style="9" customWidth="1"/>
    <col min="538" max="539" width="12.6640625" style="9" customWidth="1"/>
    <col min="540" max="540" width="11.21875" style="9" customWidth="1"/>
    <col min="541" max="541" width="18.33203125" style="9" customWidth="1"/>
    <col min="542" max="542" width="12.88671875" style="9" customWidth="1"/>
    <col min="543" max="544" width="13.21875" style="9" customWidth="1"/>
    <col min="545" max="545" width="10.88671875" style="9" customWidth="1"/>
    <col min="546" max="546" width="11.109375" style="9" customWidth="1"/>
    <col min="547" max="547" width="15.21875" style="9" customWidth="1"/>
    <col min="548" max="548" width="9.6640625" style="9"/>
    <col min="549" max="549" width="11" style="9" customWidth="1"/>
    <col min="550" max="550" width="10.77734375" style="9" customWidth="1"/>
    <col min="551" max="551" width="11.44140625" style="9" customWidth="1"/>
    <col min="552" max="552" width="4" style="9" customWidth="1"/>
    <col min="553" max="743" width="9.6640625" style="9"/>
    <col min="744" max="744" width="6.44140625" style="9" customWidth="1"/>
    <col min="745" max="745" width="13.88671875" style="9" customWidth="1"/>
    <col min="746" max="746" width="14.33203125" style="9" customWidth="1"/>
    <col min="747" max="763" width="9.6640625" style="9"/>
    <col min="764" max="764" width="12" style="9" customWidth="1"/>
    <col min="765" max="765" width="12.77734375" style="9" customWidth="1"/>
    <col min="766" max="766" width="11.109375" style="9" customWidth="1"/>
    <col min="767" max="767" width="12" style="9" customWidth="1"/>
    <col min="768" max="768" width="9.6640625" style="9"/>
    <col min="769" max="769" width="15.33203125" style="9" customWidth="1"/>
    <col min="770" max="770" width="15.21875" style="9" customWidth="1"/>
    <col min="771" max="771" width="21.44140625" style="9" customWidth="1"/>
    <col min="772" max="787" width="9.6640625" style="9"/>
    <col min="788" max="789" width="13.44140625" style="9" customWidth="1"/>
    <col min="790" max="790" width="9.6640625" style="9"/>
    <col min="791" max="791" width="13.88671875" style="9" customWidth="1"/>
    <col min="792" max="792" width="10.6640625" style="9" customWidth="1"/>
    <col min="793" max="793" width="17.33203125" style="9" customWidth="1"/>
    <col min="794" max="795" width="12.6640625" style="9" customWidth="1"/>
    <col min="796" max="796" width="11.21875" style="9" customWidth="1"/>
    <col min="797" max="797" width="18.33203125" style="9" customWidth="1"/>
    <col min="798" max="798" width="12.88671875" style="9" customWidth="1"/>
    <col min="799" max="800" width="13.21875" style="9" customWidth="1"/>
    <col min="801" max="801" width="10.88671875" style="9" customWidth="1"/>
    <col min="802" max="802" width="11.109375" style="9" customWidth="1"/>
    <col min="803" max="803" width="15.21875" style="9" customWidth="1"/>
    <col min="804" max="804" width="9.6640625" style="9"/>
    <col min="805" max="805" width="11" style="9" customWidth="1"/>
    <col min="806" max="806" width="10.77734375" style="9" customWidth="1"/>
    <col min="807" max="807" width="11.44140625" style="9" customWidth="1"/>
    <col min="808" max="808" width="4" style="9" customWidth="1"/>
    <col min="809" max="999" width="9.6640625" style="9"/>
    <col min="1000" max="1000" width="6.44140625" style="9" customWidth="1"/>
    <col min="1001" max="1001" width="13.88671875" style="9" customWidth="1"/>
    <col min="1002" max="1002" width="14.33203125" style="9" customWidth="1"/>
    <col min="1003" max="1019" width="9.6640625" style="9"/>
    <col min="1020" max="1020" width="12" style="9" customWidth="1"/>
    <col min="1021" max="1021" width="12.77734375" style="9" customWidth="1"/>
    <col min="1022" max="1022" width="11.109375" style="9" customWidth="1"/>
    <col min="1023" max="1023" width="12" style="9" customWidth="1"/>
    <col min="1024" max="1024" width="9.6640625" style="9"/>
    <col min="1025" max="1025" width="15.33203125" style="9" customWidth="1"/>
    <col min="1026" max="1026" width="15.21875" style="9" customWidth="1"/>
    <col min="1027" max="1027" width="21.44140625" style="9" customWidth="1"/>
    <col min="1028" max="1043" width="9.6640625" style="9"/>
    <col min="1044" max="1045" width="13.44140625" style="9" customWidth="1"/>
    <col min="1046" max="1046" width="9.6640625" style="9"/>
    <col min="1047" max="1047" width="13.88671875" style="9" customWidth="1"/>
    <col min="1048" max="1048" width="10.6640625" style="9" customWidth="1"/>
    <col min="1049" max="1049" width="17.33203125" style="9" customWidth="1"/>
    <col min="1050" max="1051" width="12.6640625" style="9" customWidth="1"/>
    <col min="1052" max="1052" width="11.21875" style="9" customWidth="1"/>
    <col min="1053" max="1053" width="18.33203125" style="9" customWidth="1"/>
    <col min="1054" max="1054" width="12.88671875" style="9" customWidth="1"/>
    <col min="1055" max="1056" width="13.21875" style="9" customWidth="1"/>
    <col min="1057" max="1057" width="10.88671875" style="9" customWidth="1"/>
    <col min="1058" max="1058" width="11.109375" style="9" customWidth="1"/>
    <col min="1059" max="1059" width="15.21875" style="9" customWidth="1"/>
    <col min="1060" max="1060" width="9.6640625" style="9"/>
    <col min="1061" max="1061" width="11" style="9" customWidth="1"/>
    <col min="1062" max="1062" width="10.77734375" style="9" customWidth="1"/>
    <col min="1063" max="1063" width="11.44140625" style="9" customWidth="1"/>
    <col min="1064" max="1064" width="4" style="9" customWidth="1"/>
    <col min="1065" max="1255" width="9.6640625" style="9"/>
    <col min="1256" max="1256" width="6.44140625" style="9" customWidth="1"/>
    <col min="1257" max="1257" width="13.88671875" style="9" customWidth="1"/>
    <col min="1258" max="1258" width="14.33203125" style="9" customWidth="1"/>
    <col min="1259" max="1275" width="9.6640625" style="9"/>
    <col min="1276" max="1276" width="12" style="9" customWidth="1"/>
    <col min="1277" max="1277" width="12.77734375" style="9" customWidth="1"/>
    <col min="1278" max="1278" width="11.109375" style="9" customWidth="1"/>
    <col min="1279" max="1279" width="12" style="9" customWidth="1"/>
    <col min="1280" max="1280" width="9.6640625" style="9"/>
    <col min="1281" max="1281" width="15.33203125" style="9" customWidth="1"/>
    <col min="1282" max="1282" width="15.21875" style="9" customWidth="1"/>
    <col min="1283" max="1283" width="21.44140625" style="9" customWidth="1"/>
    <col min="1284" max="1299" width="9.6640625" style="9"/>
    <col min="1300" max="1301" width="13.44140625" style="9" customWidth="1"/>
    <col min="1302" max="1302" width="9.6640625" style="9"/>
    <col min="1303" max="1303" width="13.88671875" style="9" customWidth="1"/>
    <col min="1304" max="1304" width="10.6640625" style="9" customWidth="1"/>
    <col min="1305" max="1305" width="17.33203125" style="9" customWidth="1"/>
    <col min="1306" max="1307" width="12.6640625" style="9" customWidth="1"/>
    <col min="1308" max="1308" width="11.21875" style="9" customWidth="1"/>
    <col min="1309" max="1309" width="18.33203125" style="9" customWidth="1"/>
    <col min="1310" max="1310" width="12.88671875" style="9" customWidth="1"/>
    <col min="1311" max="1312" width="13.21875" style="9" customWidth="1"/>
    <col min="1313" max="1313" width="10.88671875" style="9" customWidth="1"/>
    <col min="1314" max="1314" width="11.109375" style="9" customWidth="1"/>
    <col min="1315" max="1315" width="15.21875" style="9" customWidth="1"/>
    <col min="1316" max="1316" width="9.6640625" style="9"/>
    <col min="1317" max="1317" width="11" style="9" customWidth="1"/>
    <col min="1318" max="1318" width="10.77734375" style="9" customWidth="1"/>
    <col min="1319" max="1319" width="11.44140625" style="9" customWidth="1"/>
    <col min="1320" max="1320" width="4" style="9" customWidth="1"/>
    <col min="1321" max="1511" width="9.6640625" style="9"/>
    <col min="1512" max="1512" width="6.44140625" style="9" customWidth="1"/>
    <col min="1513" max="1513" width="13.88671875" style="9" customWidth="1"/>
    <col min="1514" max="1514" width="14.33203125" style="9" customWidth="1"/>
    <col min="1515" max="1531" width="9.6640625" style="9"/>
    <col min="1532" max="1532" width="12" style="9" customWidth="1"/>
    <col min="1533" max="1533" width="12.77734375" style="9" customWidth="1"/>
    <col min="1534" max="1534" width="11.109375" style="9" customWidth="1"/>
    <col min="1535" max="1535" width="12" style="9" customWidth="1"/>
    <col min="1536" max="1536" width="9.6640625" style="9"/>
    <col min="1537" max="1537" width="15.33203125" style="9" customWidth="1"/>
    <col min="1538" max="1538" width="15.21875" style="9" customWidth="1"/>
    <col min="1539" max="1539" width="21.44140625" style="9" customWidth="1"/>
    <col min="1540" max="1555" width="9.6640625" style="9"/>
    <col min="1556" max="1557" width="13.44140625" style="9" customWidth="1"/>
    <col min="1558" max="1558" width="9.6640625" style="9"/>
    <col min="1559" max="1559" width="13.88671875" style="9" customWidth="1"/>
    <col min="1560" max="1560" width="10.6640625" style="9" customWidth="1"/>
    <col min="1561" max="1561" width="17.33203125" style="9" customWidth="1"/>
    <col min="1562" max="1563" width="12.6640625" style="9" customWidth="1"/>
    <col min="1564" max="1564" width="11.21875" style="9" customWidth="1"/>
    <col min="1565" max="1565" width="18.33203125" style="9" customWidth="1"/>
    <col min="1566" max="1566" width="12.88671875" style="9" customWidth="1"/>
    <col min="1567" max="1568" width="13.21875" style="9" customWidth="1"/>
    <col min="1569" max="1569" width="10.88671875" style="9" customWidth="1"/>
    <col min="1570" max="1570" width="11.109375" style="9" customWidth="1"/>
    <col min="1571" max="1571" width="15.21875" style="9" customWidth="1"/>
    <col min="1572" max="1572" width="9.6640625" style="9"/>
    <col min="1573" max="1573" width="11" style="9" customWidth="1"/>
    <col min="1574" max="1574" width="10.77734375" style="9" customWidth="1"/>
    <col min="1575" max="1575" width="11.44140625" style="9" customWidth="1"/>
    <col min="1576" max="1576" width="4" style="9" customWidth="1"/>
    <col min="1577" max="1767" width="9.6640625" style="9"/>
    <col min="1768" max="1768" width="6.44140625" style="9" customWidth="1"/>
    <col min="1769" max="1769" width="13.88671875" style="9" customWidth="1"/>
    <col min="1770" max="1770" width="14.33203125" style="9" customWidth="1"/>
    <col min="1771" max="1787" width="9.6640625" style="9"/>
    <col min="1788" max="1788" width="12" style="9" customWidth="1"/>
    <col min="1789" max="1789" width="12.77734375" style="9" customWidth="1"/>
    <col min="1790" max="1790" width="11.109375" style="9" customWidth="1"/>
    <col min="1791" max="1791" width="12" style="9" customWidth="1"/>
    <col min="1792" max="1792" width="9.6640625" style="9"/>
    <col min="1793" max="1793" width="15.33203125" style="9" customWidth="1"/>
    <col min="1794" max="1794" width="15.21875" style="9" customWidth="1"/>
    <col min="1795" max="1795" width="21.44140625" style="9" customWidth="1"/>
    <col min="1796" max="1811" width="9.6640625" style="9"/>
    <col min="1812" max="1813" width="13.44140625" style="9" customWidth="1"/>
    <col min="1814" max="1814" width="9.6640625" style="9"/>
    <col min="1815" max="1815" width="13.88671875" style="9" customWidth="1"/>
    <col min="1816" max="1816" width="10.6640625" style="9" customWidth="1"/>
    <col min="1817" max="1817" width="17.33203125" style="9" customWidth="1"/>
    <col min="1818" max="1819" width="12.6640625" style="9" customWidth="1"/>
    <col min="1820" max="1820" width="11.21875" style="9" customWidth="1"/>
    <col min="1821" max="1821" width="18.33203125" style="9" customWidth="1"/>
    <col min="1822" max="1822" width="12.88671875" style="9" customWidth="1"/>
    <col min="1823" max="1824" width="13.21875" style="9" customWidth="1"/>
    <col min="1825" max="1825" width="10.88671875" style="9" customWidth="1"/>
    <col min="1826" max="1826" width="11.109375" style="9" customWidth="1"/>
    <col min="1827" max="1827" width="15.21875" style="9" customWidth="1"/>
    <col min="1828" max="1828" width="9.6640625" style="9"/>
    <col min="1829" max="1829" width="11" style="9" customWidth="1"/>
    <col min="1830" max="1830" width="10.77734375" style="9" customWidth="1"/>
    <col min="1831" max="1831" width="11.44140625" style="9" customWidth="1"/>
    <col min="1832" max="1832" width="4" style="9" customWidth="1"/>
    <col min="1833" max="2023" width="9.6640625" style="9"/>
    <col min="2024" max="2024" width="6.44140625" style="9" customWidth="1"/>
    <col min="2025" max="2025" width="13.88671875" style="9" customWidth="1"/>
    <col min="2026" max="2026" width="14.33203125" style="9" customWidth="1"/>
    <col min="2027" max="2043" width="9.6640625" style="9"/>
    <col min="2044" max="2044" width="12" style="9" customWidth="1"/>
    <col min="2045" max="2045" width="12.77734375" style="9" customWidth="1"/>
    <col min="2046" max="2046" width="11.109375" style="9" customWidth="1"/>
    <col min="2047" max="2047" width="12" style="9" customWidth="1"/>
    <col min="2048" max="2048" width="9.6640625" style="9"/>
    <col min="2049" max="2049" width="15.33203125" style="9" customWidth="1"/>
    <col min="2050" max="2050" width="15.21875" style="9" customWidth="1"/>
    <col min="2051" max="2051" width="21.44140625" style="9" customWidth="1"/>
    <col min="2052" max="2067" width="9.6640625" style="9"/>
    <col min="2068" max="2069" width="13.44140625" style="9" customWidth="1"/>
    <col min="2070" max="2070" width="9.6640625" style="9"/>
    <col min="2071" max="2071" width="13.88671875" style="9" customWidth="1"/>
    <col min="2072" max="2072" width="10.6640625" style="9" customWidth="1"/>
    <col min="2073" max="2073" width="17.33203125" style="9" customWidth="1"/>
    <col min="2074" max="2075" width="12.6640625" style="9" customWidth="1"/>
    <col min="2076" max="2076" width="11.21875" style="9" customWidth="1"/>
    <col min="2077" max="2077" width="18.33203125" style="9" customWidth="1"/>
    <col min="2078" max="2078" width="12.88671875" style="9" customWidth="1"/>
    <col min="2079" max="2080" width="13.21875" style="9" customWidth="1"/>
    <col min="2081" max="2081" width="10.88671875" style="9" customWidth="1"/>
    <col min="2082" max="2082" width="11.109375" style="9" customWidth="1"/>
    <col min="2083" max="2083" width="15.21875" style="9" customWidth="1"/>
    <col min="2084" max="2084" width="9.6640625" style="9"/>
    <col min="2085" max="2085" width="11" style="9" customWidth="1"/>
    <col min="2086" max="2086" width="10.77734375" style="9" customWidth="1"/>
    <col min="2087" max="2087" width="11.44140625" style="9" customWidth="1"/>
    <col min="2088" max="2088" width="4" style="9" customWidth="1"/>
    <col min="2089" max="2279" width="9.6640625" style="9"/>
    <col min="2280" max="2280" width="6.44140625" style="9" customWidth="1"/>
    <col min="2281" max="2281" width="13.88671875" style="9" customWidth="1"/>
    <col min="2282" max="2282" width="14.33203125" style="9" customWidth="1"/>
    <col min="2283" max="2299" width="9.6640625" style="9"/>
    <col min="2300" max="2300" width="12" style="9" customWidth="1"/>
    <col min="2301" max="2301" width="12.77734375" style="9" customWidth="1"/>
    <col min="2302" max="2302" width="11.109375" style="9" customWidth="1"/>
    <col min="2303" max="2303" width="12" style="9" customWidth="1"/>
    <col min="2304" max="2304" width="9.6640625" style="9"/>
    <col min="2305" max="2305" width="15.33203125" style="9" customWidth="1"/>
    <col min="2306" max="2306" width="15.21875" style="9" customWidth="1"/>
    <col min="2307" max="2307" width="21.44140625" style="9" customWidth="1"/>
    <col min="2308" max="2323" width="9.6640625" style="9"/>
    <col min="2324" max="2325" width="13.44140625" style="9" customWidth="1"/>
    <col min="2326" max="2326" width="9.6640625" style="9"/>
    <col min="2327" max="2327" width="13.88671875" style="9" customWidth="1"/>
    <col min="2328" max="2328" width="10.6640625" style="9" customWidth="1"/>
    <col min="2329" max="2329" width="17.33203125" style="9" customWidth="1"/>
    <col min="2330" max="2331" width="12.6640625" style="9" customWidth="1"/>
    <col min="2332" max="2332" width="11.21875" style="9" customWidth="1"/>
    <col min="2333" max="2333" width="18.33203125" style="9" customWidth="1"/>
    <col min="2334" max="2334" width="12.88671875" style="9" customWidth="1"/>
    <col min="2335" max="2336" width="13.21875" style="9" customWidth="1"/>
    <col min="2337" max="2337" width="10.88671875" style="9" customWidth="1"/>
    <col min="2338" max="2338" width="11.109375" style="9" customWidth="1"/>
    <col min="2339" max="2339" width="15.21875" style="9" customWidth="1"/>
    <col min="2340" max="2340" width="9.6640625" style="9"/>
    <col min="2341" max="2341" width="11" style="9" customWidth="1"/>
    <col min="2342" max="2342" width="10.77734375" style="9" customWidth="1"/>
    <col min="2343" max="2343" width="11.44140625" style="9" customWidth="1"/>
    <col min="2344" max="2344" width="4" style="9" customWidth="1"/>
    <col min="2345" max="2535" width="9.6640625" style="9"/>
    <col min="2536" max="2536" width="6.44140625" style="9" customWidth="1"/>
    <col min="2537" max="2537" width="13.88671875" style="9" customWidth="1"/>
    <col min="2538" max="2538" width="14.33203125" style="9" customWidth="1"/>
    <col min="2539" max="2555" width="9.6640625" style="9"/>
    <col min="2556" max="2556" width="12" style="9" customWidth="1"/>
    <col min="2557" max="2557" width="12.77734375" style="9" customWidth="1"/>
    <col min="2558" max="2558" width="11.109375" style="9" customWidth="1"/>
    <col min="2559" max="2559" width="12" style="9" customWidth="1"/>
    <col min="2560" max="2560" width="9.6640625" style="9"/>
    <col min="2561" max="2561" width="15.33203125" style="9" customWidth="1"/>
    <col min="2562" max="2562" width="15.21875" style="9" customWidth="1"/>
    <col min="2563" max="2563" width="21.44140625" style="9" customWidth="1"/>
    <col min="2564" max="2579" width="9.6640625" style="9"/>
    <col min="2580" max="2581" width="13.44140625" style="9" customWidth="1"/>
    <col min="2582" max="2582" width="9.6640625" style="9"/>
    <col min="2583" max="2583" width="13.88671875" style="9" customWidth="1"/>
    <col min="2584" max="2584" width="10.6640625" style="9" customWidth="1"/>
    <col min="2585" max="2585" width="17.33203125" style="9" customWidth="1"/>
    <col min="2586" max="2587" width="12.6640625" style="9" customWidth="1"/>
    <col min="2588" max="2588" width="11.21875" style="9" customWidth="1"/>
    <col min="2589" max="2589" width="18.33203125" style="9" customWidth="1"/>
    <col min="2590" max="2590" width="12.88671875" style="9" customWidth="1"/>
    <col min="2591" max="2592" width="13.21875" style="9" customWidth="1"/>
    <col min="2593" max="2593" width="10.88671875" style="9" customWidth="1"/>
    <col min="2594" max="2594" width="11.109375" style="9" customWidth="1"/>
    <col min="2595" max="2595" width="15.21875" style="9" customWidth="1"/>
    <col min="2596" max="2596" width="9.6640625" style="9"/>
    <col min="2597" max="2597" width="11" style="9" customWidth="1"/>
    <col min="2598" max="2598" width="10.77734375" style="9" customWidth="1"/>
    <col min="2599" max="2599" width="11.44140625" style="9" customWidth="1"/>
    <col min="2600" max="2600" width="4" style="9" customWidth="1"/>
    <col min="2601" max="2791" width="9.6640625" style="9"/>
    <col min="2792" max="2792" width="6.44140625" style="9" customWidth="1"/>
    <col min="2793" max="2793" width="13.88671875" style="9" customWidth="1"/>
    <col min="2794" max="2794" width="14.33203125" style="9" customWidth="1"/>
    <col min="2795" max="2811" width="9.6640625" style="9"/>
    <col min="2812" max="2812" width="12" style="9" customWidth="1"/>
    <col min="2813" max="2813" width="12.77734375" style="9" customWidth="1"/>
    <col min="2814" max="2814" width="11.109375" style="9" customWidth="1"/>
    <col min="2815" max="2815" width="12" style="9" customWidth="1"/>
    <col min="2816" max="2816" width="9.6640625" style="9"/>
    <col min="2817" max="2817" width="15.33203125" style="9" customWidth="1"/>
    <col min="2818" max="2818" width="15.21875" style="9" customWidth="1"/>
    <col min="2819" max="2819" width="21.44140625" style="9" customWidth="1"/>
    <col min="2820" max="2835" width="9.6640625" style="9"/>
    <col min="2836" max="2837" width="13.44140625" style="9" customWidth="1"/>
    <col min="2838" max="2838" width="9.6640625" style="9"/>
    <col min="2839" max="2839" width="13.88671875" style="9" customWidth="1"/>
    <col min="2840" max="2840" width="10.6640625" style="9" customWidth="1"/>
    <col min="2841" max="2841" width="17.33203125" style="9" customWidth="1"/>
    <col min="2842" max="2843" width="12.6640625" style="9" customWidth="1"/>
    <col min="2844" max="2844" width="11.21875" style="9" customWidth="1"/>
    <col min="2845" max="2845" width="18.33203125" style="9" customWidth="1"/>
    <col min="2846" max="2846" width="12.88671875" style="9" customWidth="1"/>
    <col min="2847" max="2848" width="13.21875" style="9" customWidth="1"/>
    <col min="2849" max="2849" width="10.88671875" style="9" customWidth="1"/>
    <col min="2850" max="2850" width="11.109375" style="9" customWidth="1"/>
    <col min="2851" max="2851" width="15.21875" style="9" customWidth="1"/>
    <col min="2852" max="2852" width="9.6640625" style="9"/>
    <col min="2853" max="2853" width="11" style="9" customWidth="1"/>
    <col min="2854" max="2854" width="10.77734375" style="9" customWidth="1"/>
    <col min="2855" max="2855" width="11.44140625" style="9" customWidth="1"/>
    <col min="2856" max="2856" width="4" style="9" customWidth="1"/>
    <col min="2857" max="3047" width="9.6640625" style="9"/>
    <col min="3048" max="3048" width="6.44140625" style="9" customWidth="1"/>
    <col min="3049" max="3049" width="13.88671875" style="9" customWidth="1"/>
    <col min="3050" max="3050" width="14.33203125" style="9" customWidth="1"/>
    <col min="3051" max="3067" width="9.6640625" style="9"/>
    <col min="3068" max="3068" width="12" style="9" customWidth="1"/>
    <col min="3069" max="3069" width="12.77734375" style="9" customWidth="1"/>
    <col min="3070" max="3070" width="11.109375" style="9" customWidth="1"/>
    <col min="3071" max="3071" width="12" style="9" customWidth="1"/>
    <col min="3072" max="3072" width="9.6640625" style="9"/>
    <col min="3073" max="3073" width="15.33203125" style="9" customWidth="1"/>
    <col min="3074" max="3074" width="15.21875" style="9" customWidth="1"/>
    <col min="3075" max="3075" width="21.44140625" style="9" customWidth="1"/>
    <col min="3076" max="3091" width="9.6640625" style="9"/>
    <col min="3092" max="3093" width="13.44140625" style="9" customWidth="1"/>
    <col min="3094" max="3094" width="9.6640625" style="9"/>
    <col min="3095" max="3095" width="13.88671875" style="9" customWidth="1"/>
    <col min="3096" max="3096" width="10.6640625" style="9" customWidth="1"/>
    <col min="3097" max="3097" width="17.33203125" style="9" customWidth="1"/>
    <col min="3098" max="3099" width="12.6640625" style="9" customWidth="1"/>
    <col min="3100" max="3100" width="11.21875" style="9" customWidth="1"/>
    <col min="3101" max="3101" width="18.33203125" style="9" customWidth="1"/>
    <col min="3102" max="3102" width="12.88671875" style="9" customWidth="1"/>
    <col min="3103" max="3104" width="13.21875" style="9" customWidth="1"/>
    <col min="3105" max="3105" width="10.88671875" style="9" customWidth="1"/>
    <col min="3106" max="3106" width="11.109375" style="9" customWidth="1"/>
    <col min="3107" max="3107" width="15.21875" style="9" customWidth="1"/>
    <col min="3108" max="3108" width="9.6640625" style="9"/>
    <col min="3109" max="3109" width="11" style="9" customWidth="1"/>
    <col min="3110" max="3110" width="10.77734375" style="9" customWidth="1"/>
    <col min="3111" max="3111" width="11.44140625" style="9" customWidth="1"/>
    <col min="3112" max="3112" width="4" style="9" customWidth="1"/>
    <col min="3113" max="3303" width="9.6640625" style="9"/>
    <col min="3304" max="3304" width="6.44140625" style="9" customWidth="1"/>
    <col min="3305" max="3305" width="13.88671875" style="9" customWidth="1"/>
    <col min="3306" max="3306" width="14.33203125" style="9" customWidth="1"/>
    <col min="3307" max="3323" width="9.6640625" style="9"/>
    <col min="3324" max="3324" width="12" style="9" customWidth="1"/>
    <col min="3325" max="3325" width="12.77734375" style="9" customWidth="1"/>
    <col min="3326" max="3326" width="11.109375" style="9" customWidth="1"/>
    <col min="3327" max="3327" width="12" style="9" customWidth="1"/>
    <col min="3328" max="3328" width="9.6640625" style="9"/>
    <col min="3329" max="3329" width="15.33203125" style="9" customWidth="1"/>
    <col min="3330" max="3330" width="15.21875" style="9" customWidth="1"/>
    <col min="3331" max="3331" width="21.44140625" style="9" customWidth="1"/>
    <col min="3332" max="3347" width="9.6640625" style="9"/>
    <col min="3348" max="3349" width="13.44140625" style="9" customWidth="1"/>
    <col min="3350" max="3350" width="9.6640625" style="9"/>
    <col min="3351" max="3351" width="13.88671875" style="9" customWidth="1"/>
    <col min="3352" max="3352" width="10.6640625" style="9" customWidth="1"/>
    <col min="3353" max="3353" width="17.33203125" style="9" customWidth="1"/>
    <col min="3354" max="3355" width="12.6640625" style="9" customWidth="1"/>
    <col min="3356" max="3356" width="11.21875" style="9" customWidth="1"/>
    <col min="3357" max="3357" width="18.33203125" style="9" customWidth="1"/>
    <col min="3358" max="3358" width="12.88671875" style="9" customWidth="1"/>
    <col min="3359" max="3360" width="13.21875" style="9" customWidth="1"/>
    <col min="3361" max="3361" width="10.88671875" style="9" customWidth="1"/>
    <col min="3362" max="3362" width="11.109375" style="9" customWidth="1"/>
    <col min="3363" max="3363" width="15.21875" style="9" customWidth="1"/>
    <col min="3364" max="3364" width="9.6640625" style="9"/>
    <col min="3365" max="3365" width="11" style="9" customWidth="1"/>
    <col min="3366" max="3366" width="10.77734375" style="9" customWidth="1"/>
    <col min="3367" max="3367" width="11.44140625" style="9" customWidth="1"/>
    <col min="3368" max="3368" width="4" style="9" customWidth="1"/>
    <col min="3369" max="3559" width="9.6640625" style="9"/>
    <col min="3560" max="3560" width="6.44140625" style="9" customWidth="1"/>
    <col min="3561" max="3561" width="13.88671875" style="9" customWidth="1"/>
    <col min="3562" max="3562" width="14.33203125" style="9" customWidth="1"/>
    <col min="3563" max="3579" width="9.6640625" style="9"/>
    <col min="3580" max="3580" width="12" style="9" customWidth="1"/>
    <col min="3581" max="3581" width="12.77734375" style="9" customWidth="1"/>
    <col min="3582" max="3582" width="11.109375" style="9" customWidth="1"/>
    <col min="3583" max="3583" width="12" style="9" customWidth="1"/>
    <col min="3584" max="3584" width="9.6640625" style="9"/>
    <col min="3585" max="3585" width="15.33203125" style="9" customWidth="1"/>
    <col min="3586" max="3586" width="15.21875" style="9" customWidth="1"/>
    <col min="3587" max="3587" width="21.44140625" style="9" customWidth="1"/>
    <col min="3588" max="3603" width="9.6640625" style="9"/>
    <col min="3604" max="3605" width="13.44140625" style="9" customWidth="1"/>
    <col min="3606" max="3606" width="9.6640625" style="9"/>
    <col min="3607" max="3607" width="13.88671875" style="9" customWidth="1"/>
    <col min="3608" max="3608" width="10.6640625" style="9" customWidth="1"/>
    <col min="3609" max="3609" width="17.33203125" style="9" customWidth="1"/>
    <col min="3610" max="3611" width="12.6640625" style="9" customWidth="1"/>
    <col min="3612" max="3612" width="11.21875" style="9" customWidth="1"/>
    <col min="3613" max="3613" width="18.33203125" style="9" customWidth="1"/>
    <col min="3614" max="3614" width="12.88671875" style="9" customWidth="1"/>
    <col min="3615" max="3616" width="13.21875" style="9" customWidth="1"/>
    <col min="3617" max="3617" width="10.88671875" style="9" customWidth="1"/>
    <col min="3618" max="3618" width="11.109375" style="9" customWidth="1"/>
    <col min="3619" max="3619" width="15.21875" style="9" customWidth="1"/>
    <col min="3620" max="3620" width="9.6640625" style="9"/>
    <col min="3621" max="3621" width="11" style="9" customWidth="1"/>
    <col min="3622" max="3622" width="10.77734375" style="9" customWidth="1"/>
    <col min="3623" max="3623" width="11.44140625" style="9" customWidth="1"/>
    <col min="3624" max="3624" width="4" style="9" customWidth="1"/>
    <col min="3625" max="3815" width="9.6640625" style="9"/>
    <col min="3816" max="3816" width="6.44140625" style="9" customWidth="1"/>
    <col min="3817" max="3817" width="13.88671875" style="9" customWidth="1"/>
    <col min="3818" max="3818" width="14.33203125" style="9" customWidth="1"/>
    <col min="3819" max="3835" width="9.6640625" style="9"/>
    <col min="3836" max="3836" width="12" style="9" customWidth="1"/>
    <col min="3837" max="3837" width="12.77734375" style="9" customWidth="1"/>
    <col min="3838" max="3838" width="11.109375" style="9" customWidth="1"/>
    <col min="3839" max="3839" width="12" style="9" customWidth="1"/>
    <col min="3840" max="3840" width="9.6640625" style="9"/>
    <col min="3841" max="3841" width="15.33203125" style="9" customWidth="1"/>
    <col min="3842" max="3842" width="15.21875" style="9" customWidth="1"/>
    <col min="3843" max="3843" width="21.44140625" style="9" customWidth="1"/>
    <col min="3844" max="3859" width="9.6640625" style="9"/>
    <col min="3860" max="3861" width="13.44140625" style="9" customWidth="1"/>
    <col min="3862" max="3862" width="9.6640625" style="9"/>
    <col min="3863" max="3863" width="13.88671875" style="9" customWidth="1"/>
    <col min="3864" max="3864" width="10.6640625" style="9" customWidth="1"/>
    <col min="3865" max="3865" width="17.33203125" style="9" customWidth="1"/>
    <col min="3866" max="3867" width="12.6640625" style="9" customWidth="1"/>
    <col min="3868" max="3868" width="11.21875" style="9" customWidth="1"/>
    <col min="3869" max="3869" width="18.33203125" style="9" customWidth="1"/>
    <col min="3870" max="3870" width="12.88671875" style="9" customWidth="1"/>
    <col min="3871" max="3872" width="13.21875" style="9" customWidth="1"/>
    <col min="3873" max="3873" width="10.88671875" style="9" customWidth="1"/>
    <col min="3874" max="3874" width="11.109375" style="9" customWidth="1"/>
    <col min="3875" max="3875" width="15.21875" style="9" customWidth="1"/>
    <col min="3876" max="3876" width="9.6640625" style="9"/>
    <col min="3877" max="3877" width="11" style="9" customWidth="1"/>
    <col min="3878" max="3878" width="10.77734375" style="9" customWidth="1"/>
    <col min="3879" max="3879" width="11.44140625" style="9" customWidth="1"/>
    <col min="3880" max="3880" width="4" style="9" customWidth="1"/>
    <col min="3881" max="4071" width="9.6640625" style="9"/>
    <col min="4072" max="4072" width="6.44140625" style="9" customWidth="1"/>
    <col min="4073" max="4073" width="13.88671875" style="9" customWidth="1"/>
    <col min="4074" max="4074" width="14.33203125" style="9" customWidth="1"/>
    <col min="4075" max="4091" width="9.6640625" style="9"/>
    <col min="4092" max="4092" width="12" style="9" customWidth="1"/>
    <col min="4093" max="4093" width="12.77734375" style="9" customWidth="1"/>
    <col min="4094" max="4094" width="11.109375" style="9" customWidth="1"/>
    <col min="4095" max="4095" width="12" style="9" customWidth="1"/>
    <col min="4096" max="4096" width="9.6640625" style="9"/>
    <col min="4097" max="4097" width="15.33203125" style="9" customWidth="1"/>
    <col min="4098" max="4098" width="15.21875" style="9" customWidth="1"/>
    <col min="4099" max="4099" width="21.44140625" style="9" customWidth="1"/>
    <col min="4100" max="4115" width="9.6640625" style="9"/>
    <col min="4116" max="4117" width="13.44140625" style="9" customWidth="1"/>
    <col min="4118" max="4118" width="9.6640625" style="9"/>
    <col min="4119" max="4119" width="13.88671875" style="9" customWidth="1"/>
    <col min="4120" max="4120" width="10.6640625" style="9" customWidth="1"/>
    <col min="4121" max="4121" width="17.33203125" style="9" customWidth="1"/>
    <col min="4122" max="4123" width="12.6640625" style="9" customWidth="1"/>
    <col min="4124" max="4124" width="11.21875" style="9" customWidth="1"/>
    <col min="4125" max="4125" width="18.33203125" style="9" customWidth="1"/>
    <col min="4126" max="4126" width="12.88671875" style="9" customWidth="1"/>
    <col min="4127" max="4128" width="13.21875" style="9" customWidth="1"/>
    <col min="4129" max="4129" width="10.88671875" style="9" customWidth="1"/>
    <col min="4130" max="4130" width="11.109375" style="9" customWidth="1"/>
    <col min="4131" max="4131" width="15.21875" style="9" customWidth="1"/>
    <col min="4132" max="4132" width="9.6640625" style="9"/>
    <col min="4133" max="4133" width="11" style="9" customWidth="1"/>
    <col min="4134" max="4134" width="10.77734375" style="9" customWidth="1"/>
    <col min="4135" max="4135" width="11.44140625" style="9" customWidth="1"/>
    <col min="4136" max="4136" width="4" style="9" customWidth="1"/>
    <col min="4137" max="4327" width="9.6640625" style="9"/>
    <col min="4328" max="4328" width="6.44140625" style="9" customWidth="1"/>
    <col min="4329" max="4329" width="13.88671875" style="9" customWidth="1"/>
    <col min="4330" max="4330" width="14.33203125" style="9" customWidth="1"/>
    <col min="4331" max="4347" width="9.6640625" style="9"/>
    <col min="4348" max="4348" width="12" style="9" customWidth="1"/>
    <col min="4349" max="4349" width="12.77734375" style="9" customWidth="1"/>
    <col min="4350" max="4350" width="11.109375" style="9" customWidth="1"/>
    <col min="4351" max="4351" width="12" style="9" customWidth="1"/>
    <col min="4352" max="4352" width="9.6640625" style="9"/>
    <col min="4353" max="4353" width="15.33203125" style="9" customWidth="1"/>
    <col min="4354" max="4354" width="15.21875" style="9" customWidth="1"/>
    <col min="4355" max="4355" width="21.44140625" style="9" customWidth="1"/>
    <col min="4356" max="4371" width="9.6640625" style="9"/>
    <col min="4372" max="4373" width="13.44140625" style="9" customWidth="1"/>
    <col min="4374" max="4374" width="9.6640625" style="9"/>
    <col min="4375" max="4375" width="13.88671875" style="9" customWidth="1"/>
    <col min="4376" max="4376" width="10.6640625" style="9" customWidth="1"/>
    <col min="4377" max="4377" width="17.33203125" style="9" customWidth="1"/>
    <col min="4378" max="4379" width="12.6640625" style="9" customWidth="1"/>
    <col min="4380" max="4380" width="11.21875" style="9" customWidth="1"/>
    <col min="4381" max="4381" width="18.33203125" style="9" customWidth="1"/>
    <col min="4382" max="4382" width="12.88671875" style="9" customWidth="1"/>
    <col min="4383" max="4384" width="13.21875" style="9" customWidth="1"/>
    <col min="4385" max="4385" width="10.88671875" style="9" customWidth="1"/>
    <col min="4386" max="4386" width="11.109375" style="9" customWidth="1"/>
    <col min="4387" max="4387" width="15.21875" style="9" customWidth="1"/>
    <col min="4388" max="4388" width="9.6640625" style="9"/>
    <col min="4389" max="4389" width="11" style="9" customWidth="1"/>
    <col min="4390" max="4390" width="10.77734375" style="9" customWidth="1"/>
    <col min="4391" max="4391" width="11.44140625" style="9" customWidth="1"/>
    <col min="4392" max="4392" width="4" style="9" customWidth="1"/>
    <col min="4393" max="4583" width="9.6640625" style="9"/>
    <col min="4584" max="4584" width="6.44140625" style="9" customWidth="1"/>
    <col min="4585" max="4585" width="13.88671875" style="9" customWidth="1"/>
    <col min="4586" max="4586" width="14.33203125" style="9" customWidth="1"/>
    <col min="4587" max="4603" width="9.6640625" style="9"/>
    <col min="4604" max="4604" width="12" style="9" customWidth="1"/>
    <col min="4605" max="4605" width="12.77734375" style="9" customWidth="1"/>
    <col min="4606" max="4606" width="11.109375" style="9" customWidth="1"/>
    <col min="4607" max="4607" width="12" style="9" customWidth="1"/>
    <col min="4608" max="4608" width="9.6640625" style="9"/>
    <col min="4609" max="4609" width="15.33203125" style="9" customWidth="1"/>
    <col min="4610" max="4610" width="15.21875" style="9" customWidth="1"/>
    <col min="4611" max="4611" width="21.44140625" style="9" customWidth="1"/>
    <col min="4612" max="4627" width="9.6640625" style="9"/>
    <col min="4628" max="4629" width="13.44140625" style="9" customWidth="1"/>
    <col min="4630" max="4630" width="9.6640625" style="9"/>
    <col min="4631" max="4631" width="13.88671875" style="9" customWidth="1"/>
    <col min="4632" max="4632" width="10.6640625" style="9" customWidth="1"/>
    <col min="4633" max="4633" width="17.33203125" style="9" customWidth="1"/>
    <col min="4634" max="4635" width="12.6640625" style="9" customWidth="1"/>
    <col min="4636" max="4636" width="11.21875" style="9" customWidth="1"/>
    <col min="4637" max="4637" width="18.33203125" style="9" customWidth="1"/>
    <col min="4638" max="4638" width="12.88671875" style="9" customWidth="1"/>
    <col min="4639" max="4640" width="13.21875" style="9" customWidth="1"/>
    <col min="4641" max="4641" width="10.88671875" style="9" customWidth="1"/>
    <col min="4642" max="4642" width="11.109375" style="9" customWidth="1"/>
    <col min="4643" max="4643" width="15.21875" style="9" customWidth="1"/>
    <col min="4644" max="4644" width="9.6640625" style="9"/>
    <col min="4645" max="4645" width="11" style="9" customWidth="1"/>
    <col min="4646" max="4646" width="10.77734375" style="9" customWidth="1"/>
    <col min="4647" max="4647" width="11.44140625" style="9" customWidth="1"/>
    <col min="4648" max="4648" width="4" style="9" customWidth="1"/>
    <col min="4649" max="4839" width="9.6640625" style="9"/>
    <col min="4840" max="4840" width="6.44140625" style="9" customWidth="1"/>
    <col min="4841" max="4841" width="13.88671875" style="9" customWidth="1"/>
    <col min="4842" max="4842" width="14.33203125" style="9" customWidth="1"/>
    <col min="4843" max="4859" width="9.6640625" style="9"/>
    <col min="4860" max="4860" width="12" style="9" customWidth="1"/>
    <col min="4861" max="4861" width="12.77734375" style="9" customWidth="1"/>
    <col min="4862" max="4862" width="11.109375" style="9" customWidth="1"/>
    <col min="4863" max="4863" width="12" style="9" customWidth="1"/>
    <col min="4864" max="4864" width="9.6640625" style="9"/>
    <col min="4865" max="4865" width="15.33203125" style="9" customWidth="1"/>
    <col min="4866" max="4866" width="15.21875" style="9" customWidth="1"/>
    <col min="4867" max="4867" width="21.44140625" style="9" customWidth="1"/>
    <col min="4868" max="4883" width="9.6640625" style="9"/>
    <col min="4884" max="4885" width="13.44140625" style="9" customWidth="1"/>
    <col min="4886" max="4886" width="9.6640625" style="9"/>
    <col min="4887" max="4887" width="13.88671875" style="9" customWidth="1"/>
    <col min="4888" max="4888" width="10.6640625" style="9" customWidth="1"/>
    <col min="4889" max="4889" width="17.33203125" style="9" customWidth="1"/>
    <col min="4890" max="4891" width="12.6640625" style="9" customWidth="1"/>
    <col min="4892" max="4892" width="11.21875" style="9" customWidth="1"/>
    <col min="4893" max="4893" width="18.33203125" style="9" customWidth="1"/>
    <col min="4894" max="4894" width="12.88671875" style="9" customWidth="1"/>
    <col min="4895" max="4896" width="13.21875" style="9" customWidth="1"/>
    <col min="4897" max="4897" width="10.88671875" style="9" customWidth="1"/>
    <col min="4898" max="4898" width="11.109375" style="9" customWidth="1"/>
    <col min="4899" max="4899" width="15.21875" style="9" customWidth="1"/>
    <col min="4900" max="4900" width="9.6640625" style="9"/>
    <col min="4901" max="4901" width="11" style="9" customWidth="1"/>
    <col min="4902" max="4902" width="10.77734375" style="9" customWidth="1"/>
    <col min="4903" max="4903" width="11.44140625" style="9" customWidth="1"/>
    <col min="4904" max="4904" width="4" style="9" customWidth="1"/>
    <col min="4905" max="5095" width="9.6640625" style="9"/>
    <col min="5096" max="5096" width="6.44140625" style="9" customWidth="1"/>
    <col min="5097" max="5097" width="13.88671875" style="9" customWidth="1"/>
    <col min="5098" max="5098" width="14.33203125" style="9" customWidth="1"/>
    <col min="5099" max="5115" width="9.6640625" style="9"/>
    <col min="5116" max="5116" width="12" style="9" customWidth="1"/>
    <col min="5117" max="5117" width="12.77734375" style="9" customWidth="1"/>
    <col min="5118" max="5118" width="11.109375" style="9" customWidth="1"/>
    <col min="5119" max="5119" width="12" style="9" customWidth="1"/>
    <col min="5120" max="5120" width="9.6640625" style="9"/>
    <col min="5121" max="5121" width="15.33203125" style="9" customWidth="1"/>
    <col min="5122" max="5122" width="15.21875" style="9" customWidth="1"/>
    <col min="5123" max="5123" width="21.44140625" style="9" customWidth="1"/>
    <col min="5124" max="5139" width="9.6640625" style="9"/>
    <col min="5140" max="5141" width="13.44140625" style="9" customWidth="1"/>
    <col min="5142" max="5142" width="9.6640625" style="9"/>
    <col min="5143" max="5143" width="13.88671875" style="9" customWidth="1"/>
    <col min="5144" max="5144" width="10.6640625" style="9" customWidth="1"/>
    <col min="5145" max="5145" width="17.33203125" style="9" customWidth="1"/>
    <col min="5146" max="5147" width="12.6640625" style="9" customWidth="1"/>
    <col min="5148" max="5148" width="11.21875" style="9" customWidth="1"/>
    <col min="5149" max="5149" width="18.33203125" style="9" customWidth="1"/>
    <col min="5150" max="5150" width="12.88671875" style="9" customWidth="1"/>
    <col min="5151" max="5152" width="13.21875" style="9" customWidth="1"/>
    <col min="5153" max="5153" width="10.88671875" style="9" customWidth="1"/>
    <col min="5154" max="5154" width="11.109375" style="9" customWidth="1"/>
    <col min="5155" max="5155" width="15.21875" style="9" customWidth="1"/>
    <col min="5156" max="5156" width="9.6640625" style="9"/>
    <col min="5157" max="5157" width="11" style="9" customWidth="1"/>
    <col min="5158" max="5158" width="10.77734375" style="9" customWidth="1"/>
    <col min="5159" max="5159" width="11.44140625" style="9" customWidth="1"/>
    <col min="5160" max="5160" width="4" style="9" customWidth="1"/>
    <col min="5161" max="5351" width="9.6640625" style="9"/>
    <col min="5352" max="5352" width="6.44140625" style="9" customWidth="1"/>
    <col min="5353" max="5353" width="13.88671875" style="9" customWidth="1"/>
    <col min="5354" max="5354" width="14.33203125" style="9" customWidth="1"/>
    <col min="5355" max="5371" width="9.6640625" style="9"/>
    <col min="5372" max="5372" width="12" style="9" customWidth="1"/>
    <col min="5373" max="5373" width="12.77734375" style="9" customWidth="1"/>
    <col min="5374" max="5374" width="11.109375" style="9" customWidth="1"/>
    <col min="5375" max="5375" width="12" style="9" customWidth="1"/>
    <col min="5376" max="5376" width="9.6640625" style="9"/>
    <col min="5377" max="5377" width="15.33203125" style="9" customWidth="1"/>
    <col min="5378" max="5378" width="15.21875" style="9" customWidth="1"/>
    <col min="5379" max="5379" width="21.44140625" style="9" customWidth="1"/>
    <col min="5380" max="5395" width="9.6640625" style="9"/>
    <col min="5396" max="5397" width="13.44140625" style="9" customWidth="1"/>
    <col min="5398" max="5398" width="9.6640625" style="9"/>
    <col min="5399" max="5399" width="13.88671875" style="9" customWidth="1"/>
    <col min="5400" max="5400" width="10.6640625" style="9" customWidth="1"/>
    <col min="5401" max="5401" width="17.33203125" style="9" customWidth="1"/>
    <col min="5402" max="5403" width="12.6640625" style="9" customWidth="1"/>
    <col min="5404" max="5404" width="11.21875" style="9" customWidth="1"/>
    <col min="5405" max="5405" width="18.33203125" style="9" customWidth="1"/>
    <col min="5406" max="5406" width="12.88671875" style="9" customWidth="1"/>
    <col min="5407" max="5408" width="13.21875" style="9" customWidth="1"/>
    <col min="5409" max="5409" width="10.88671875" style="9" customWidth="1"/>
    <col min="5410" max="5410" width="11.109375" style="9" customWidth="1"/>
    <col min="5411" max="5411" width="15.21875" style="9" customWidth="1"/>
    <col min="5412" max="5412" width="9.6640625" style="9"/>
    <col min="5413" max="5413" width="11" style="9" customWidth="1"/>
    <col min="5414" max="5414" width="10.77734375" style="9" customWidth="1"/>
    <col min="5415" max="5415" width="11.44140625" style="9" customWidth="1"/>
    <col min="5416" max="5416" width="4" style="9" customWidth="1"/>
    <col min="5417" max="5607" width="9.6640625" style="9"/>
    <col min="5608" max="5608" width="6.44140625" style="9" customWidth="1"/>
    <col min="5609" max="5609" width="13.88671875" style="9" customWidth="1"/>
    <col min="5610" max="5610" width="14.33203125" style="9" customWidth="1"/>
    <col min="5611" max="5627" width="9.6640625" style="9"/>
    <col min="5628" max="5628" width="12" style="9" customWidth="1"/>
    <col min="5629" max="5629" width="12.77734375" style="9" customWidth="1"/>
    <col min="5630" max="5630" width="11.109375" style="9" customWidth="1"/>
    <col min="5631" max="5631" width="12" style="9" customWidth="1"/>
    <col min="5632" max="5632" width="9.6640625" style="9"/>
    <col min="5633" max="5633" width="15.33203125" style="9" customWidth="1"/>
    <col min="5634" max="5634" width="15.21875" style="9" customWidth="1"/>
    <col min="5635" max="5635" width="21.44140625" style="9" customWidth="1"/>
    <col min="5636" max="5651" width="9.6640625" style="9"/>
    <col min="5652" max="5653" width="13.44140625" style="9" customWidth="1"/>
    <col min="5654" max="5654" width="9.6640625" style="9"/>
    <col min="5655" max="5655" width="13.88671875" style="9" customWidth="1"/>
    <col min="5656" max="5656" width="10.6640625" style="9" customWidth="1"/>
    <col min="5657" max="5657" width="17.33203125" style="9" customWidth="1"/>
    <col min="5658" max="5659" width="12.6640625" style="9" customWidth="1"/>
    <col min="5660" max="5660" width="11.21875" style="9" customWidth="1"/>
    <col min="5661" max="5661" width="18.33203125" style="9" customWidth="1"/>
    <col min="5662" max="5662" width="12.88671875" style="9" customWidth="1"/>
    <col min="5663" max="5664" width="13.21875" style="9" customWidth="1"/>
    <col min="5665" max="5665" width="10.88671875" style="9" customWidth="1"/>
    <col min="5666" max="5666" width="11.109375" style="9" customWidth="1"/>
    <col min="5667" max="5667" width="15.21875" style="9" customWidth="1"/>
    <col min="5668" max="5668" width="9.6640625" style="9"/>
    <col min="5669" max="5669" width="11" style="9" customWidth="1"/>
    <col min="5670" max="5670" width="10.77734375" style="9" customWidth="1"/>
    <col min="5671" max="5671" width="11.44140625" style="9" customWidth="1"/>
    <col min="5672" max="5672" width="4" style="9" customWidth="1"/>
    <col min="5673" max="5863" width="9.6640625" style="9"/>
    <col min="5864" max="5864" width="6.44140625" style="9" customWidth="1"/>
    <col min="5865" max="5865" width="13.88671875" style="9" customWidth="1"/>
    <col min="5866" max="5866" width="14.33203125" style="9" customWidth="1"/>
    <col min="5867" max="5883" width="9.6640625" style="9"/>
    <col min="5884" max="5884" width="12" style="9" customWidth="1"/>
    <col min="5885" max="5885" width="12.77734375" style="9" customWidth="1"/>
    <col min="5886" max="5886" width="11.109375" style="9" customWidth="1"/>
    <col min="5887" max="5887" width="12" style="9" customWidth="1"/>
    <col min="5888" max="5888" width="9.6640625" style="9"/>
    <col min="5889" max="5889" width="15.33203125" style="9" customWidth="1"/>
    <col min="5890" max="5890" width="15.21875" style="9" customWidth="1"/>
    <col min="5891" max="5891" width="21.44140625" style="9" customWidth="1"/>
    <col min="5892" max="5907" width="9.6640625" style="9"/>
    <col min="5908" max="5909" width="13.44140625" style="9" customWidth="1"/>
    <col min="5910" max="5910" width="9.6640625" style="9"/>
    <col min="5911" max="5911" width="13.88671875" style="9" customWidth="1"/>
    <col min="5912" max="5912" width="10.6640625" style="9" customWidth="1"/>
    <col min="5913" max="5913" width="17.33203125" style="9" customWidth="1"/>
    <col min="5914" max="5915" width="12.6640625" style="9" customWidth="1"/>
    <col min="5916" max="5916" width="11.21875" style="9" customWidth="1"/>
    <col min="5917" max="5917" width="18.33203125" style="9" customWidth="1"/>
    <col min="5918" max="5918" width="12.88671875" style="9" customWidth="1"/>
    <col min="5919" max="5920" width="13.21875" style="9" customWidth="1"/>
    <col min="5921" max="5921" width="10.88671875" style="9" customWidth="1"/>
    <col min="5922" max="5922" width="11.109375" style="9" customWidth="1"/>
    <col min="5923" max="5923" width="15.21875" style="9" customWidth="1"/>
    <col min="5924" max="5924" width="9.6640625" style="9"/>
    <col min="5925" max="5925" width="11" style="9" customWidth="1"/>
    <col min="5926" max="5926" width="10.77734375" style="9" customWidth="1"/>
    <col min="5927" max="5927" width="11.44140625" style="9" customWidth="1"/>
    <col min="5928" max="5928" width="4" style="9" customWidth="1"/>
    <col min="5929" max="6119" width="9.6640625" style="9"/>
    <col min="6120" max="6120" width="6.44140625" style="9" customWidth="1"/>
    <col min="6121" max="6121" width="13.88671875" style="9" customWidth="1"/>
    <col min="6122" max="6122" width="14.33203125" style="9" customWidth="1"/>
    <col min="6123" max="6139" width="9.6640625" style="9"/>
    <col min="6140" max="6140" width="12" style="9" customWidth="1"/>
    <col min="6141" max="6141" width="12.77734375" style="9" customWidth="1"/>
    <col min="6142" max="6142" width="11.109375" style="9" customWidth="1"/>
    <col min="6143" max="6143" width="12" style="9" customWidth="1"/>
    <col min="6144" max="6144" width="9.6640625" style="9"/>
    <col min="6145" max="6145" width="15.33203125" style="9" customWidth="1"/>
    <col min="6146" max="6146" width="15.21875" style="9" customWidth="1"/>
    <col min="6147" max="6147" width="21.44140625" style="9" customWidth="1"/>
    <col min="6148" max="6163" width="9.6640625" style="9"/>
    <col min="6164" max="6165" width="13.44140625" style="9" customWidth="1"/>
    <col min="6166" max="6166" width="9.6640625" style="9"/>
    <col min="6167" max="6167" width="13.88671875" style="9" customWidth="1"/>
    <col min="6168" max="6168" width="10.6640625" style="9" customWidth="1"/>
    <col min="6169" max="6169" width="17.33203125" style="9" customWidth="1"/>
    <col min="6170" max="6171" width="12.6640625" style="9" customWidth="1"/>
    <col min="6172" max="6172" width="11.21875" style="9" customWidth="1"/>
    <col min="6173" max="6173" width="18.33203125" style="9" customWidth="1"/>
    <col min="6174" max="6174" width="12.88671875" style="9" customWidth="1"/>
    <col min="6175" max="6176" width="13.21875" style="9" customWidth="1"/>
    <col min="6177" max="6177" width="10.88671875" style="9" customWidth="1"/>
    <col min="6178" max="6178" width="11.109375" style="9" customWidth="1"/>
    <col min="6179" max="6179" width="15.21875" style="9" customWidth="1"/>
    <col min="6180" max="6180" width="9.6640625" style="9"/>
    <col min="6181" max="6181" width="11" style="9" customWidth="1"/>
    <col min="6182" max="6182" width="10.77734375" style="9" customWidth="1"/>
    <col min="6183" max="6183" width="11.44140625" style="9" customWidth="1"/>
    <col min="6184" max="6184" width="4" style="9" customWidth="1"/>
    <col min="6185" max="6375" width="9.6640625" style="9"/>
    <col min="6376" max="6376" width="6.44140625" style="9" customWidth="1"/>
    <col min="6377" max="6377" width="13.88671875" style="9" customWidth="1"/>
    <col min="6378" max="6378" width="14.33203125" style="9" customWidth="1"/>
    <col min="6379" max="6395" width="9.6640625" style="9"/>
    <col min="6396" max="6396" width="12" style="9" customWidth="1"/>
    <col min="6397" max="6397" width="12.77734375" style="9" customWidth="1"/>
    <col min="6398" max="6398" width="11.109375" style="9" customWidth="1"/>
    <col min="6399" max="6399" width="12" style="9" customWidth="1"/>
    <col min="6400" max="6400" width="9.6640625" style="9"/>
    <col min="6401" max="6401" width="15.33203125" style="9" customWidth="1"/>
    <col min="6402" max="6402" width="15.21875" style="9" customWidth="1"/>
    <col min="6403" max="6403" width="21.44140625" style="9" customWidth="1"/>
    <col min="6404" max="6419" width="9.6640625" style="9"/>
    <col min="6420" max="6421" width="13.44140625" style="9" customWidth="1"/>
    <col min="6422" max="6422" width="9.6640625" style="9"/>
    <col min="6423" max="6423" width="13.88671875" style="9" customWidth="1"/>
    <col min="6424" max="6424" width="10.6640625" style="9" customWidth="1"/>
    <col min="6425" max="6425" width="17.33203125" style="9" customWidth="1"/>
    <col min="6426" max="6427" width="12.6640625" style="9" customWidth="1"/>
    <col min="6428" max="6428" width="11.21875" style="9" customWidth="1"/>
    <col min="6429" max="6429" width="18.33203125" style="9" customWidth="1"/>
    <col min="6430" max="6430" width="12.88671875" style="9" customWidth="1"/>
    <col min="6431" max="6432" width="13.21875" style="9" customWidth="1"/>
    <col min="6433" max="6433" width="10.88671875" style="9" customWidth="1"/>
    <col min="6434" max="6434" width="11.109375" style="9" customWidth="1"/>
    <col min="6435" max="6435" width="15.21875" style="9" customWidth="1"/>
    <col min="6436" max="6436" width="9.6640625" style="9"/>
    <col min="6437" max="6437" width="11" style="9" customWidth="1"/>
    <col min="6438" max="6438" width="10.77734375" style="9" customWidth="1"/>
    <col min="6439" max="6439" width="11.44140625" style="9" customWidth="1"/>
    <col min="6440" max="6440" width="4" style="9" customWidth="1"/>
    <col min="6441" max="6631" width="9.6640625" style="9"/>
    <col min="6632" max="6632" width="6.44140625" style="9" customWidth="1"/>
    <col min="6633" max="6633" width="13.88671875" style="9" customWidth="1"/>
    <col min="6634" max="6634" width="14.33203125" style="9" customWidth="1"/>
    <col min="6635" max="6651" width="9.6640625" style="9"/>
    <col min="6652" max="6652" width="12" style="9" customWidth="1"/>
    <col min="6653" max="6653" width="12.77734375" style="9" customWidth="1"/>
    <col min="6654" max="6654" width="11.109375" style="9" customWidth="1"/>
    <col min="6655" max="6655" width="12" style="9" customWidth="1"/>
    <col min="6656" max="6656" width="9.6640625" style="9"/>
    <col min="6657" max="6657" width="15.33203125" style="9" customWidth="1"/>
    <col min="6658" max="6658" width="15.21875" style="9" customWidth="1"/>
    <col min="6659" max="6659" width="21.44140625" style="9" customWidth="1"/>
    <col min="6660" max="6675" width="9.6640625" style="9"/>
    <col min="6676" max="6677" width="13.44140625" style="9" customWidth="1"/>
    <col min="6678" max="6678" width="9.6640625" style="9"/>
    <col min="6679" max="6679" width="13.88671875" style="9" customWidth="1"/>
    <col min="6680" max="6680" width="10.6640625" style="9" customWidth="1"/>
    <col min="6681" max="6681" width="17.33203125" style="9" customWidth="1"/>
    <col min="6682" max="6683" width="12.6640625" style="9" customWidth="1"/>
    <col min="6684" max="6684" width="11.21875" style="9" customWidth="1"/>
    <col min="6685" max="6685" width="18.33203125" style="9" customWidth="1"/>
    <col min="6686" max="6686" width="12.88671875" style="9" customWidth="1"/>
    <col min="6687" max="6688" width="13.21875" style="9" customWidth="1"/>
    <col min="6689" max="6689" width="10.88671875" style="9" customWidth="1"/>
    <col min="6690" max="6690" width="11.109375" style="9" customWidth="1"/>
    <col min="6691" max="6691" width="15.21875" style="9" customWidth="1"/>
    <col min="6692" max="6692" width="9.6640625" style="9"/>
    <col min="6693" max="6693" width="11" style="9" customWidth="1"/>
    <col min="6694" max="6694" width="10.77734375" style="9" customWidth="1"/>
    <col min="6695" max="6695" width="11.44140625" style="9" customWidth="1"/>
    <col min="6696" max="6696" width="4" style="9" customWidth="1"/>
    <col min="6697" max="6887" width="9.6640625" style="9"/>
    <col min="6888" max="6888" width="6.44140625" style="9" customWidth="1"/>
    <col min="6889" max="6889" width="13.88671875" style="9" customWidth="1"/>
    <col min="6890" max="6890" width="14.33203125" style="9" customWidth="1"/>
    <col min="6891" max="6907" width="9.6640625" style="9"/>
    <col min="6908" max="6908" width="12" style="9" customWidth="1"/>
    <col min="6909" max="6909" width="12.77734375" style="9" customWidth="1"/>
    <col min="6910" max="6910" width="11.109375" style="9" customWidth="1"/>
    <col min="6911" max="6911" width="12" style="9" customWidth="1"/>
    <col min="6912" max="6912" width="9.6640625" style="9"/>
    <col min="6913" max="6913" width="15.33203125" style="9" customWidth="1"/>
    <col min="6914" max="6914" width="15.21875" style="9" customWidth="1"/>
    <col min="6915" max="6915" width="21.44140625" style="9" customWidth="1"/>
    <col min="6916" max="6931" width="9.6640625" style="9"/>
    <col min="6932" max="6933" width="13.44140625" style="9" customWidth="1"/>
    <col min="6934" max="6934" width="9.6640625" style="9"/>
    <col min="6935" max="6935" width="13.88671875" style="9" customWidth="1"/>
    <col min="6936" max="6936" width="10.6640625" style="9" customWidth="1"/>
    <col min="6937" max="6937" width="17.33203125" style="9" customWidth="1"/>
    <col min="6938" max="6939" width="12.6640625" style="9" customWidth="1"/>
    <col min="6940" max="6940" width="11.21875" style="9" customWidth="1"/>
    <col min="6941" max="6941" width="18.33203125" style="9" customWidth="1"/>
    <col min="6942" max="6942" width="12.88671875" style="9" customWidth="1"/>
    <col min="6943" max="6944" width="13.21875" style="9" customWidth="1"/>
    <col min="6945" max="6945" width="10.88671875" style="9" customWidth="1"/>
    <col min="6946" max="6946" width="11.109375" style="9" customWidth="1"/>
    <col min="6947" max="6947" width="15.21875" style="9" customWidth="1"/>
    <col min="6948" max="6948" width="9.6640625" style="9"/>
    <col min="6949" max="6949" width="11" style="9" customWidth="1"/>
    <col min="6950" max="6950" width="10.77734375" style="9" customWidth="1"/>
    <col min="6951" max="6951" width="11.44140625" style="9" customWidth="1"/>
    <col min="6952" max="6952" width="4" style="9" customWidth="1"/>
    <col min="6953" max="7143" width="9.6640625" style="9"/>
    <col min="7144" max="7144" width="6.44140625" style="9" customWidth="1"/>
    <col min="7145" max="7145" width="13.88671875" style="9" customWidth="1"/>
    <col min="7146" max="7146" width="14.33203125" style="9" customWidth="1"/>
    <col min="7147" max="7163" width="9.6640625" style="9"/>
    <col min="7164" max="7164" width="12" style="9" customWidth="1"/>
    <col min="7165" max="7165" width="12.77734375" style="9" customWidth="1"/>
    <col min="7166" max="7166" width="11.109375" style="9" customWidth="1"/>
    <col min="7167" max="7167" width="12" style="9" customWidth="1"/>
    <col min="7168" max="7168" width="9.6640625" style="9"/>
    <col min="7169" max="7169" width="15.33203125" style="9" customWidth="1"/>
    <col min="7170" max="7170" width="15.21875" style="9" customWidth="1"/>
    <col min="7171" max="7171" width="21.44140625" style="9" customWidth="1"/>
    <col min="7172" max="7187" width="9.6640625" style="9"/>
    <col min="7188" max="7189" width="13.44140625" style="9" customWidth="1"/>
    <col min="7190" max="7190" width="9.6640625" style="9"/>
    <col min="7191" max="7191" width="13.88671875" style="9" customWidth="1"/>
    <col min="7192" max="7192" width="10.6640625" style="9" customWidth="1"/>
    <col min="7193" max="7193" width="17.33203125" style="9" customWidth="1"/>
    <col min="7194" max="7195" width="12.6640625" style="9" customWidth="1"/>
    <col min="7196" max="7196" width="11.21875" style="9" customWidth="1"/>
    <col min="7197" max="7197" width="18.33203125" style="9" customWidth="1"/>
    <col min="7198" max="7198" width="12.88671875" style="9" customWidth="1"/>
    <col min="7199" max="7200" width="13.21875" style="9" customWidth="1"/>
    <col min="7201" max="7201" width="10.88671875" style="9" customWidth="1"/>
    <col min="7202" max="7202" width="11.109375" style="9" customWidth="1"/>
    <col min="7203" max="7203" width="15.21875" style="9" customWidth="1"/>
    <col min="7204" max="7204" width="9.6640625" style="9"/>
    <col min="7205" max="7205" width="11" style="9" customWidth="1"/>
    <col min="7206" max="7206" width="10.77734375" style="9" customWidth="1"/>
    <col min="7207" max="7207" width="11.44140625" style="9" customWidth="1"/>
    <col min="7208" max="7208" width="4" style="9" customWidth="1"/>
    <col min="7209" max="7399" width="9.6640625" style="9"/>
    <col min="7400" max="7400" width="6.44140625" style="9" customWidth="1"/>
    <col min="7401" max="7401" width="13.88671875" style="9" customWidth="1"/>
    <col min="7402" max="7402" width="14.33203125" style="9" customWidth="1"/>
    <col min="7403" max="7419" width="9.6640625" style="9"/>
    <col min="7420" max="7420" width="12" style="9" customWidth="1"/>
    <col min="7421" max="7421" width="12.77734375" style="9" customWidth="1"/>
    <col min="7422" max="7422" width="11.109375" style="9" customWidth="1"/>
    <col min="7423" max="7423" width="12" style="9" customWidth="1"/>
    <col min="7424" max="7424" width="9.6640625" style="9"/>
    <col min="7425" max="7425" width="15.33203125" style="9" customWidth="1"/>
    <col min="7426" max="7426" width="15.21875" style="9" customWidth="1"/>
    <col min="7427" max="7427" width="21.44140625" style="9" customWidth="1"/>
    <col min="7428" max="7443" width="9.6640625" style="9"/>
    <col min="7444" max="7445" width="13.44140625" style="9" customWidth="1"/>
    <col min="7446" max="7446" width="9.6640625" style="9"/>
    <col min="7447" max="7447" width="13.88671875" style="9" customWidth="1"/>
    <col min="7448" max="7448" width="10.6640625" style="9" customWidth="1"/>
    <col min="7449" max="7449" width="17.33203125" style="9" customWidth="1"/>
    <col min="7450" max="7451" width="12.6640625" style="9" customWidth="1"/>
    <col min="7452" max="7452" width="11.21875" style="9" customWidth="1"/>
    <col min="7453" max="7453" width="18.33203125" style="9" customWidth="1"/>
    <col min="7454" max="7454" width="12.88671875" style="9" customWidth="1"/>
    <col min="7455" max="7456" width="13.21875" style="9" customWidth="1"/>
    <col min="7457" max="7457" width="10.88671875" style="9" customWidth="1"/>
    <col min="7458" max="7458" width="11.109375" style="9" customWidth="1"/>
    <col min="7459" max="7459" width="15.21875" style="9" customWidth="1"/>
    <col min="7460" max="7460" width="9.6640625" style="9"/>
    <col min="7461" max="7461" width="11" style="9" customWidth="1"/>
    <col min="7462" max="7462" width="10.77734375" style="9" customWidth="1"/>
    <col min="7463" max="7463" width="11.44140625" style="9" customWidth="1"/>
    <col min="7464" max="7464" width="4" style="9" customWidth="1"/>
    <col min="7465" max="7655" width="9.6640625" style="9"/>
    <col min="7656" max="7656" width="6.44140625" style="9" customWidth="1"/>
    <col min="7657" max="7657" width="13.88671875" style="9" customWidth="1"/>
    <col min="7658" max="7658" width="14.33203125" style="9" customWidth="1"/>
    <col min="7659" max="7675" width="9.6640625" style="9"/>
    <col min="7676" max="7676" width="12" style="9" customWidth="1"/>
    <col min="7677" max="7677" width="12.77734375" style="9" customWidth="1"/>
    <col min="7678" max="7678" width="11.109375" style="9" customWidth="1"/>
    <col min="7679" max="7679" width="12" style="9" customWidth="1"/>
    <col min="7680" max="7680" width="9.6640625" style="9"/>
    <col min="7681" max="7681" width="15.33203125" style="9" customWidth="1"/>
    <col min="7682" max="7682" width="15.21875" style="9" customWidth="1"/>
    <col min="7683" max="7683" width="21.44140625" style="9" customWidth="1"/>
    <col min="7684" max="7699" width="9.6640625" style="9"/>
    <col min="7700" max="7701" width="13.44140625" style="9" customWidth="1"/>
    <col min="7702" max="7702" width="9.6640625" style="9"/>
    <col min="7703" max="7703" width="13.88671875" style="9" customWidth="1"/>
    <col min="7704" max="7704" width="10.6640625" style="9" customWidth="1"/>
    <col min="7705" max="7705" width="17.33203125" style="9" customWidth="1"/>
    <col min="7706" max="7707" width="12.6640625" style="9" customWidth="1"/>
    <col min="7708" max="7708" width="11.21875" style="9" customWidth="1"/>
    <col min="7709" max="7709" width="18.33203125" style="9" customWidth="1"/>
    <col min="7710" max="7710" width="12.88671875" style="9" customWidth="1"/>
    <col min="7711" max="7712" width="13.21875" style="9" customWidth="1"/>
    <col min="7713" max="7713" width="10.88671875" style="9" customWidth="1"/>
    <col min="7714" max="7714" width="11.109375" style="9" customWidth="1"/>
    <col min="7715" max="7715" width="15.21875" style="9" customWidth="1"/>
    <col min="7716" max="7716" width="9.6640625" style="9"/>
    <col min="7717" max="7717" width="11" style="9" customWidth="1"/>
    <col min="7718" max="7718" width="10.77734375" style="9" customWidth="1"/>
    <col min="7719" max="7719" width="11.44140625" style="9" customWidth="1"/>
    <col min="7720" max="7720" width="4" style="9" customWidth="1"/>
    <col min="7721" max="7911" width="9.6640625" style="9"/>
    <col min="7912" max="7912" width="6.44140625" style="9" customWidth="1"/>
    <col min="7913" max="7913" width="13.88671875" style="9" customWidth="1"/>
    <col min="7914" max="7914" width="14.33203125" style="9" customWidth="1"/>
    <col min="7915" max="7931" width="9.6640625" style="9"/>
    <col min="7932" max="7932" width="12" style="9" customWidth="1"/>
    <col min="7933" max="7933" width="12.77734375" style="9" customWidth="1"/>
    <col min="7934" max="7934" width="11.109375" style="9" customWidth="1"/>
    <col min="7935" max="7935" width="12" style="9" customWidth="1"/>
    <col min="7936" max="7936" width="9.6640625" style="9"/>
    <col min="7937" max="7937" width="15.33203125" style="9" customWidth="1"/>
    <col min="7938" max="7938" width="15.21875" style="9" customWidth="1"/>
    <col min="7939" max="7939" width="21.44140625" style="9" customWidth="1"/>
    <col min="7940" max="7955" width="9.6640625" style="9"/>
    <col min="7956" max="7957" width="13.44140625" style="9" customWidth="1"/>
    <col min="7958" max="7958" width="9.6640625" style="9"/>
    <col min="7959" max="7959" width="13.88671875" style="9" customWidth="1"/>
    <col min="7960" max="7960" width="10.6640625" style="9" customWidth="1"/>
    <col min="7961" max="7961" width="17.33203125" style="9" customWidth="1"/>
    <col min="7962" max="7963" width="12.6640625" style="9" customWidth="1"/>
    <col min="7964" max="7964" width="11.21875" style="9" customWidth="1"/>
    <col min="7965" max="7965" width="18.33203125" style="9" customWidth="1"/>
    <col min="7966" max="7966" width="12.88671875" style="9" customWidth="1"/>
    <col min="7967" max="7968" width="13.21875" style="9" customWidth="1"/>
    <col min="7969" max="7969" width="10.88671875" style="9" customWidth="1"/>
    <col min="7970" max="7970" width="11.109375" style="9" customWidth="1"/>
    <col min="7971" max="7971" width="15.21875" style="9" customWidth="1"/>
    <col min="7972" max="7972" width="9.6640625" style="9"/>
    <col min="7973" max="7973" width="11" style="9" customWidth="1"/>
    <col min="7974" max="7974" width="10.77734375" style="9" customWidth="1"/>
    <col min="7975" max="7975" width="11.44140625" style="9" customWidth="1"/>
    <col min="7976" max="7976" width="4" style="9" customWidth="1"/>
    <col min="7977" max="8167" width="9.6640625" style="9"/>
    <col min="8168" max="8168" width="6.44140625" style="9" customWidth="1"/>
    <col min="8169" max="8169" width="13.88671875" style="9" customWidth="1"/>
    <col min="8170" max="8170" width="14.33203125" style="9" customWidth="1"/>
    <col min="8171" max="8187" width="9.6640625" style="9"/>
    <col min="8188" max="8188" width="12" style="9" customWidth="1"/>
    <col min="8189" max="8189" width="12.77734375" style="9" customWidth="1"/>
    <col min="8190" max="8190" width="11.109375" style="9" customWidth="1"/>
    <col min="8191" max="8191" width="12" style="9" customWidth="1"/>
    <col min="8192" max="8192" width="9.6640625" style="9"/>
    <col min="8193" max="8193" width="15.33203125" style="9" customWidth="1"/>
    <col min="8194" max="8194" width="15.21875" style="9" customWidth="1"/>
    <col min="8195" max="8195" width="21.44140625" style="9" customWidth="1"/>
    <col min="8196" max="8211" width="9.6640625" style="9"/>
    <col min="8212" max="8213" width="13.44140625" style="9" customWidth="1"/>
    <col min="8214" max="8214" width="9.6640625" style="9"/>
    <col min="8215" max="8215" width="13.88671875" style="9" customWidth="1"/>
    <col min="8216" max="8216" width="10.6640625" style="9" customWidth="1"/>
    <col min="8217" max="8217" width="17.33203125" style="9" customWidth="1"/>
    <col min="8218" max="8219" width="12.6640625" style="9" customWidth="1"/>
    <col min="8220" max="8220" width="11.21875" style="9" customWidth="1"/>
    <col min="8221" max="8221" width="18.33203125" style="9" customWidth="1"/>
    <col min="8222" max="8222" width="12.88671875" style="9" customWidth="1"/>
    <col min="8223" max="8224" width="13.21875" style="9" customWidth="1"/>
    <col min="8225" max="8225" width="10.88671875" style="9" customWidth="1"/>
    <col min="8226" max="8226" width="11.109375" style="9" customWidth="1"/>
    <col min="8227" max="8227" width="15.21875" style="9" customWidth="1"/>
    <col min="8228" max="8228" width="9.6640625" style="9"/>
    <col min="8229" max="8229" width="11" style="9" customWidth="1"/>
    <col min="8230" max="8230" width="10.77734375" style="9" customWidth="1"/>
    <col min="8231" max="8231" width="11.44140625" style="9" customWidth="1"/>
    <col min="8232" max="8232" width="4" style="9" customWidth="1"/>
    <col min="8233" max="8423" width="9.6640625" style="9"/>
    <col min="8424" max="8424" width="6.44140625" style="9" customWidth="1"/>
    <col min="8425" max="8425" width="13.88671875" style="9" customWidth="1"/>
    <col min="8426" max="8426" width="14.33203125" style="9" customWidth="1"/>
    <col min="8427" max="8443" width="9.6640625" style="9"/>
    <col min="8444" max="8444" width="12" style="9" customWidth="1"/>
    <col min="8445" max="8445" width="12.77734375" style="9" customWidth="1"/>
    <col min="8446" max="8446" width="11.109375" style="9" customWidth="1"/>
    <col min="8447" max="8447" width="12" style="9" customWidth="1"/>
    <col min="8448" max="8448" width="9.6640625" style="9"/>
    <col min="8449" max="8449" width="15.33203125" style="9" customWidth="1"/>
    <col min="8450" max="8450" width="15.21875" style="9" customWidth="1"/>
    <col min="8451" max="8451" width="21.44140625" style="9" customWidth="1"/>
    <col min="8452" max="8467" width="9.6640625" style="9"/>
    <col min="8468" max="8469" width="13.44140625" style="9" customWidth="1"/>
    <col min="8470" max="8470" width="9.6640625" style="9"/>
    <col min="8471" max="8471" width="13.88671875" style="9" customWidth="1"/>
    <col min="8472" max="8472" width="10.6640625" style="9" customWidth="1"/>
    <col min="8473" max="8473" width="17.33203125" style="9" customWidth="1"/>
    <col min="8474" max="8475" width="12.6640625" style="9" customWidth="1"/>
    <col min="8476" max="8476" width="11.21875" style="9" customWidth="1"/>
    <col min="8477" max="8477" width="18.33203125" style="9" customWidth="1"/>
    <col min="8478" max="8478" width="12.88671875" style="9" customWidth="1"/>
    <col min="8479" max="8480" width="13.21875" style="9" customWidth="1"/>
    <col min="8481" max="8481" width="10.88671875" style="9" customWidth="1"/>
    <col min="8482" max="8482" width="11.109375" style="9" customWidth="1"/>
    <col min="8483" max="8483" width="15.21875" style="9" customWidth="1"/>
    <col min="8484" max="8484" width="9.6640625" style="9"/>
    <col min="8485" max="8485" width="11" style="9" customWidth="1"/>
    <col min="8486" max="8486" width="10.77734375" style="9" customWidth="1"/>
    <col min="8487" max="8487" width="11.44140625" style="9" customWidth="1"/>
    <col min="8488" max="8488" width="4" style="9" customWidth="1"/>
    <col min="8489" max="8679" width="9.6640625" style="9"/>
    <col min="8680" max="8680" width="6.44140625" style="9" customWidth="1"/>
    <col min="8681" max="8681" width="13.88671875" style="9" customWidth="1"/>
    <col min="8682" max="8682" width="14.33203125" style="9" customWidth="1"/>
    <col min="8683" max="8699" width="9.6640625" style="9"/>
    <col min="8700" max="8700" width="12" style="9" customWidth="1"/>
    <col min="8701" max="8701" width="12.77734375" style="9" customWidth="1"/>
    <col min="8702" max="8702" width="11.109375" style="9" customWidth="1"/>
    <col min="8703" max="8703" width="12" style="9" customWidth="1"/>
    <col min="8704" max="8704" width="9.6640625" style="9"/>
    <col min="8705" max="8705" width="15.33203125" style="9" customWidth="1"/>
    <col min="8706" max="8706" width="15.21875" style="9" customWidth="1"/>
    <col min="8707" max="8707" width="21.44140625" style="9" customWidth="1"/>
    <col min="8708" max="8723" width="9.6640625" style="9"/>
    <col min="8724" max="8725" width="13.44140625" style="9" customWidth="1"/>
    <col min="8726" max="8726" width="9.6640625" style="9"/>
    <col min="8727" max="8727" width="13.88671875" style="9" customWidth="1"/>
    <col min="8728" max="8728" width="10.6640625" style="9" customWidth="1"/>
    <col min="8729" max="8729" width="17.33203125" style="9" customWidth="1"/>
    <col min="8730" max="8731" width="12.6640625" style="9" customWidth="1"/>
    <col min="8732" max="8732" width="11.21875" style="9" customWidth="1"/>
    <col min="8733" max="8733" width="18.33203125" style="9" customWidth="1"/>
    <col min="8734" max="8734" width="12.88671875" style="9" customWidth="1"/>
    <col min="8735" max="8736" width="13.21875" style="9" customWidth="1"/>
    <col min="8737" max="8737" width="10.88671875" style="9" customWidth="1"/>
    <col min="8738" max="8738" width="11.109375" style="9" customWidth="1"/>
    <col min="8739" max="8739" width="15.21875" style="9" customWidth="1"/>
    <col min="8740" max="8740" width="9.6640625" style="9"/>
    <col min="8741" max="8741" width="11" style="9" customWidth="1"/>
    <col min="8742" max="8742" width="10.77734375" style="9" customWidth="1"/>
    <col min="8743" max="8743" width="11.44140625" style="9" customWidth="1"/>
    <col min="8744" max="8744" width="4" style="9" customWidth="1"/>
    <col min="8745" max="8935" width="9.6640625" style="9"/>
    <col min="8936" max="8936" width="6.44140625" style="9" customWidth="1"/>
    <col min="8937" max="8937" width="13.88671875" style="9" customWidth="1"/>
    <col min="8938" max="8938" width="14.33203125" style="9" customWidth="1"/>
    <col min="8939" max="8955" width="9.6640625" style="9"/>
    <col min="8956" max="8956" width="12" style="9" customWidth="1"/>
    <col min="8957" max="8957" width="12.77734375" style="9" customWidth="1"/>
    <col min="8958" max="8958" width="11.109375" style="9" customWidth="1"/>
    <col min="8959" max="8959" width="12" style="9" customWidth="1"/>
    <col min="8960" max="8960" width="9.6640625" style="9"/>
    <col min="8961" max="8961" width="15.33203125" style="9" customWidth="1"/>
    <col min="8962" max="8962" width="15.21875" style="9" customWidth="1"/>
    <col min="8963" max="8963" width="21.44140625" style="9" customWidth="1"/>
    <col min="8964" max="8979" width="9.6640625" style="9"/>
    <col min="8980" max="8981" width="13.44140625" style="9" customWidth="1"/>
    <col min="8982" max="8982" width="9.6640625" style="9"/>
    <col min="8983" max="8983" width="13.88671875" style="9" customWidth="1"/>
    <col min="8984" max="8984" width="10.6640625" style="9" customWidth="1"/>
    <col min="8985" max="8985" width="17.33203125" style="9" customWidth="1"/>
    <col min="8986" max="8987" width="12.6640625" style="9" customWidth="1"/>
    <col min="8988" max="8988" width="11.21875" style="9" customWidth="1"/>
    <col min="8989" max="8989" width="18.33203125" style="9" customWidth="1"/>
    <col min="8990" max="8990" width="12.88671875" style="9" customWidth="1"/>
    <col min="8991" max="8992" width="13.21875" style="9" customWidth="1"/>
    <col min="8993" max="8993" width="10.88671875" style="9" customWidth="1"/>
    <col min="8994" max="8994" width="11.109375" style="9" customWidth="1"/>
    <col min="8995" max="8995" width="15.21875" style="9" customWidth="1"/>
    <col min="8996" max="8996" width="9.6640625" style="9"/>
    <col min="8997" max="8997" width="11" style="9" customWidth="1"/>
    <col min="8998" max="8998" width="10.77734375" style="9" customWidth="1"/>
    <col min="8999" max="8999" width="11.44140625" style="9" customWidth="1"/>
    <col min="9000" max="9000" width="4" style="9" customWidth="1"/>
    <col min="9001" max="9191" width="9.6640625" style="9"/>
    <col min="9192" max="9192" width="6.44140625" style="9" customWidth="1"/>
    <col min="9193" max="9193" width="13.88671875" style="9" customWidth="1"/>
    <col min="9194" max="9194" width="14.33203125" style="9" customWidth="1"/>
    <col min="9195" max="9211" width="9.6640625" style="9"/>
    <col min="9212" max="9212" width="12" style="9" customWidth="1"/>
    <col min="9213" max="9213" width="12.77734375" style="9" customWidth="1"/>
    <col min="9214" max="9214" width="11.109375" style="9" customWidth="1"/>
    <col min="9215" max="9215" width="12" style="9" customWidth="1"/>
    <col min="9216" max="9216" width="9.6640625" style="9"/>
    <col min="9217" max="9217" width="15.33203125" style="9" customWidth="1"/>
    <col min="9218" max="9218" width="15.21875" style="9" customWidth="1"/>
    <col min="9219" max="9219" width="21.44140625" style="9" customWidth="1"/>
    <col min="9220" max="9235" width="9.6640625" style="9"/>
    <col min="9236" max="9237" width="13.44140625" style="9" customWidth="1"/>
    <col min="9238" max="9238" width="9.6640625" style="9"/>
    <col min="9239" max="9239" width="13.88671875" style="9" customWidth="1"/>
    <col min="9240" max="9240" width="10.6640625" style="9" customWidth="1"/>
    <col min="9241" max="9241" width="17.33203125" style="9" customWidth="1"/>
    <col min="9242" max="9243" width="12.6640625" style="9" customWidth="1"/>
    <col min="9244" max="9244" width="11.21875" style="9" customWidth="1"/>
    <col min="9245" max="9245" width="18.33203125" style="9" customWidth="1"/>
    <col min="9246" max="9246" width="12.88671875" style="9" customWidth="1"/>
    <col min="9247" max="9248" width="13.21875" style="9" customWidth="1"/>
    <col min="9249" max="9249" width="10.88671875" style="9" customWidth="1"/>
    <col min="9250" max="9250" width="11.109375" style="9" customWidth="1"/>
    <col min="9251" max="9251" width="15.21875" style="9" customWidth="1"/>
    <col min="9252" max="9252" width="9.6640625" style="9"/>
    <col min="9253" max="9253" width="11" style="9" customWidth="1"/>
    <col min="9254" max="9254" width="10.77734375" style="9" customWidth="1"/>
    <col min="9255" max="9255" width="11.44140625" style="9" customWidth="1"/>
    <col min="9256" max="9256" width="4" style="9" customWidth="1"/>
    <col min="9257" max="9447" width="9.6640625" style="9"/>
    <col min="9448" max="9448" width="6.44140625" style="9" customWidth="1"/>
    <col min="9449" max="9449" width="13.88671875" style="9" customWidth="1"/>
    <col min="9450" max="9450" width="14.33203125" style="9" customWidth="1"/>
    <col min="9451" max="9467" width="9.6640625" style="9"/>
    <col min="9468" max="9468" width="12" style="9" customWidth="1"/>
    <col min="9469" max="9469" width="12.77734375" style="9" customWidth="1"/>
    <col min="9470" max="9470" width="11.109375" style="9" customWidth="1"/>
    <col min="9471" max="9471" width="12" style="9" customWidth="1"/>
    <col min="9472" max="9472" width="9.6640625" style="9"/>
    <col min="9473" max="9473" width="15.33203125" style="9" customWidth="1"/>
    <col min="9474" max="9474" width="15.21875" style="9" customWidth="1"/>
    <col min="9475" max="9475" width="21.44140625" style="9" customWidth="1"/>
    <col min="9476" max="9491" width="9.6640625" style="9"/>
    <col min="9492" max="9493" width="13.44140625" style="9" customWidth="1"/>
    <col min="9494" max="9494" width="9.6640625" style="9"/>
    <col min="9495" max="9495" width="13.88671875" style="9" customWidth="1"/>
    <col min="9496" max="9496" width="10.6640625" style="9" customWidth="1"/>
    <col min="9497" max="9497" width="17.33203125" style="9" customWidth="1"/>
    <col min="9498" max="9499" width="12.6640625" style="9" customWidth="1"/>
    <col min="9500" max="9500" width="11.21875" style="9" customWidth="1"/>
    <col min="9501" max="9501" width="18.33203125" style="9" customWidth="1"/>
    <col min="9502" max="9502" width="12.88671875" style="9" customWidth="1"/>
    <col min="9503" max="9504" width="13.21875" style="9" customWidth="1"/>
    <col min="9505" max="9505" width="10.88671875" style="9" customWidth="1"/>
    <col min="9506" max="9506" width="11.109375" style="9" customWidth="1"/>
    <col min="9507" max="9507" width="15.21875" style="9" customWidth="1"/>
    <col min="9508" max="9508" width="9.6640625" style="9"/>
    <col min="9509" max="9509" width="11" style="9" customWidth="1"/>
    <col min="9510" max="9510" width="10.77734375" style="9" customWidth="1"/>
    <col min="9511" max="9511" width="11.44140625" style="9" customWidth="1"/>
    <col min="9512" max="9512" width="4" style="9" customWidth="1"/>
    <col min="9513" max="9703" width="9.6640625" style="9"/>
    <col min="9704" max="9704" width="6.44140625" style="9" customWidth="1"/>
    <col min="9705" max="9705" width="13.88671875" style="9" customWidth="1"/>
    <col min="9706" max="9706" width="14.33203125" style="9" customWidth="1"/>
    <col min="9707" max="9723" width="9.6640625" style="9"/>
    <col min="9724" max="9724" width="12" style="9" customWidth="1"/>
    <col min="9725" max="9725" width="12.77734375" style="9" customWidth="1"/>
    <col min="9726" max="9726" width="11.109375" style="9" customWidth="1"/>
    <col min="9727" max="9727" width="12" style="9" customWidth="1"/>
    <col min="9728" max="9728" width="9.6640625" style="9"/>
    <col min="9729" max="9729" width="15.33203125" style="9" customWidth="1"/>
    <col min="9730" max="9730" width="15.21875" style="9" customWidth="1"/>
    <col min="9731" max="9731" width="21.44140625" style="9" customWidth="1"/>
    <col min="9732" max="9747" width="9.6640625" style="9"/>
    <col min="9748" max="9749" width="13.44140625" style="9" customWidth="1"/>
    <col min="9750" max="9750" width="9.6640625" style="9"/>
    <col min="9751" max="9751" width="13.88671875" style="9" customWidth="1"/>
    <col min="9752" max="9752" width="10.6640625" style="9" customWidth="1"/>
    <col min="9753" max="9753" width="17.33203125" style="9" customWidth="1"/>
    <col min="9754" max="9755" width="12.6640625" style="9" customWidth="1"/>
    <col min="9756" max="9756" width="11.21875" style="9" customWidth="1"/>
    <col min="9757" max="9757" width="18.33203125" style="9" customWidth="1"/>
    <col min="9758" max="9758" width="12.88671875" style="9" customWidth="1"/>
    <col min="9759" max="9760" width="13.21875" style="9" customWidth="1"/>
    <col min="9761" max="9761" width="10.88671875" style="9" customWidth="1"/>
    <col min="9762" max="9762" width="11.109375" style="9" customWidth="1"/>
    <col min="9763" max="9763" width="15.21875" style="9" customWidth="1"/>
    <col min="9764" max="9764" width="9.6640625" style="9"/>
    <col min="9765" max="9765" width="11" style="9" customWidth="1"/>
    <col min="9766" max="9766" width="10.77734375" style="9" customWidth="1"/>
    <col min="9767" max="9767" width="11.44140625" style="9" customWidth="1"/>
    <col min="9768" max="9768" width="4" style="9" customWidth="1"/>
    <col min="9769" max="9959" width="9.6640625" style="9"/>
    <col min="9960" max="9960" width="6.44140625" style="9" customWidth="1"/>
    <col min="9961" max="9961" width="13.88671875" style="9" customWidth="1"/>
    <col min="9962" max="9962" width="14.33203125" style="9" customWidth="1"/>
    <col min="9963" max="9979" width="9.6640625" style="9"/>
    <col min="9980" max="9980" width="12" style="9" customWidth="1"/>
    <col min="9981" max="9981" width="12.77734375" style="9" customWidth="1"/>
    <col min="9982" max="9982" width="11.109375" style="9" customWidth="1"/>
    <col min="9983" max="9983" width="12" style="9" customWidth="1"/>
    <col min="9984" max="9984" width="9.6640625" style="9"/>
    <col min="9985" max="9985" width="15.33203125" style="9" customWidth="1"/>
    <col min="9986" max="9986" width="15.21875" style="9" customWidth="1"/>
    <col min="9987" max="9987" width="21.44140625" style="9" customWidth="1"/>
    <col min="9988" max="10003" width="9.6640625" style="9"/>
    <col min="10004" max="10005" width="13.44140625" style="9" customWidth="1"/>
    <col min="10006" max="10006" width="9.6640625" style="9"/>
    <col min="10007" max="10007" width="13.88671875" style="9" customWidth="1"/>
    <col min="10008" max="10008" width="10.6640625" style="9" customWidth="1"/>
    <col min="10009" max="10009" width="17.33203125" style="9" customWidth="1"/>
    <col min="10010" max="10011" width="12.6640625" style="9" customWidth="1"/>
    <col min="10012" max="10012" width="11.21875" style="9" customWidth="1"/>
    <col min="10013" max="10013" width="18.33203125" style="9" customWidth="1"/>
    <col min="10014" max="10014" width="12.88671875" style="9" customWidth="1"/>
    <col min="10015" max="10016" width="13.21875" style="9" customWidth="1"/>
    <col min="10017" max="10017" width="10.88671875" style="9" customWidth="1"/>
    <col min="10018" max="10018" width="11.109375" style="9" customWidth="1"/>
    <col min="10019" max="10019" width="15.21875" style="9" customWidth="1"/>
    <col min="10020" max="10020" width="9.6640625" style="9"/>
    <col min="10021" max="10021" width="11" style="9" customWidth="1"/>
    <col min="10022" max="10022" width="10.77734375" style="9" customWidth="1"/>
    <col min="10023" max="10023" width="11.44140625" style="9" customWidth="1"/>
    <col min="10024" max="10024" width="4" style="9" customWidth="1"/>
    <col min="10025" max="10215" width="9.6640625" style="9"/>
    <col min="10216" max="10216" width="6.44140625" style="9" customWidth="1"/>
    <col min="10217" max="10217" width="13.88671875" style="9" customWidth="1"/>
    <col min="10218" max="10218" width="14.33203125" style="9" customWidth="1"/>
    <col min="10219" max="10235" width="9.6640625" style="9"/>
    <col min="10236" max="10236" width="12" style="9" customWidth="1"/>
    <col min="10237" max="10237" width="12.77734375" style="9" customWidth="1"/>
    <col min="10238" max="10238" width="11.109375" style="9" customWidth="1"/>
    <col min="10239" max="10239" width="12" style="9" customWidth="1"/>
    <col min="10240" max="10240" width="9.6640625" style="9"/>
    <col min="10241" max="10241" width="15.33203125" style="9" customWidth="1"/>
    <col min="10242" max="10242" width="15.21875" style="9" customWidth="1"/>
    <col min="10243" max="10243" width="21.44140625" style="9" customWidth="1"/>
    <col min="10244" max="10259" width="9.6640625" style="9"/>
    <col min="10260" max="10261" width="13.44140625" style="9" customWidth="1"/>
    <col min="10262" max="10262" width="9.6640625" style="9"/>
    <col min="10263" max="10263" width="13.88671875" style="9" customWidth="1"/>
    <col min="10264" max="10264" width="10.6640625" style="9" customWidth="1"/>
    <col min="10265" max="10265" width="17.33203125" style="9" customWidth="1"/>
    <col min="10266" max="10267" width="12.6640625" style="9" customWidth="1"/>
    <col min="10268" max="10268" width="11.21875" style="9" customWidth="1"/>
    <col min="10269" max="10269" width="18.33203125" style="9" customWidth="1"/>
    <col min="10270" max="10270" width="12.88671875" style="9" customWidth="1"/>
    <col min="10271" max="10272" width="13.21875" style="9" customWidth="1"/>
    <col min="10273" max="10273" width="10.88671875" style="9" customWidth="1"/>
    <col min="10274" max="10274" width="11.109375" style="9" customWidth="1"/>
    <col min="10275" max="10275" width="15.21875" style="9" customWidth="1"/>
    <col min="10276" max="10276" width="9.6640625" style="9"/>
    <col min="10277" max="10277" width="11" style="9" customWidth="1"/>
    <col min="10278" max="10278" width="10.77734375" style="9" customWidth="1"/>
    <col min="10279" max="10279" width="11.44140625" style="9" customWidth="1"/>
    <col min="10280" max="10280" width="4" style="9" customWidth="1"/>
    <col min="10281" max="10471" width="9.6640625" style="9"/>
    <col min="10472" max="10472" width="6.44140625" style="9" customWidth="1"/>
    <col min="10473" max="10473" width="13.88671875" style="9" customWidth="1"/>
    <col min="10474" max="10474" width="14.33203125" style="9" customWidth="1"/>
    <col min="10475" max="10491" width="9.6640625" style="9"/>
    <col min="10492" max="10492" width="12" style="9" customWidth="1"/>
    <col min="10493" max="10493" width="12.77734375" style="9" customWidth="1"/>
    <col min="10494" max="10494" width="11.109375" style="9" customWidth="1"/>
    <col min="10495" max="10495" width="12" style="9" customWidth="1"/>
    <col min="10496" max="10496" width="9.6640625" style="9"/>
    <col min="10497" max="10497" width="15.33203125" style="9" customWidth="1"/>
    <col min="10498" max="10498" width="15.21875" style="9" customWidth="1"/>
    <col min="10499" max="10499" width="21.44140625" style="9" customWidth="1"/>
    <col min="10500" max="10515" width="9.6640625" style="9"/>
    <col min="10516" max="10517" width="13.44140625" style="9" customWidth="1"/>
    <col min="10518" max="10518" width="9.6640625" style="9"/>
    <col min="10519" max="10519" width="13.88671875" style="9" customWidth="1"/>
    <col min="10520" max="10520" width="10.6640625" style="9" customWidth="1"/>
    <col min="10521" max="10521" width="17.33203125" style="9" customWidth="1"/>
    <col min="10522" max="10523" width="12.6640625" style="9" customWidth="1"/>
    <col min="10524" max="10524" width="11.21875" style="9" customWidth="1"/>
    <col min="10525" max="10525" width="18.33203125" style="9" customWidth="1"/>
    <col min="10526" max="10526" width="12.88671875" style="9" customWidth="1"/>
    <col min="10527" max="10528" width="13.21875" style="9" customWidth="1"/>
    <col min="10529" max="10529" width="10.88671875" style="9" customWidth="1"/>
    <col min="10530" max="10530" width="11.109375" style="9" customWidth="1"/>
    <col min="10531" max="10531" width="15.21875" style="9" customWidth="1"/>
    <col min="10532" max="10532" width="9.6640625" style="9"/>
    <col min="10533" max="10533" width="11" style="9" customWidth="1"/>
    <col min="10534" max="10534" width="10.77734375" style="9" customWidth="1"/>
    <col min="10535" max="10535" width="11.44140625" style="9" customWidth="1"/>
    <col min="10536" max="10536" width="4" style="9" customWidth="1"/>
    <col min="10537" max="10727" width="9.6640625" style="9"/>
    <col min="10728" max="10728" width="6.44140625" style="9" customWidth="1"/>
    <col min="10729" max="10729" width="13.88671875" style="9" customWidth="1"/>
    <col min="10730" max="10730" width="14.33203125" style="9" customWidth="1"/>
    <col min="10731" max="10747" width="9.6640625" style="9"/>
    <col min="10748" max="10748" width="12" style="9" customWidth="1"/>
    <col min="10749" max="10749" width="12.77734375" style="9" customWidth="1"/>
    <col min="10750" max="10750" width="11.109375" style="9" customWidth="1"/>
    <col min="10751" max="10751" width="12" style="9" customWidth="1"/>
    <col min="10752" max="10752" width="9.6640625" style="9"/>
    <col min="10753" max="10753" width="15.33203125" style="9" customWidth="1"/>
    <col min="10754" max="10754" width="15.21875" style="9" customWidth="1"/>
    <col min="10755" max="10755" width="21.44140625" style="9" customWidth="1"/>
    <col min="10756" max="10771" width="9.6640625" style="9"/>
    <col min="10772" max="10773" width="13.44140625" style="9" customWidth="1"/>
    <col min="10774" max="10774" width="9.6640625" style="9"/>
    <col min="10775" max="10775" width="13.88671875" style="9" customWidth="1"/>
    <col min="10776" max="10776" width="10.6640625" style="9" customWidth="1"/>
    <col min="10777" max="10777" width="17.33203125" style="9" customWidth="1"/>
    <col min="10778" max="10779" width="12.6640625" style="9" customWidth="1"/>
    <col min="10780" max="10780" width="11.21875" style="9" customWidth="1"/>
    <col min="10781" max="10781" width="18.33203125" style="9" customWidth="1"/>
    <col min="10782" max="10782" width="12.88671875" style="9" customWidth="1"/>
    <col min="10783" max="10784" width="13.21875" style="9" customWidth="1"/>
    <col min="10785" max="10785" width="10.88671875" style="9" customWidth="1"/>
    <col min="10786" max="10786" width="11.109375" style="9" customWidth="1"/>
    <col min="10787" max="10787" width="15.21875" style="9" customWidth="1"/>
    <col min="10788" max="10788" width="9.6640625" style="9"/>
    <col min="10789" max="10789" width="11" style="9" customWidth="1"/>
    <col min="10790" max="10790" width="10.77734375" style="9" customWidth="1"/>
    <col min="10791" max="10791" width="11.44140625" style="9" customWidth="1"/>
    <col min="10792" max="10792" width="4" style="9" customWidth="1"/>
    <col min="10793" max="10983" width="9.6640625" style="9"/>
    <col min="10984" max="10984" width="6.44140625" style="9" customWidth="1"/>
    <col min="10985" max="10985" width="13.88671875" style="9" customWidth="1"/>
    <col min="10986" max="10986" width="14.33203125" style="9" customWidth="1"/>
    <col min="10987" max="11003" width="9.6640625" style="9"/>
    <col min="11004" max="11004" width="12" style="9" customWidth="1"/>
    <col min="11005" max="11005" width="12.77734375" style="9" customWidth="1"/>
    <col min="11006" max="11006" width="11.109375" style="9" customWidth="1"/>
    <col min="11007" max="11007" width="12" style="9" customWidth="1"/>
    <col min="11008" max="11008" width="9.6640625" style="9"/>
    <col min="11009" max="11009" width="15.33203125" style="9" customWidth="1"/>
    <col min="11010" max="11010" width="15.21875" style="9" customWidth="1"/>
    <col min="11011" max="11011" width="21.44140625" style="9" customWidth="1"/>
    <col min="11012" max="11027" width="9.6640625" style="9"/>
    <col min="11028" max="11029" width="13.44140625" style="9" customWidth="1"/>
    <col min="11030" max="11030" width="9.6640625" style="9"/>
    <col min="11031" max="11031" width="13.88671875" style="9" customWidth="1"/>
    <col min="11032" max="11032" width="10.6640625" style="9" customWidth="1"/>
    <col min="11033" max="11033" width="17.33203125" style="9" customWidth="1"/>
    <col min="11034" max="11035" width="12.6640625" style="9" customWidth="1"/>
    <col min="11036" max="11036" width="11.21875" style="9" customWidth="1"/>
    <col min="11037" max="11037" width="18.33203125" style="9" customWidth="1"/>
    <col min="11038" max="11038" width="12.88671875" style="9" customWidth="1"/>
    <col min="11039" max="11040" width="13.21875" style="9" customWidth="1"/>
    <col min="11041" max="11041" width="10.88671875" style="9" customWidth="1"/>
    <col min="11042" max="11042" width="11.109375" style="9" customWidth="1"/>
    <col min="11043" max="11043" width="15.21875" style="9" customWidth="1"/>
    <col min="11044" max="11044" width="9.6640625" style="9"/>
    <col min="11045" max="11045" width="11" style="9" customWidth="1"/>
    <col min="11046" max="11046" width="10.77734375" style="9" customWidth="1"/>
    <col min="11047" max="11047" width="11.44140625" style="9" customWidth="1"/>
    <col min="11048" max="11048" width="4" style="9" customWidth="1"/>
    <col min="11049" max="11239" width="9.6640625" style="9"/>
    <col min="11240" max="11240" width="6.44140625" style="9" customWidth="1"/>
    <col min="11241" max="11241" width="13.88671875" style="9" customWidth="1"/>
    <col min="11242" max="11242" width="14.33203125" style="9" customWidth="1"/>
    <col min="11243" max="11259" width="9.6640625" style="9"/>
    <col min="11260" max="11260" width="12" style="9" customWidth="1"/>
    <col min="11261" max="11261" width="12.77734375" style="9" customWidth="1"/>
    <col min="11262" max="11262" width="11.109375" style="9" customWidth="1"/>
    <col min="11263" max="11263" width="12" style="9" customWidth="1"/>
    <col min="11264" max="11264" width="9.6640625" style="9"/>
    <col min="11265" max="11265" width="15.33203125" style="9" customWidth="1"/>
    <col min="11266" max="11266" width="15.21875" style="9" customWidth="1"/>
    <col min="11267" max="11267" width="21.44140625" style="9" customWidth="1"/>
    <col min="11268" max="11283" width="9.6640625" style="9"/>
    <col min="11284" max="11285" width="13.44140625" style="9" customWidth="1"/>
    <col min="11286" max="11286" width="9.6640625" style="9"/>
    <col min="11287" max="11287" width="13.88671875" style="9" customWidth="1"/>
    <col min="11288" max="11288" width="10.6640625" style="9" customWidth="1"/>
    <col min="11289" max="11289" width="17.33203125" style="9" customWidth="1"/>
    <col min="11290" max="11291" width="12.6640625" style="9" customWidth="1"/>
    <col min="11292" max="11292" width="11.21875" style="9" customWidth="1"/>
    <col min="11293" max="11293" width="18.33203125" style="9" customWidth="1"/>
    <col min="11294" max="11294" width="12.88671875" style="9" customWidth="1"/>
    <col min="11295" max="11296" width="13.21875" style="9" customWidth="1"/>
    <col min="11297" max="11297" width="10.88671875" style="9" customWidth="1"/>
    <col min="11298" max="11298" width="11.109375" style="9" customWidth="1"/>
    <col min="11299" max="11299" width="15.21875" style="9" customWidth="1"/>
    <col min="11300" max="11300" width="9.6640625" style="9"/>
    <col min="11301" max="11301" width="11" style="9" customWidth="1"/>
    <col min="11302" max="11302" width="10.77734375" style="9" customWidth="1"/>
    <col min="11303" max="11303" width="11.44140625" style="9" customWidth="1"/>
    <col min="11304" max="11304" width="4" style="9" customWidth="1"/>
    <col min="11305" max="11495" width="9.6640625" style="9"/>
    <col min="11496" max="11496" width="6.44140625" style="9" customWidth="1"/>
    <col min="11497" max="11497" width="13.88671875" style="9" customWidth="1"/>
    <col min="11498" max="11498" width="14.33203125" style="9" customWidth="1"/>
    <col min="11499" max="11515" width="9.6640625" style="9"/>
    <col min="11516" max="11516" width="12" style="9" customWidth="1"/>
    <col min="11517" max="11517" width="12.77734375" style="9" customWidth="1"/>
    <col min="11518" max="11518" width="11.109375" style="9" customWidth="1"/>
    <col min="11519" max="11519" width="12" style="9" customWidth="1"/>
    <col min="11520" max="11520" width="9.6640625" style="9"/>
    <col min="11521" max="11521" width="15.33203125" style="9" customWidth="1"/>
    <col min="11522" max="11522" width="15.21875" style="9" customWidth="1"/>
    <col min="11523" max="11523" width="21.44140625" style="9" customWidth="1"/>
    <col min="11524" max="11539" width="9.6640625" style="9"/>
    <col min="11540" max="11541" width="13.44140625" style="9" customWidth="1"/>
    <col min="11542" max="11542" width="9.6640625" style="9"/>
    <col min="11543" max="11543" width="13.88671875" style="9" customWidth="1"/>
    <col min="11544" max="11544" width="10.6640625" style="9" customWidth="1"/>
    <col min="11545" max="11545" width="17.33203125" style="9" customWidth="1"/>
    <col min="11546" max="11547" width="12.6640625" style="9" customWidth="1"/>
    <col min="11548" max="11548" width="11.21875" style="9" customWidth="1"/>
    <col min="11549" max="11549" width="18.33203125" style="9" customWidth="1"/>
    <col min="11550" max="11550" width="12.88671875" style="9" customWidth="1"/>
    <col min="11551" max="11552" width="13.21875" style="9" customWidth="1"/>
    <col min="11553" max="11553" width="10.88671875" style="9" customWidth="1"/>
    <col min="11554" max="11554" width="11.109375" style="9" customWidth="1"/>
    <col min="11555" max="11555" width="15.21875" style="9" customWidth="1"/>
    <col min="11556" max="11556" width="9.6640625" style="9"/>
    <col min="11557" max="11557" width="11" style="9" customWidth="1"/>
    <col min="11558" max="11558" width="10.77734375" style="9" customWidth="1"/>
    <col min="11559" max="11559" width="11.44140625" style="9" customWidth="1"/>
    <col min="11560" max="11560" width="4" style="9" customWidth="1"/>
    <col min="11561" max="11751" width="9.6640625" style="9"/>
    <col min="11752" max="11752" width="6.44140625" style="9" customWidth="1"/>
    <col min="11753" max="11753" width="13.88671875" style="9" customWidth="1"/>
    <col min="11754" max="11754" width="14.33203125" style="9" customWidth="1"/>
    <col min="11755" max="11771" width="9.6640625" style="9"/>
    <col min="11772" max="11772" width="12" style="9" customWidth="1"/>
    <col min="11773" max="11773" width="12.77734375" style="9" customWidth="1"/>
    <col min="11774" max="11774" width="11.109375" style="9" customWidth="1"/>
    <col min="11775" max="11775" width="12" style="9" customWidth="1"/>
    <col min="11776" max="11776" width="9.6640625" style="9"/>
    <col min="11777" max="11777" width="15.33203125" style="9" customWidth="1"/>
    <col min="11778" max="11778" width="15.21875" style="9" customWidth="1"/>
    <col min="11779" max="11779" width="21.44140625" style="9" customWidth="1"/>
    <col min="11780" max="11795" width="9.6640625" style="9"/>
    <col min="11796" max="11797" width="13.44140625" style="9" customWidth="1"/>
    <col min="11798" max="11798" width="9.6640625" style="9"/>
    <col min="11799" max="11799" width="13.88671875" style="9" customWidth="1"/>
    <col min="11800" max="11800" width="10.6640625" style="9" customWidth="1"/>
    <col min="11801" max="11801" width="17.33203125" style="9" customWidth="1"/>
    <col min="11802" max="11803" width="12.6640625" style="9" customWidth="1"/>
    <col min="11804" max="11804" width="11.21875" style="9" customWidth="1"/>
    <col min="11805" max="11805" width="18.33203125" style="9" customWidth="1"/>
    <col min="11806" max="11806" width="12.88671875" style="9" customWidth="1"/>
    <col min="11807" max="11808" width="13.21875" style="9" customWidth="1"/>
    <col min="11809" max="11809" width="10.88671875" style="9" customWidth="1"/>
    <col min="11810" max="11810" width="11.109375" style="9" customWidth="1"/>
    <col min="11811" max="11811" width="15.21875" style="9" customWidth="1"/>
    <col min="11812" max="11812" width="9.6640625" style="9"/>
    <col min="11813" max="11813" width="11" style="9" customWidth="1"/>
    <col min="11814" max="11814" width="10.77734375" style="9" customWidth="1"/>
    <col min="11815" max="11815" width="11.44140625" style="9" customWidth="1"/>
    <col min="11816" max="11816" width="4" style="9" customWidth="1"/>
    <col min="11817" max="12007" width="9.6640625" style="9"/>
    <col min="12008" max="12008" width="6.44140625" style="9" customWidth="1"/>
    <col min="12009" max="12009" width="13.88671875" style="9" customWidth="1"/>
    <col min="12010" max="12010" width="14.33203125" style="9" customWidth="1"/>
    <col min="12011" max="12027" width="9.6640625" style="9"/>
    <col min="12028" max="12028" width="12" style="9" customWidth="1"/>
    <col min="12029" max="12029" width="12.77734375" style="9" customWidth="1"/>
    <col min="12030" max="12030" width="11.109375" style="9" customWidth="1"/>
    <col min="12031" max="12031" width="12" style="9" customWidth="1"/>
    <col min="12032" max="12032" width="9.6640625" style="9"/>
    <col min="12033" max="12033" width="15.33203125" style="9" customWidth="1"/>
    <col min="12034" max="12034" width="15.21875" style="9" customWidth="1"/>
    <col min="12035" max="12035" width="21.44140625" style="9" customWidth="1"/>
    <col min="12036" max="12051" width="9.6640625" style="9"/>
    <col min="12052" max="12053" width="13.44140625" style="9" customWidth="1"/>
    <col min="12054" max="12054" width="9.6640625" style="9"/>
    <col min="12055" max="12055" width="13.88671875" style="9" customWidth="1"/>
    <col min="12056" max="12056" width="10.6640625" style="9" customWidth="1"/>
    <col min="12057" max="12057" width="17.33203125" style="9" customWidth="1"/>
    <col min="12058" max="12059" width="12.6640625" style="9" customWidth="1"/>
    <col min="12060" max="12060" width="11.21875" style="9" customWidth="1"/>
    <col min="12061" max="12061" width="18.33203125" style="9" customWidth="1"/>
    <col min="12062" max="12062" width="12.88671875" style="9" customWidth="1"/>
    <col min="12063" max="12064" width="13.21875" style="9" customWidth="1"/>
    <col min="12065" max="12065" width="10.88671875" style="9" customWidth="1"/>
    <col min="12066" max="12066" width="11.109375" style="9" customWidth="1"/>
    <col min="12067" max="12067" width="15.21875" style="9" customWidth="1"/>
    <col min="12068" max="12068" width="9.6640625" style="9"/>
    <col min="12069" max="12069" width="11" style="9" customWidth="1"/>
    <col min="12070" max="12070" width="10.77734375" style="9" customWidth="1"/>
    <col min="12071" max="12071" width="11.44140625" style="9" customWidth="1"/>
    <col min="12072" max="12072" width="4" style="9" customWidth="1"/>
    <col min="12073" max="12263" width="9.6640625" style="9"/>
    <col min="12264" max="12264" width="6.44140625" style="9" customWidth="1"/>
    <col min="12265" max="12265" width="13.88671875" style="9" customWidth="1"/>
    <col min="12266" max="12266" width="14.33203125" style="9" customWidth="1"/>
    <col min="12267" max="12283" width="9.6640625" style="9"/>
    <col min="12284" max="12284" width="12" style="9" customWidth="1"/>
    <col min="12285" max="12285" width="12.77734375" style="9" customWidth="1"/>
    <col min="12286" max="12286" width="11.109375" style="9" customWidth="1"/>
    <col min="12287" max="12287" width="12" style="9" customWidth="1"/>
    <col min="12288" max="12288" width="9.6640625" style="9"/>
    <col min="12289" max="12289" width="15.33203125" style="9" customWidth="1"/>
    <col min="12290" max="12290" width="15.21875" style="9" customWidth="1"/>
    <col min="12291" max="12291" width="21.44140625" style="9" customWidth="1"/>
    <col min="12292" max="12307" width="9.6640625" style="9"/>
    <col min="12308" max="12309" width="13.44140625" style="9" customWidth="1"/>
    <col min="12310" max="12310" width="9.6640625" style="9"/>
    <col min="12311" max="12311" width="13.88671875" style="9" customWidth="1"/>
    <col min="12312" max="12312" width="10.6640625" style="9" customWidth="1"/>
    <col min="12313" max="12313" width="17.33203125" style="9" customWidth="1"/>
    <col min="12314" max="12315" width="12.6640625" style="9" customWidth="1"/>
    <col min="12316" max="12316" width="11.21875" style="9" customWidth="1"/>
    <col min="12317" max="12317" width="18.33203125" style="9" customWidth="1"/>
    <col min="12318" max="12318" width="12.88671875" style="9" customWidth="1"/>
    <col min="12319" max="12320" width="13.21875" style="9" customWidth="1"/>
    <col min="12321" max="12321" width="10.88671875" style="9" customWidth="1"/>
    <col min="12322" max="12322" width="11.109375" style="9" customWidth="1"/>
    <col min="12323" max="12323" width="15.21875" style="9" customWidth="1"/>
    <col min="12324" max="12324" width="9.6640625" style="9"/>
    <col min="12325" max="12325" width="11" style="9" customWidth="1"/>
    <col min="12326" max="12326" width="10.77734375" style="9" customWidth="1"/>
    <col min="12327" max="12327" width="11.44140625" style="9" customWidth="1"/>
    <col min="12328" max="12328" width="4" style="9" customWidth="1"/>
    <col min="12329" max="12519" width="9.6640625" style="9"/>
    <col min="12520" max="12520" width="6.44140625" style="9" customWidth="1"/>
    <col min="12521" max="12521" width="13.88671875" style="9" customWidth="1"/>
    <col min="12522" max="12522" width="14.33203125" style="9" customWidth="1"/>
    <col min="12523" max="12539" width="9.6640625" style="9"/>
    <col min="12540" max="12540" width="12" style="9" customWidth="1"/>
    <col min="12541" max="12541" width="12.77734375" style="9" customWidth="1"/>
    <col min="12542" max="12542" width="11.109375" style="9" customWidth="1"/>
    <col min="12543" max="12543" width="12" style="9" customWidth="1"/>
    <col min="12544" max="12544" width="9.6640625" style="9"/>
    <col min="12545" max="12545" width="15.33203125" style="9" customWidth="1"/>
    <col min="12546" max="12546" width="15.21875" style="9" customWidth="1"/>
    <col min="12547" max="12547" width="21.44140625" style="9" customWidth="1"/>
    <col min="12548" max="12563" width="9.6640625" style="9"/>
    <col min="12564" max="12565" width="13.44140625" style="9" customWidth="1"/>
    <col min="12566" max="12566" width="9.6640625" style="9"/>
    <col min="12567" max="12567" width="13.88671875" style="9" customWidth="1"/>
    <col min="12568" max="12568" width="10.6640625" style="9" customWidth="1"/>
    <col min="12569" max="12569" width="17.33203125" style="9" customWidth="1"/>
    <col min="12570" max="12571" width="12.6640625" style="9" customWidth="1"/>
    <col min="12572" max="12572" width="11.21875" style="9" customWidth="1"/>
    <col min="12573" max="12573" width="18.33203125" style="9" customWidth="1"/>
    <col min="12574" max="12574" width="12.88671875" style="9" customWidth="1"/>
    <col min="12575" max="12576" width="13.21875" style="9" customWidth="1"/>
    <col min="12577" max="12577" width="10.88671875" style="9" customWidth="1"/>
    <col min="12578" max="12578" width="11.109375" style="9" customWidth="1"/>
    <col min="12579" max="12579" width="15.21875" style="9" customWidth="1"/>
    <col min="12580" max="12580" width="9.6640625" style="9"/>
    <col min="12581" max="12581" width="11" style="9" customWidth="1"/>
    <col min="12582" max="12582" width="10.77734375" style="9" customWidth="1"/>
    <col min="12583" max="12583" width="11.44140625" style="9" customWidth="1"/>
    <col min="12584" max="12584" width="4" style="9" customWidth="1"/>
    <col min="12585" max="12775" width="9.6640625" style="9"/>
    <col min="12776" max="12776" width="6.44140625" style="9" customWidth="1"/>
    <col min="12777" max="12777" width="13.88671875" style="9" customWidth="1"/>
    <col min="12778" max="12778" width="14.33203125" style="9" customWidth="1"/>
    <col min="12779" max="12795" width="9.6640625" style="9"/>
    <col min="12796" max="12796" width="12" style="9" customWidth="1"/>
    <col min="12797" max="12797" width="12.77734375" style="9" customWidth="1"/>
    <col min="12798" max="12798" width="11.109375" style="9" customWidth="1"/>
    <col min="12799" max="12799" width="12" style="9" customWidth="1"/>
    <col min="12800" max="12800" width="9.6640625" style="9"/>
    <col min="12801" max="12801" width="15.33203125" style="9" customWidth="1"/>
    <col min="12802" max="12802" width="15.21875" style="9" customWidth="1"/>
    <col min="12803" max="12803" width="21.44140625" style="9" customWidth="1"/>
    <col min="12804" max="12819" width="9.6640625" style="9"/>
    <col min="12820" max="12821" width="13.44140625" style="9" customWidth="1"/>
    <col min="12822" max="12822" width="9.6640625" style="9"/>
    <col min="12823" max="12823" width="13.88671875" style="9" customWidth="1"/>
    <col min="12824" max="12824" width="10.6640625" style="9" customWidth="1"/>
    <col min="12825" max="12825" width="17.33203125" style="9" customWidth="1"/>
    <col min="12826" max="12827" width="12.6640625" style="9" customWidth="1"/>
    <col min="12828" max="12828" width="11.21875" style="9" customWidth="1"/>
    <col min="12829" max="12829" width="18.33203125" style="9" customWidth="1"/>
    <col min="12830" max="12830" width="12.88671875" style="9" customWidth="1"/>
    <col min="12831" max="12832" width="13.21875" style="9" customWidth="1"/>
    <col min="12833" max="12833" width="10.88671875" style="9" customWidth="1"/>
    <col min="12834" max="12834" width="11.109375" style="9" customWidth="1"/>
    <col min="12835" max="12835" width="15.21875" style="9" customWidth="1"/>
    <col min="12836" max="12836" width="9.6640625" style="9"/>
    <col min="12837" max="12837" width="11" style="9" customWidth="1"/>
    <col min="12838" max="12838" width="10.77734375" style="9" customWidth="1"/>
    <col min="12839" max="12839" width="11.44140625" style="9" customWidth="1"/>
    <col min="12840" max="12840" width="4" style="9" customWidth="1"/>
    <col min="12841" max="13031" width="9.6640625" style="9"/>
    <col min="13032" max="13032" width="6.44140625" style="9" customWidth="1"/>
    <col min="13033" max="13033" width="13.88671875" style="9" customWidth="1"/>
    <col min="13034" max="13034" width="14.33203125" style="9" customWidth="1"/>
    <col min="13035" max="13051" width="9.6640625" style="9"/>
    <col min="13052" max="13052" width="12" style="9" customWidth="1"/>
    <col min="13053" max="13053" width="12.77734375" style="9" customWidth="1"/>
    <col min="13054" max="13054" width="11.109375" style="9" customWidth="1"/>
    <col min="13055" max="13055" width="12" style="9" customWidth="1"/>
    <col min="13056" max="13056" width="9.6640625" style="9"/>
    <col min="13057" max="13057" width="15.33203125" style="9" customWidth="1"/>
    <col min="13058" max="13058" width="15.21875" style="9" customWidth="1"/>
    <col min="13059" max="13059" width="21.44140625" style="9" customWidth="1"/>
    <col min="13060" max="13075" width="9.6640625" style="9"/>
    <col min="13076" max="13077" width="13.44140625" style="9" customWidth="1"/>
    <col min="13078" max="13078" width="9.6640625" style="9"/>
    <col min="13079" max="13079" width="13.88671875" style="9" customWidth="1"/>
    <col min="13080" max="13080" width="10.6640625" style="9" customWidth="1"/>
    <col min="13081" max="13081" width="17.33203125" style="9" customWidth="1"/>
    <col min="13082" max="13083" width="12.6640625" style="9" customWidth="1"/>
    <col min="13084" max="13084" width="11.21875" style="9" customWidth="1"/>
    <col min="13085" max="13085" width="18.33203125" style="9" customWidth="1"/>
    <col min="13086" max="13086" width="12.88671875" style="9" customWidth="1"/>
    <col min="13087" max="13088" width="13.21875" style="9" customWidth="1"/>
    <col min="13089" max="13089" width="10.88671875" style="9" customWidth="1"/>
    <col min="13090" max="13090" width="11.109375" style="9" customWidth="1"/>
    <col min="13091" max="13091" width="15.21875" style="9" customWidth="1"/>
    <col min="13092" max="13092" width="9.6640625" style="9"/>
    <col min="13093" max="13093" width="11" style="9" customWidth="1"/>
    <col min="13094" max="13094" width="10.77734375" style="9" customWidth="1"/>
    <col min="13095" max="13095" width="11.44140625" style="9" customWidth="1"/>
    <col min="13096" max="13096" width="4" style="9" customWidth="1"/>
    <col min="13097" max="13287" width="9.6640625" style="9"/>
    <col min="13288" max="13288" width="6.44140625" style="9" customWidth="1"/>
    <col min="13289" max="13289" width="13.88671875" style="9" customWidth="1"/>
    <col min="13290" max="13290" width="14.33203125" style="9" customWidth="1"/>
    <col min="13291" max="13307" width="9.6640625" style="9"/>
    <col min="13308" max="13308" width="12" style="9" customWidth="1"/>
    <col min="13309" max="13309" width="12.77734375" style="9" customWidth="1"/>
    <col min="13310" max="13310" width="11.109375" style="9" customWidth="1"/>
    <col min="13311" max="13311" width="12" style="9" customWidth="1"/>
    <col min="13312" max="13312" width="9.6640625" style="9"/>
    <col min="13313" max="13313" width="15.33203125" style="9" customWidth="1"/>
    <col min="13314" max="13314" width="15.21875" style="9" customWidth="1"/>
    <col min="13315" max="13315" width="21.44140625" style="9" customWidth="1"/>
    <col min="13316" max="13331" width="9.6640625" style="9"/>
    <col min="13332" max="13333" width="13.44140625" style="9" customWidth="1"/>
    <col min="13334" max="13334" width="9.6640625" style="9"/>
    <col min="13335" max="13335" width="13.88671875" style="9" customWidth="1"/>
    <col min="13336" max="13336" width="10.6640625" style="9" customWidth="1"/>
    <col min="13337" max="13337" width="17.33203125" style="9" customWidth="1"/>
    <col min="13338" max="13339" width="12.6640625" style="9" customWidth="1"/>
    <col min="13340" max="13340" width="11.21875" style="9" customWidth="1"/>
    <col min="13341" max="13341" width="18.33203125" style="9" customWidth="1"/>
    <col min="13342" max="13342" width="12.88671875" style="9" customWidth="1"/>
    <col min="13343" max="13344" width="13.21875" style="9" customWidth="1"/>
    <col min="13345" max="13345" width="10.88671875" style="9" customWidth="1"/>
    <col min="13346" max="13346" width="11.109375" style="9" customWidth="1"/>
    <col min="13347" max="13347" width="15.21875" style="9" customWidth="1"/>
    <col min="13348" max="13348" width="9.6640625" style="9"/>
    <col min="13349" max="13349" width="11" style="9" customWidth="1"/>
    <col min="13350" max="13350" width="10.77734375" style="9" customWidth="1"/>
    <col min="13351" max="13351" width="11.44140625" style="9" customWidth="1"/>
    <col min="13352" max="13352" width="4" style="9" customWidth="1"/>
    <col min="13353" max="13543" width="9.6640625" style="9"/>
    <col min="13544" max="13544" width="6.44140625" style="9" customWidth="1"/>
    <col min="13545" max="13545" width="13.88671875" style="9" customWidth="1"/>
    <col min="13546" max="13546" width="14.33203125" style="9" customWidth="1"/>
    <col min="13547" max="13563" width="9.6640625" style="9"/>
    <col min="13564" max="13564" width="12" style="9" customWidth="1"/>
    <col min="13565" max="13565" width="12.77734375" style="9" customWidth="1"/>
    <col min="13566" max="13566" width="11.109375" style="9" customWidth="1"/>
    <col min="13567" max="13567" width="12" style="9" customWidth="1"/>
    <col min="13568" max="13568" width="9.6640625" style="9"/>
    <col min="13569" max="13569" width="15.33203125" style="9" customWidth="1"/>
    <col min="13570" max="13570" width="15.21875" style="9" customWidth="1"/>
    <col min="13571" max="13571" width="21.44140625" style="9" customWidth="1"/>
    <col min="13572" max="13587" width="9.6640625" style="9"/>
    <col min="13588" max="13589" width="13.44140625" style="9" customWidth="1"/>
    <col min="13590" max="13590" width="9.6640625" style="9"/>
    <col min="13591" max="13591" width="13.88671875" style="9" customWidth="1"/>
    <col min="13592" max="13592" width="10.6640625" style="9" customWidth="1"/>
    <col min="13593" max="13593" width="17.33203125" style="9" customWidth="1"/>
    <col min="13594" max="13595" width="12.6640625" style="9" customWidth="1"/>
    <col min="13596" max="13596" width="11.21875" style="9" customWidth="1"/>
    <col min="13597" max="13597" width="18.33203125" style="9" customWidth="1"/>
    <col min="13598" max="13598" width="12.88671875" style="9" customWidth="1"/>
    <col min="13599" max="13600" width="13.21875" style="9" customWidth="1"/>
    <col min="13601" max="13601" width="10.88671875" style="9" customWidth="1"/>
    <col min="13602" max="13602" width="11.109375" style="9" customWidth="1"/>
    <col min="13603" max="13603" width="15.21875" style="9" customWidth="1"/>
    <col min="13604" max="13604" width="9.6640625" style="9"/>
    <col min="13605" max="13605" width="11" style="9" customWidth="1"/>
    <col min="13606" max="13606" width="10.77734375" style="9" customWidth="1"/>
    <col min="13607" max="13607" width="11.44140625" style="9" customWidth="1"/>
    <col min="13608" max="13608" width="4" style="9" customWidth="1"/>
    <col min="13609" max="13799" width="9.6640625" style="9"/>
    <col min="13800" max="13800" width="6.44140625" style="9" customWidth="1"/>
    <col min="13801" max="13801" width="13.88671875" style="9" customWidth="1"/>
    <col min="13802" max="13802" width="14.33203125" style="9" customWidth="1"/>
    <col min="13803" max="13819" width="9.6640625" style="9"/>
    <col min="13820" max="13820" width="12" style="9" customWidth="1"/>
    <col min="13821" max="13821" width="12.77734375" style="9" customWidth="1"/>
    <col min="13822" max="13822" width="11.109375" style="9" customWidth="1"/>
    <col min="13823" max="13823" width="12" style="9" customWidth="1"/>
    <col min="13824" max="13824" width="9.6640625" style="9"/>
    <col min="13825" max="13825" width="15.33203125" style="9" customWidth="1"/>
    <col min="13826" max="13826" width="15.21875" style="9" customWidth="1"/>
    <col min="13827" max="13827" width="21.44140625" style="9" customWidth="1"/>
    <col min="13828" max="13843" width="9.6640625" style="9"/>
    <col min="13844" max="13845" width="13.44140625" style="9" customWidth="1"/>
    <col min="13846" max="13846" width="9.6640625" style="9"/>
    <col min="13847" max="13847" width="13.88671875" style="9" customWidth="1"/>
    <col min="13848" max="13848" width="10.6640625" style="9" customWidth="1"/>
    <col min="13849" max="13849" width="17.33203125" style="9" customWidth="1"/>
    <col min="13850" max="13851" width="12.6640625" style="9" customWidth="1"/>
    <col min="13852" max="13852" width="11.21875" style="9" customWidth="1"/>
    <col min="13853" max="13853" width="18.33203125" style="9" customWidth="1"/>
    <col min="13854" max="13854" width="12.88671875" style="9" customWidth="1"/>
    <col min="13855" max="13856" width="13.21875" style="9" customWidth="1"/>
    <col min="13857" max="13857" width="10.88671875" style="9" customWidth="1"/>
    <col min="13858" max="13858" width="11.109375" style="9" customWidth="1"/>
    <col min="13859" max="13859" width="15.21875" style="9" customWidth="1"/>
    <col min="13860" max="13860" width="9.6640625" style="9"/>
    <col min="13861" max="13861" width="11" style="9" customWidth="1"/>
    <col min="13862" max="13862" width="10.77734375" style="9" customWidth="1"/>
    <col min="13863" max="13863" width="11.44140625" style="9" customWidth="1"/>
    <col min="13864" max="13864" width="4" style="9" customWidth="1"/>
    <col min="13865" max="14055" width="9.6640625" style="9"/>
    <col min="14056" max="14056" width="6.44140625" style="9" customWidth="1"/>
    <col min="14057" max="14057" width="13.88671875" style="9" customWidth="1"/>
    <col min="14058" max="14058" width="14.33203125" style="9" customWidth="1"/>
    <col min="14059" max="14075" width="9.6640625" style="9"/>
    <col min="14076" max="14076" width="12" style="9" customWidth="1"/>
    <col min="14077" max="14077" width="12.77734375" style="9" customWidth="1"/>
    <col min="14078" max="14078" width="11.109375" style="9" customWidth="1"/>
    <col min="14079" max="14079" width="12" style="9" customWidth="1"/>
    <col min="14080" max="14080" width="9.6640625" style="9"/>
    <col min="14081" max="14081" width="15.33203125" style="9" customWidth="1"/>
    <col min="14082" max="14082" width="15.21875" style="9" customWidth="1"/>
    <col min="14083" max="14083" width="21.44140625" style="9" customWidth="1"/>
    <col min="14084" max="14099" width="9.6640625" style="9"/>
    <col min="14100" max="14101" width="13.44140625" style="9" customWidth="1"/>
    <col min="14102" max="14102" width="9.6640625" style="9"/>
    <col min="14103" max="14103" width="13.88671875" style="9" customWidth="1"/>
    <col min="14104" max="14104" width="10.6640625" style="9" customWidth="1"/>
    <col min="14105" max="14105" width="17.33203125" style="9" customWidth="1"/>
    <col min="14106" max="14107" width="12.6640625" style="9" customWidth="1"/>
    <col min="14108" max="14108" width="11.21875" style="9" customWidth="1"/>
    <col min="14109" max="14109" width="18.33203125" style="9" customWidth="1"/>
    <col min="14110" max="14110" width="12.88671875" style="9" customWidth="1"/>
    <col min="14111" max="14112" width="13.21875" style="9" customWidth="1"/>
    <col min="14113" max="14113" width="10.88671875" style="9" customWidth="1"/>
    <col min="14114" max="14114" width="11.109375" style="9" customWidth="1"/>
    <col min="14115" max="14115" width="15.21875" style="9" customWidth="1"/>
    <col min="14116" max="14116" width="9.6640625" style="9"/>
    <col min="14117" max="14117" width="11" style="9" customWidth="1"/>
    <col min="14118" max="14118" width="10.77734375" style="9" customWidth="1"/>
    <col min="14119" max="14119" width="11.44140625" style="9" customWidth="1"/>
    <col min="14120" max="14120" width="4" style="9" customWidth="1"/>
    <col min="14121" max="14311" width="9.6640625" style="9"/>
    <col min="14312" max="14312" width="6.44140625" style="9" customWidth="1"/>
    <col min="14313" max="14313" width="13.88671875" style="9" customWidth="1"/>
    <col min="14314" max="14314" width="14.33203125" style="9" customWidth="1"/>
    <col min="14315" max="14331" width="9.6640625" style="9"/>
    <col min="14332" max="14332" width="12" style="9" customWidth="1"/>
    <col min="14333" max="14333" width="12.77734375" style="9" customWidth="1"/>
    <col min="14334" max="14334" width="11.109375" style="9" customWidth="1"/>
    <col min="14335" max="14335" width="12" style="9" customWidth="1"/>
    <col min="14336" max="14336" width="9.6640625" style="9"/>
    <col min="14337" max="14337" width="15.33203125" style="9" customWidth="1"/>
    <col min="14338" max="14338" width="15.21875" style="9" customWidth="1"/>
    <col min="14339" max="14339" width="21.44140625" style="9" customWidth="1"/>
    <col min="14340" max="14355" width="9.6640625" style="9"/>
    <col min="14356" max="14357" width="13.44140625" style="9" customWidth="1"/>
    <col min="14358" max="14358" width="9.6640625" style="9"/>
    <col min="14359" max="14359" width="13.88671875" style="9" customWidth="1"/>
    <col min="14360" max="14360" width="10.6640625" style="9" customWidth="1"/>
    <col min="14361" max="14361" width="17.33203125" style="9" customWidth="1"/>
    <col min="14362" max="14363" width="12.6640625" style="9" customWidth="1"/>
    <col min="14364" max="14364" width="11.21875" style="9" customWidth="1"/>
    <col min="14365" max="14365" width="18.33203125" style="9" customWidth="1"/>
    <col min="14366" max="14366" width="12.88671875" style="9" customWidth="1"/>
    <col min="14367" max="14368" width="13.21875" style="9" customWidth="1"/>
    <col min="14369" max="14369" width="10.88671875" style="9" customWidth="1"/>
    <col min="14370" max="14370" width="11.109375" style="9" customWidth="1"/>
    <col min="14371" max="14371" width="15.21875" style="9" customWidth="1"/>
    <col min="14372" max="14372" width="9.6640625" style="9"/>
    <col min="14373" max="14373" width="11" style="9" customWidth="1"/>
    <col min="14374" max="14374" width="10.77734375" style="9" customWidth="1"/>
    <col min="14375" max="14375" width="11.44140625" style="9" customWidth="1"/>
    <col min="14376" max="14376" width="4" style="9" customWidth="1"/>
    <col min="14377" max="14567" width="9.6640625" style="9"/>
    <col min="14568" max="14568" width="6.44140625" style="9" customWidth="1"/>
    <col min="14569" max="14569" width="13.88671875" style="9" customWidth="1"/>
    <col min="14570" max="14570" width="14.33203125" style="9" customWidth="1"/>
    <col min="14571" max="14587" width="9.6640625" style="9"/>
    <col min="14588" max="14588" width="12" style="9" customWidth="1"/>
    <col min="14589" max="14589" width="12.77734375" style="9" customWidth="1"/>
    <col min="14590" max="14590" width="11.109375" style="9" customWidth="1"/>
    <col min="14591" max="14591" width="12" style="9" customWidth="1"/>
    <col min="14592" max="14592" width="9.6640625" style="9"/>
    <col min="14593" max="14593" width="15.33203125" style="9" customWidth="1"/>
    <col min="14594" max="14594" width="15.21875" style="9" customWidth="1"/>
    <col min="14595" max="14595" width="21.44140625" style="9" customWidth="1"/>
    <col min="14596" max="14611" width="9.6640625" style="9"/>
    <col min="14612" max="14613" width="13.44140625" style="9" customWidth="1"/>
    <col min="14614" max="14614" width="9.6640625" style="9"/>
    <col min="14615" max="14615" width="13.88671875" style="9" customWidth="1"/>
    <col min="14616" max="14616" width="10.6640625" style="9" customWidth="1"/>
    <col min="14617" max="14617" width="17.33203125" style="9" customWidth="1"/>
    <col min="14618" max="14619" width="12.6640625" style="9" customWidth="1"/>
    <col min="14620" max="14620" width="11.21875" style="9" customWidth="1"/>
    <col min="14621" max="14621" width="18.33203125" style="9" customWidth="1"/>
    <col min="14622" max="14622" width="12.88671875" style="9" customWidth="1"/>
    <col min="14623" max="14624" width="13.21875" style="9" customWidth="1"/>
    <col min="14625" max="14625" width="10.88671875" style="9" customWidth="1"/>
    <col min="14626" max="14626" width="11.109375" style="9" customWidth="1"/>
    <col min="14627" max="14627" width="15.21875" style="9" customWidth="1"/>
    <col min="14628" max="14628" width="9.6640625" style="9"/>
    <col min="14629" max="14629" width="11" style="9" customWidth="1"/>
    <col min="14630" max="14630" width="10.77734375" style="9" customWidth="1"/>
    <col min="14631" max="14631" width="11.44140625" style="9" customWidth="1"/>
    <col min="14632" max="14632" width="4" style="9" customWidth="1"/>
    <col min="14633" max="14823" width="9.6640625" style="9"/>
    <col min="14824" max="14824" width="6.44140625" style="9" customWidth="1"/>
    <col min="14825" max="14825" width="13.88671875" style="9" customWidth="1"/>
    <col min="14826" max="14826" width="14.33203125" style="9" customWidth="1"/>
    <col min="14827" max="14843" width="9.6640625" style="9"/>
    <col min="14844" max="14844" width="12" style="9" customWidth="1"/>
    <col min="14845" max="14845" width="12.77734375" style="9" customWidth="1"/>
    <col min="14846" max="14846" width="11.109375" style="9" customWidth="1"/>
    <col min="14847" max="14847" width="12" style="9" customWidth="1"/>
    <col min="14848" max="14848" width="9.6640625" style="9"/>
    <col min="14849" max="14849" width="15.33203125" style="9" customWidth="1"/>
    <col min="14850" max="14850" width="15.21875" style="9" customWidth="1"/>
    <col min="14851" max="14851" width="21.44140625" style="9" customWidth="1"/>
    <col min="14852" max="14867" width="9.6640625" style="9"/>
    <col min="14868" max="14869" width="13.44140625" style="9" customWidth="1"/>
    <col min="14870" max="14870" width="9.6640625" style="9"/>
    <col min="14871" max="14871" width="13.88671875" style="9" customWidth="1"/>
    <col min="14872" max="14872" width="10.6640625" style="9" customWidth="1"/>
    <col min="14873" max="14873" width="17.33203125" style="9" customWidth="1"/>
    <col min="14874" max="14875" width="12.6640625" style="9" customWidth="1"/>
    <col min="14876" max="14876" width="11.21875" style="9" customWidth="1"/>
    <col min="14877" max="14877" width="18.33203125" style="9" customWidth="1"/>
    <col min="14878" max="14878" width="12.88671875" style="9" customWidth="1"/>
    <col min="14879" max="14880" width="13.21875" style="9" customWidth="1"/>
    <col min="14881" max="14881" width="10.88671875" style="9" customWidth="1"/>
    <col min="14882" max="14882" width="11.109375" style="9" customWidth="1"/>
    <col min="14883" max="14883" width="15.21875" style="9" customWidth="1"/>
    <col min="14884" max="14884" width="9.6640625" style="9"/>
    <col min="14885" max="14885" width="11" style="9" customWidth="1"/>
    <col min="14886" max="14886" width="10.77734375" style="9" customWidth="1"/>
    <col min="14887" max="14887" width="11.44140625" style="9" customWidth="1"/>
    <col min="14888" max="14888" width="4" style="9" customWidth="1"/>
    <col min="14889" max="15079" width="9.6640625" style="9"/>
    <col min="15080" max="15080" width="6.44140625" style="9" customWidth="1"/>
    <col min="15081" max="15081" width="13.88671875" style="9" customWidth="1"/>
    <col min="15082" max="15082" width="14.33203125" style="9" customWidth="1"/>
    <col min="15083" max="15099" width="9.6640625" style="9"/>
    <col min="15100" max="15100" width="12" style="9" customWidth="1"/>
    <col min="15101" max="15101" width="12.77734375" style="9" customWidth="1"/>
    <col min="15102" max="15102" width="11.109375" style="9" customWidth="1"/>
    <col min="15103" max="15103" width="12" style="9" customWidth="1"/>
    <col min="15104" max="15104" width="9.6640625" style="9"/>
    <col min="15105" max="15105" width="15.33203125" style="9" customWidth="1"/>
    <col min="15106" max="15106" width="15.21875" style="9" customWidth="1"/>
    <col min="15107" max="15107" width="21.44140625" style="9" customWidth="1"/>
    <col min="15108" max="15123" width="9.6640625" style="9"/>
    <col min="15124" max="15125" width="13.44140625" style="9" customWidth="1"/>
    <col min="15126" max="15126" width="9.6640625" style="9"/>
    <col min="15127" max="15127" width="13.88671875" style="9" customWidth="1"/>
    <col min="15128" max="15128" width="10.6640625" style="9" customWidth="1"/>
    <col min="15129" max="15129" width="17.33203125" style="9" customWidth="1"/>
    <col min="15130" max="15131" width="12.6640625" style="9" customWidth="1"/>
    <col min="15132" max="15132" width="11.21875" style="9" customWidth="1"/>
    <col min="15133" max="15133" width="18.33203125" style="9" customWidth="1"/>
    <col min="15134" max="15134" width="12.88671875" style="9" customWidth="1"/>
    <col min="15135" max="15136" width="13.21875" style="9" customWidth="1"/>
    <col min="15137" max="15137" width="10.88671875" style="9" customWidth="1"/>
    <col min="15138" max="15138" width="11.109375" style="9" customWidth="1"/>
    <col min="15139" max="15139" width="15.21875" style="9" customWidth="1"/>
    <col min="15140" max="15140" width="9.6640625" style="9"/>
    <col min="15141" max="15141" width="11" style="9" customWidth="1"/>
    <col min="15142" max="15142" width="10.77734375" style="9" customWidth="1"/>
    <col min="15143" max="15143" width="11.44140625" style="9" customWidth="1"/>
    <col min="15144" max="15144" width="4" style="9" customWidth="1"/>
    <col min="15145" max="15335" width="9.6640625" style="9"/>
    <col min="15336" max="15336" width="6.44140625" style="9" customWidth="1"/>
    <col min="15337" max="15337" width="13.88671875" style="9" customWidth="1"/>
    <col min="15338" max="15338" width="14.33203125" style="9" customWidth="1"/>
    <col min="15339" max="15355" width="9.6640625" style="9"/>
    <col min="15356" max="15356" width="12" style="9" customWidth="1"/>
    <col min="15357" max="15357" width="12.77734375" style="9" customWidth="1"/>
    <col min="15358" max="15358" width="11.109375" style="9" customWidth="1"/>
    <col min="15359" max="15359" width="12" style="9" customWidth="1"/>
    <col min="15360" max="15360" width="9.6640625" style="9"/>
    <col min="15361" max="15361" width="15.33203125" style="9" customWidth="1"/>
    <col min="15362" max="15362" width="15.21875" style="9" customWidth="1"/>
    <col min="15363" max="15363" width="21.44140625" style="9" customWidth="1"/>
    <col min="15364" max="15379" width="9.6640625" style="9"/>
    <col min="15380" max="15381" width="13.44140625" style="9" customWidth="1"/>
    <col min="15382" max="15382" width="9.6640625" style="9"/>
    <col min="15383" max="15383" width="13.88671875" style="9" customWidth="1"/>
    <col min="15384" max="15384" width="10.6640625" style="9" customWidth="1"/>
    <col min="15385" max="15385" width="17.33203125" style="9" customWidth="1"/>
    <col min="15386" max="15387" width="12.6640625" style="9" customWidth="1"/>
    <col min="15388" max="15388" width="11.21875" style="9" customWidth="1"/>
    <col min="15389" max="15389" width="18.33203125" style="9" customWidth="1"/>
    <col min="15390" max="15390" width="12.88671875" style="9" customWidth="1"/>
    <col min="15391" max="15392" width="13.21875" style="9" customWidth="1"/>
    <col min="15393" max="15393" width="10.88671875" style="9" customWidth="1"/>
    <col min="15394" max="15394" width="11.109375" style="9" customWidth="1"/>
    <col min="15395" max="15395" width="15.21875" style="9" customWidth="1"/>
    <col min="15396" max="15396" width="9.6640625" style="9"/>
    <col min="15397" max="15397" width="11" style="9" customWidth="1"/>
    <col min="15398" max="15398" width="10.77734375" style="9" customWidth="1"/>
    <col min="15399" max="15399" width="11.44140625" style="9" customWidth="1"/>
    <col min="15400" max="15400" width="4" style="9" customWidth="1"/>
    <col min="15401" max="15591" width="9.6640625" style="9"/>
    <col min="15592" max="15592" width="6.44140625" style="9" customWidth="1"/>
    <col min="15593" max="15593" width="13.88671875" style="9" customWidth="1"/>
    <col min="15594" max="15594" width="14.33203125" style="9" customWidth="1"/>
    <col min="15595" max="15611" width="9.6640625" style="9"/>
    <col min="15612" max="15612" width="12" style="9" customWidth="1"/>
    <col min="15613" max="15613" width="12.77734375" style="9" customWidth="1"/>
    <col min="15614" max="15614" width="11.109375" style="9" customWidth="1"/>
    <col min="15615" max="15615" width="12" style="9" customWidth="1"/>
    <col min="15616" max="15616" width="9.6640625" style="9"/>
    <col min="15617" max="15617" width="15.33203125" style="9" customWidth="1"/>
    <col min="15618" max="15618" width="15.21875" style="9" customWidth="1"/>
    <col min="15619" max="15619" width="21.44140625" style="9" customWidth="1"/>
    <col min="15620" max="15635" width="9.6640625" style="9"/>
    <col min="15636" max="15637" width="13.44140625" style="9" customWidth="1"/>
    <col min="15638" max="15638" width="9.6640625" style="9"/>
    <col min="15639" max="15639" width="13.88671875" style="9" customWidth="1"/>
    <col min="15640" max="15640" width="10.6640625" style="9" customWidth="1"/>
    <col min="15641" max="15641" width="17.33203125" style="9" customWidth="1"/>
    <col min="15642" max="15643" width="12.6640625" style="9" customWidth="1"/>
    <col min="15644" max="15644" width="11.21875" style="9" customWidth="1"/>
    <col min="15645" max="15645" width="18.33203125" style="9" customWidth="1"/>
    <col min="15646" max="15646" width="12.88671875" style="9" customWidth="1"/>
    <col min="15647" max="15648" width="13.21875" style="9" customWidth="1"/>
    <col min="15649" max="15649" width="10.88671875" style="9" customWidth="1"/>
    <col min="15650" max="15650" width="11.109375" style="9" customWidth="1"/>
    <col min="15651" max="15651" width="15.21875" style="9" customWidth="1"/>
    <col min="15652" max="15652" width="9.6640625" style="9"/>
    <col min="15653" max="15653" width="11" style="9" customWidth="1"/>
    <col min="15654" max="15654" width="10.77734375" style="9" customWidth="1"/>
    <col min="15655" max="15655" width="11.44140625" style="9" customWidth="1"/>
    <col min="15656" max="15656" width="4" style="9" customWidth="1"/>
    <col min="15657" max="15847" width="9.6640625" style="9"/>
    <col min="15848" max="15848" width="6.44140625" style="9" customWidth="1"/>
    <col min="15849" max="15849" width="13.88671875" style="9" customWidth="1"/>
    <col min="15850" max="15850" width="14.33203125" style="9" customWidth="1"/>
    <col min="15851" max="15867" width="9.6640625" style="9"/>
    <col min="15868" max="15868" width="12" style="9" customWidth="1"/>
    <col min="15869" max="15869" width="12.77734375" style="9" customWidth="1"/>
    <col min="15870" max="15870" width="11.109375" style="9" customWidth="1"/>
    <col min="15871" max="15871" width="12" style="9" customWidth="1"/>
    <col min="15872" max="15872" width="9.6640625" style="9"/>
    <col min="15873" max="15873" width="15.33203125" style="9" customWidth="1"/>
    <col min="15874" max="15874" width="15.21875" style="9" customWidth="1"/>
    <col min="15875" max="15875" width="21.44140625" style="9" customWidth="1"/>
    <col min="15876" max="15891" width="9.6640625" style="9"/>
    <col min="15892" max="15893" width="13.44140625" style="9" customWidth="1"/>
    <col min="15894" max="15894" width="9.6640625" style="9"/>
    <col min="15895" max="15895" width="13.88671875" style="9" customWidth="1"/>
    <col min="15896" max="15896" width="10.6640625" style="9" customWidth="1"/>
    <col min="15897" max="15897" width="17.33203125" style="9" customWidth="1"/>
    <col min="15898" max="15899" width="12.6640625" style="9" customWidth="1"/>
    <col min="15900" max="15900" width="11.21875" style="9" customWidth="1"/>
    <col min="15901" max="15901" width="18.33203125" style="9" customWidth="1"/>
    <col min="15902" max="15902" width="12.88671875" style="9" customWidth="1"/>
    <col min="15903" max="15904" width="13.21875" style="9" customWidth="1"/>
    <col min="15905" max="15905" width="10.88671875" style="9" customWidth="1"/>
    <col min="15906" max="15906" width="11.109375" style="9" customWidth="1"/>
    <col min="15907" max="15907" width="15.21875" style="9" customWidth="1"/>
    <col min="15908" max="15908" width="9.6640625" style="9"/>
    <col min="15909" max="15909" width="11" style="9" customWidth="1"/>
    <col min="15910" max="15910" width="10.77734375" style="9" customWidth="1"/>
    <col min="15911" max="15911" width="11.44140625" style="9" customWidth="1"/>
    <col min="15912" max="15912" width="4" style="9" customWidth="1"/>
    <col min="15913" max="16103" width="9.6640625" style="9"/>
    <col min="16104" max="16104" width="6.44140625" style="9" customWidth="1"/>
    <col min="16105" max="16105" width="13.88671875" style="9" customWidth="1"/>
    <col min="16106" max="16106" width="14.33203125" style="9" customWidth="1"/>
    <col min="16107" max="16123" width="9.6640625" style="9"/>
    <col min="16124" max="16124" width="12" style="9" customWidth="1"/>
    <col min="16125" max="16125" width="12.77734375" style="9" customWidth="1"/>
    <col min="16126" max="16126" width="11.109375" style="9" customWidth="1"/>
    <col min="16127" max="16127" width="12" style="9" customWidth="1"/>
    <col min="16128" max="16128" width="9.6640625" style="9"/>
    <col min="16129" max="16129" width="15.33203125" style="9" customWidth="1"/>
    <col min="16130" max="16130" width="15.21875" style="9" customWidth="1"/>
    <col min="16131" max="16131" width="21.44140625" style="9" customWidth="1"/>
    <col min="16132" max="16147" width="9.6640625" style="9"/>
    <col min="16148" max="16149" width="13.44140625" style="9" customWidth="1"/>
    <col min="16150" max="16150" width="9.6640625" style="9"/>
    <col min="16151" max="16151" width="13.88671875" style="9" customWidth="1"/>
    <col min="16152" max="16152" width="10.6640625" style="9" customWidth="1"/>
    <col min="16153" max="16153" width="17.33203125" style="9" customWidth="1"/>
    <col min="16154" max="16155" width="12.6640625" style="9" customWidth="1"/>
    <col min="16156" max="16156" width="11.21875" style="9" customWidth="1"/>
    <col min="16157" max="16157" width="18.33203125" style="9" customWidth="1"/>
    <col min="16158" max="16158" width="12.88671875" style="9" customWidth="1"/>
    <col min="16159" max="16160" width="13.21875" style="9" customWidth="1"/>
    <col min="16161" max="16161" width="10.88671875" style="9" customWidth="1"/>
    <col min="16162" max="16162" width="11.109375" style="9" customWidth="1"/>
    <col min="16163" max="16163" width="15.21875" style="9" customWidth="1"/>
    <col min="16164" max="16164" width="9.6640625" style="9"/>
    <col min="16165" max="16165" width="11" style="9" customWidth="1"/>
    <col min="16166" max="16166" width="10.77734375" style="9" customWidth="1"/>
    <col min="16167" max="16167" width="11.44140625" style="9" customWidth="1"/>
    <col min="16168" max="16168" width="4" style="9" customWidth="1"/>
    <col min="16169" max="16384" width="9.6640625" style="9"/>
  </cols>
  <sheetData>
    <row r="1" spans="1:164" ht="13.2" x14ac:dyDescent="0.2">
      <c r="A1" s="8" t="s">
        <v>75</v>
      </c>
    </row>
    <row r="2" spans="1:164" x14ac:dyDescent="0.2">
      <c r="C2" s="11" t="s">
        <v>76</v>
      </c>
    </row>
    <row r="3" spans="1:164" s="10" customFormat="1" x14ac:dyDescent="0.2">
      <c r="A3" s="12"/>
      <c r="B3" s="13" t="s">
        <v>77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</row>
    <row r="4" spans="1:164" s="10" customFormat="1" x14ac:dyDescent="0.2">
      <c r="A4" s="12"/>
      <c r="B4" s="15" t="s">
        <v>78</v>
      </c>
      <c r="C4" s="14" t="s">
        <v>416</v>
      </c>
      <c r="D4" s="14" t="s">
        <v>527</v>
      </c>
      <c r="E4" s="14" t="s">
        <v>416</v>
      </c>
      <c r="F4" s="14" t="s">
        <v>416</v>
      </c>
      <c r="G4" s="14" t="s">
        <v>416</v>
      </c>
      <c r="H4" s="14" t="s">
        <v>416</v>
      </c>
      <c r="I4" s="14" t="s">
        <v>416</v>
      </c>
      <c r="J4" s="14" t="s">
        <v>416</v>
      </c>
      <c r="K4" s="14" t="s">
        <v>619</v>
      </c>
      <c r="L4" s="14" t="s">
        <v>619</v>
      </c>
      <c r="M4" s="14" t="s">
        <v>620</v>
      </c>
      <c r="N4" s="14" t="s">
        <v>527</v>
      </c>
      <c r="O4" s="14" t="s">
        <v>527</v>
      </c>
      <c r="P4" s="14" t="s">
        <v>527</v>
      </c>
      <c r="Q4" s="14" t="s">
        <v>527</v>
      </c>
      <c r="R4" s="14" t="s">
        <v>574</v>
      </c>
      <c r="S4" s="14" t="s">
        <v>574</v>
      </c>
      <c r="T4" s="14" t="s">
        <v>574</v>
      </c>
      <c r="U4" s="14" t="s">
        <v>574</v>
      </c>
      <c r="V4" s="14" t="s">
        <v>574</v>
      </c>
      <c r="W4" s="14" t="s">
        <v>574</v>
      </c>
      <c r="X4" s="14" t="s">
        <v>565</v>
      </c>
      <c r="Y4" s="14" t="s">
        <v>565</v>
      </c>
      <c r="Z4" s="14" t="s">
        <v>565</v>
      </c>
      <c r="AA4" s="14" t="s">
        <v>565</v>
      </c>
      <c r="AB4" s="14" t="s">
        <v>566</v>
      </c>
      <c r="AC4" s="14" t="s">
        <v>566</v>
      </c>
      <c r="AD4" s="14" t="s">
        <v>566</v>
      </c>
      <c r="AE4" s="14" t="s">
        <v>566</v>
      </c>
      <c r="AF4" s="14" t="s">
        <v>566</v>
      </c>
      <c r="AG4" s="14" t="s">
        <v>566</v>
      </c>
      <c r="AH4" s="14" t="s">
        <v>567</v>
      </c>
      <c r="AI4" s="14" t="s">
        <v>566</v>
      </c>
      <c r="AJ4" s="14" t="s">
        <v>566</v>
      </c>
      <c r="AK4" s="14" t="s">
        <v>566</v>
      </c>
      <c r="AL4" s="14" t="s">
        <v>568</v>
      </c>
      <c r="AM4" s="14" t="s">
        <v>568</v>
      </c>
      <c r="AN4" s="14" t="s">
        <v>568</v>
      </c>
      <c r="AO4" s="14" t="s">
        <v>563</v>
      </c>
      <c r="AP4" s="14" t="s">
        <v>569</v>
      </c>
      <c r="AQ4" s="14" t="s">
        <v>569</v>
      </c>
      <c r="AR4" s="14" t="s">
        <v>569</v>
      </c>
      <c r="AS4" s="14" t="s">
        <v>566</v>
      </c>
      <c r="AT4" s="14" t="s">
        <v>566</v>
      </c>
      <c r="AU4" s="14" t="s">
        <v>566</v>
      </c>
      <c r="AV4" s="14" t="s">
        <v>566</v>
      </c>
      <c r="AW4" s="14" t="s">
        <v>566</v>
      </c>
      <c r="AX4" s="14" t="s">
        <v>566</v>
      </c>
      <c r="AY4" s="14" t="s">
        <v>566</v>
      </c>
      <c r="AZ4" s="14" t="s">
        <v>566</v>
      </c>
      <c r="BA4" s="14" t="s">
        <v>566</v>
      </c>
      <c r="BB4" s="14" t="s">
        <v>570</v>
      </c>
      <c r="BC4" s="14" t="s">
        <v>570</v>
      </c>
      <c r="BD4" s="14" t="s">
        <v>566</v>
      </c>
      <c r="BE4" s="14" t="s">
        <v>566</v>
      </c>
      <c r="BF4" s="14" t="s">
        <v>566</v>
      </c>
      <c r="BG4" s="14" t="s">
        <v>566</v>
      </c>
      <c r="BH4" s="14" t="s">
        <v>566</v>
      </c>
      <c r="BI4" s="14" t="s">
        <v>566</v>
      </c>
      <c r="BJ4" s="14" t="s">
        <v>566</v>
      </c>
      <c r="BK4" s="14" t="s">
        <v>566</v>
      </c>
      <c r="BL4" s="14" t="s">
        <v>566</v>
      </c>
      <c r="BM4" s="14" t="s">
        <v>566</v>
      </c>
      <c r="BN4" s="14" t="s">
        <v>566</v>
      </c>
      <c r="BO4" s="14" t="s">
        <v>566</v>
      </c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</row>
    <row r="5" spans="1:164" s="10" customFormat="1" x14ac:dyDescent="0.2">
      <c r="A5" s="12"/>
      <c r="B5" s="13" t="s">
        <v>79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</row>
    <row r="6" spans="1:164" s="18" customFormat="1" x14ac:dyDescent="0.2">
      <c r="A6" s="16"/>
      <c r="B6" s="13" t="s">
        <v>80</v>
      </c>
      <c r="C6" s="100"/>
      <c r="D6" s="100"/>
      <c r="E6" s="100"/>
      <c r="F6" s="100"/>
      <c r="G6" s="100"/>
      <c r="H6" s="100"/>
      <c r="I6" s="100"/>
      <c r="J6" s="100"/>
      <c r="K6" s="100" t="s">
        <v>529</v>
      </c>
      <c r="L6" s="100" t="s">
        <v>530</v>
      </c>
      <c r="M6" s="100" t="s">
        <v>531</v>
      </c>
      <c r="N6" s="100" t="s">
        <v>531</v>
      </c>
      <c r="O6" s="100" t="s">
        <v>532</v>
      </c>
      <c r="P6" s="100" t="s">
        <v>533</v>
      </c>
      <c r="Q6" s="100" t="s">
        <v>534</v>
      </c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 t="s">
        <v>529</v>
      </c>
      <c r="AC6" s="100" t="s">
        <v>529</v>
      </c>
      <c r="AD6" s="100" t="s">
        <v>529</v>
      </c>
      <c r="AE6" s="100" t="s">
        <v>535</v>
      </c>
      <c r="AF6" s="100" t="s">
        <v>535</v>
      </c>
      <c r="AG6" s="100" t="s">
        <v>535</v>
      </c>
      <c r="AH6" s="100"/>
      <c r="AI6" s="100"/>
      <c r="AJ6" s="100"/>
      <c r="AK6" s="100"/>
      <c r="AL6" s="100"/>
      <c r="AM6" s="100"/>
      <c r="AN6" s="100"/>
      <c r="AO6" s="100"/>
      <c r="AP6" s="100" t="s">
        <v>542</v>
      </c>
      <c r="AQ6" s="100" t="s">
        <v>535</v>
      </c>
      <c r="AR6" s="100" t="s">
        <v>543</v>
      </c>
      <c r="AS6" s="100" t="s">
        <v>535</v>
      </c>
      <c r="AT6" s="100" t="s">
        <v>544</v>
      </c>
      <c r="AU6" s="100" t="s">
        <v>545</v>
      </c>
      <c r="AV6" s="100"/>
      <c r="AW6" s="100"/>
      <c r="AX6" s="100"/>
      <c r="AY6" s="100"/>
      <c r="AZ6" s="100"/>
      <c r="BA6" s="100"/>
      <c r="BB6" s="100"/>
      <c r="BC6" s="100"/>
      <c r="BD6" s="100"/>
      <c r="BE6" s="100" t="s">
        <v>536</v>
      </c>
      <c r="BF6" s="100" t="s">
        <v>532</v>
      </c>
      <c r="BG6" s="100" t="s">
        <v>534</v>
      </c>
      <c r="BH6" s="100" t="s">
        <v>537</v>
      </c>
      <c r="BI6" s="100" t="s">
        <v>538</v>
      </c>
      <c r="BJ6" s="100" t="s">
        <v>529</v>
      </c>
      <c r="BK6" s="100"/>
      <c r="BL6" s="100"/>
      <c r="BM6" s="100" t="s">
        <v>539</v>
      </c>
      <c r="BN6" s="100" t="s">
        <v>540</v>
      </c>
      <c r="BO6" s="100" t="s">
        <v>541</v>
      </c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</row>
    <row r="7" spans="1:164" s="21" customFormat="1" ht="19.8" customHeight="1" x14ac:dyDescent="0.3">
      <c r="A7" s="19"/>
      <c r="B7" s="20" t="s">
        <v>81</v>
      </c>
      <c r="C7" s="20" t="s">
        <v>412</v>
      </c>
      <c r="D7" s="20" t="s">
        <v>148</v>
      </c>
      <c r="E7" s="20" t="s">
        <v>413</v>
      </c>
      <c r="F7" s="20" t="s">
        <v>414</v>
      </c>
      <c r="G7" s="20" t="s">
        <v>651</v>
      </c>
      <c r="H7" s="20" t="s">
        <v>650</v>
      </c>
      <c r="I7" s="20" t="s">
        <v>652</v>
      </c>
      <c r="J7" s="20" t="s">
        <v>415</v>
      </c>
      <c r="K7" s="20" t="s">
        <v>547</v>
      </c>
      <c r="L7" s="20" t="s">
        <v>547</v>
      </c>
      <c r="M7" s="20" t="s">
        <v>548</v>
      </c>
      <c r="N7" s="20" t="s">
        <v>36</v>
      </c>
      <c r="O7" s="20" t="s">
        <v>36</v>
      </c>
      <c r="P7" s="20" t="s">
        <v>36</v>
      </c>
      <c r="Q7" s="20" t="s">
        <v>36</v>
      </c>
      <c r="R7" s="20" t="s">
        <v>435</v>
      </c>
      <c r="S7" s="20" t="s">
        <v>434</v>
      </c>
      <c r="T7" s="20" t="s">
        <v>437</v>
      </c>
      <c r="U7" s="20" t="s">
        <v>438</v>
      </c>
      <c r="V7" s="20" t="s">
        <v>439</v>
      </c>
      <c r="W7" s="20" t="s">
        <v>440</v>
      </c>
      <c r="X7" s="20" t="s">
        <v>653</v>
      </c>
      <c r="Y7" s="20" t="s">
        <v>654</v>
      </c>
      <c r="Z7" s="20" t="s">
        <v>655</v>
      </c>
      <c r="AA7" s="20" t="s">
        <v>656</v>
      </c>
      <c r="AB7" s="20" t="s">
        <v>488</v>
      </c>
      <c r="AC7" s="20" t="s">
        <v>490</v>
      </c>
      <c r="AD7" s="20" t="s">
        <v>489</v>
      </c>
      <c r="AE7" s="20" t="s">
        <v>488</v>
      </c>
      <c r="AF7" s="20" t="s">
        <v>490</v>
      </c>
      <c r="AG7" s="20" t="s">
        <v>489</v>
      </c>
      <c r="AH7" s="20" t="s">
        <v>504</v>
      </c>
      <c r="AI7" s="20" t="s">
        <v>467</v>
      </c>
      <c r="AJ7" s="20" t="s">
        <v>468</v>
      </c>
      <c r="AK7" s="20" t="s">
        <v>469</v>
      </c>
      <c r="AL7" s="20" t="s">
        <v>470</v>
      </c>
      <c r="AM7" s="20" t="s">
        <v>472</v>
      </c>
      <c r="AN7" s="20" t="s">
        <v>472</v>
      </c>
      <c r="AO7" s="20" t="s">
        <v>487</v>
      </c>
      <c r="AP7" s="20" t="s">
        <v>657</v>
      </c>
      <c r="AQ7" s="20" t="s">
        <v>549</v>
      </c>
      <c r="AR7" s="20" t="s">
        <v>657</v>
      </c>
      <c r="AS7" s="20" t="s">
        <v>96</v>
      </c>
      <c r="AT7" s="20" t="s">
        <v>96</v>
      </c>
      <c r="AU7" s="20" t="s">
        <v>96</v>
      </c>
      <c r="AV7" s="20" t="s">
        <v>150</v>
      </c>
      <c r="AW7" s="20" t="s">
        <v>491</v>
      </c>
      <c r="AX7" s="20" t="s">
        <v>474</v>
      </c>
      <c r="AY7" s="20" t="s">
        <v>475</v>
      </c>
      <c r="AZ7" s="20" t="s">
        <v>3</v>
      </c>
      <c r="BA7" s="20" t="s">
        <v>476</v>
      </c>
      <c r="BB7" s="20" t="s">
        <v>477</v>
      </c>
      <c r="BC7" s="20" t="s">
        <v>93</v>
      </c>
      <c r="BD7" s="20" t="s">
        <v>4</v>
      </c>
      <c r="BE7" s="20" t="s">
        <v>546</v>
      </c>
      <c r="BF7" s="20" t="s">
        <v>10</v>
      </c>
      <c r="BG7" s="20" t="s">
        <v>10</v>
      </c>
      <c r="BH7" s="20" t="s">
        <v>10</v>
      </c>
      <c r="BI7" s="20" t="s">
        <v>8</v>
      </c>
      <c r="BJ7" s="20" t="s">
        <v>8</v>
      </c>
      <c r="BK7" s="20" t="s">
        <v>479</v>
      </c>
      <c r="BL7" s="20" t="s">
        <v>480</v>
      </c>
      <c r="BM7" s="20" t="s">
        <v>6</v>
      </c>
      <c r="BN7" s="20" t="s">
        <v>6</v>
      </c>
      <c r="BO7" s="20" t="s">
        <v>6</v>
      </c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</row>
    <row r="8" spans="1:164" x14ac:dyDescent="0.2">
      <c r="A8" s="22" t="s">
        <v>88</v>
      </c>
      <c r="B8" s="23"/>
    </row>
    <row r="9" spans="1:164" x14ac:dyDescent="0.2">
      <c r="A9" s="24" t="s">
        <v>589</v>
      </c>
      <c r="C9" s="25"/>
      <c r="D9" s="25">
        <v>1.55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>
        <v>8.1250000000000003E-2</v>
      </c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</row>
    <row r="10" spans="1:164" x14ac:dyDescent="0.2">
      <c r="A10" s="24" t="s">
        <v>590</v>
      </c>
      <c r="C10" s="25"/>
      <c r="D10" s="25">
        <v>2.125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</row>
    <row r="11" spans="1:164" x14ac:dyDescent="0.2">
      <c r="A11" s="24" t="s">
        <v>591</v>
      </c>
      <c r="C11" s="25"/>
      <c r="D11" s="25">
        <v>2.0499999999999998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</row>
    <row r="12" spans="1:164" x14ac:dyDescent="0.2">
      <c r="A12" s="24" t="s">
        <v>592</v>
      </c>
      <c r="C12" s="25"/>
      <c r="D12" s="25">
        <v>1.55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</row>
    <row r="13" spans="1:164" x14ac:dyDescent="0.2">
      <c r="A13" s="24" t="s">
        <v>593</v>
      </c>
      <c r="C13" s="25"/>
      <c r="D13" s="25">
        <v>1.4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</row>
    <row r="14" spans="1:164" x14ac:dyDescent="0.2">
      <c r="A14" s="24" t="s">
        <v>594</v>
      </c>
      <c r="C14" s="25"/>
      <c r="D14" s="25">
        <v>1.125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</row>
    <row r="15" spans="1:164" x14ac:dyDescent="0.2">
      <c r="A15" s="24" t="s">
        <v>587</v>
      </c>
      <c r="C15" s="25"/>
      <c r="D15" s="25">
        <v>1.125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>
        <v>3.0454545454545456E-2</v>
      </c>
      <c r="Y15" s="25">
        <v>4.2499999999999996E-2</v>
      </c>
      <c r="Z15" s="25">
        <v>5.272727272727272E-2</v>
      </c>
      <c r="AA15" s="25">
        <v>5.8181818181818182E-2</v>
      </c>
      <c r="AB15" s="25"/>
      <c r="AC15" s="25"/>
      <c r="AD15" s="25"/>
      <c r="AE15" s="25"/>
      <c r="AF15" s="25"/>
      <c r="AG15" s="25"/>
      <c r="AH15" s="25"/>
      <c r="AI15" s="25">
        <v>3.125E-2</v>
      </c>
      <c r="AJ15" s="25">
        <v>5.2083333333333336E-2</v>
      </c>
      <c r="AK15" s="25">
        <v>5.4166666666666669E-2</v>
      </c>
      <c r="AL15" s="25">
        <v>0.10919540229885057</v>
      </c>
      <c r="AM15" s="25">
        <v>9.9137931034482762E-2</v>
      </c>
      <c r="AN15" s="25">
        <v>0.1307471264367816</v>
      </c>
      <c r="AO15" s="25">
        <v>3.3333333333333333E-2</v>
      </c>
      <c r="AP15" s="25"/>
      <c r="AQ15" s="25"/>
      <c r="AR15" s="25">
        <v>2.6859504132231406E-2</v>
      </c>
      <c r="AS15" s="25"/>
      <c r="AT15" s="25"/>
      <c r="AU15" s="25"/>
      <c r="AV15" s="25"/>
      <c r="AW15" s="25"/>
      <c r="AX15" s="25">
        <v>1.3223140495867768E-2</v>
      </c>
      <c r="AY15" s="25">
        <v>1.1673553719008266E-2</v>
      </c>
      <c r="AZ15" s="25">
        <v>2.9333290471904336E-2</v>
      </c>
      <c r="BA15" s="25">
        <v>5.3346974568839522E-2</v>
      </c>
      <c r="BB15" s="25"/>
      <c r="BC15" s="25">
        <v>0.28740188694204394</v>
      </c>
      <c r="BD15" s="25">
        <v>2.7002700270027005E-2</v>
      </c>
      <c r="BE15" s="25">
        <v>8.9989471587513872E-3</v>
      </c>
      <c r="BF15" s="25">
        <v>1.2698119113336936E-2</v>
      </c>
      <c r="BG15" s="25">
        <v>7.8963093645960779E-3</v>
      </c>
      <c r="BH15" s="25">
        <v>9.9593091084995578E-3</v>
      </c>
      <c r="BI15" s="25">
        <v>6.087662337662338E-3</v>
      </c>
      <c r="BJ15" s="25">
        <v>9.4384856138602282E-3</v>
      </c>
      <c r="BK15" s="25">
        <v>3.8575286100038575E-2</v>
      </c>
      <c r="BL15" s="25">
        <v>0.12858428700012858</v>
      </c>
      <c r="BM15" s="25">
        <v>0.12858428700012858</v>
      </c>
      <c r="BN15" s="25"/>
      <c r="BO15" s="25">
        <v>0.45004500450045004</v>
      </c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</row>
    <row r="16" spans="1:164" x14ac:dyDescent="0.2">
      <c r="A16" s="24" t="s">
        <v>460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>
        <v>2.8663793103448278E-2</v>
      </c>
      <c r="Y16" s="25">
        <v>4.0301724137931032E-2</v>
      </c>
      <c r="Z16" s="25">
        <v>4.8706896551724138E-2</v>
      </c>
      <c r="AA16" s="25">
        <v>0.05</v>
      </c>
      <c r="AB16" s="25"/>
      <c r="AC16" s="25"/>
      <c r="AD16" s="25"/>
      <c r="AE16" s="25"/>
      <c r="AF16" s="25"/>
      <c r="AG16" s="25"/>
      <c r="AH16" s="25"/>
      <c r="AI16" s="25">
        <v>4.2564655172413791E-2</v>
      </c>
      <c r="AJ16" s="25">
        <v>3.4482758620689655E-2</v>
      </c>
      <c r="AK16" s="25">
        <v>3.8793103448275863E-2</v>
      </c>
      <c r="AL16" s="25">
        <v>0.10272988505747127</v>
      </c>
      <c r="AM16" s="25">
        <v>9.9137931034482762E-2</v>
      </c>
      <c r="AN16" s="25">
        <v>0.12931034482758622</v>
      </c>
      <c r="AO16" s="25"/>
      <c r="AP16" s="25">
        <v>3.4090909090909088E-2</v>
      </c>
      <c r="AQ16" s="25">
        <v>4.0909090909090909E-2</v>
      </c>
      <c r="AR16" s="25"/>
      <c r="AS16" s="25">
        <v>2.8958944281524926E-3</v>
      </c>
      <c r="AT16" s="25">
        <v>2.7126099706744869E-3</v>
      </c>
      <c r="AU16" s="25">
        <v>4.2155425219941346E-3</v>
      </c>
      <c r="AV16" s="25">
        <v>4.5454545454545452E-3</v>
      </c>
      <c r="AW16" s="25"/>
      <c r="AX16" s="25">
        <v>8.2478005865102635E-3</v>
      </c>
      <c r="AY16" s="25">
        <v>7.1480938416422285E-3</v>
      </c>
      <c r="AZ16" s="25">
        <v>4.2593545068792593E-2</v>
      </c>
      <c r="BA16" s="25">
        <v>7.1480938416422279E-2</v>
      </c>
      <c r="BB16" s="25">
        <v>0.72727272727272729</v>
      </c>
      <c r="BC16" s="25">
        <v>0.28156045745176922</v>
      </c>
      <c r="BD16" s="25">
        <v>4.8267326732673276E-2</v>
      </c>
      <c r="BE16" s="25">
        <v>9.5989152155295451E-3</v>
      </c>
      <c r="BF16" s="25">
        <v>9.920068512703396E-3</v>
      </c>
      <c r="BG16" s="25"/>
      <c r="BH16" s="25"/>
      <c r="BI16" s="25">
        <v>6.1688311688311692E-3</v>
      </c>
      <c r="BJ16" s="25"/>
      <c r="BK16" s="25">
        <v>4.1152514266204948E-2</v>
      </c>
      <c r="BL16" s="25">
        <v>8.078086133736527E-2</v>
      </c>
      <c r="BM16" s="25">
        <v>0.1092966439501093</v>
      </c>
      <c r="BN16" s="25">
        <v>0.15269384081265269</v>
      </c>
      <c r="BO16" s="25">
        <v>0.27324160987527324</v>
      </c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</row>
    <row r="17" spans="1:164" x14ac:dyDescent="0.2">
      <c r="A17" s="24" t="s">
        <v>667</v>
      </c>
      <c r="C17" s="25"/>
      <c r="D17" s="25">
        <v>0.82499999999999996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</row>
    <row r="18" spans="1:164" x14ac:dyDescent="0.2">
      <c r="A18" s="24" t="s">
        <v>577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>
        <v>1.9791666666666666E-2</v>
      </c>
      <c r="AC18" s="25">
        <v>2.4166666666666666E-2</v>
      </c>
      <c r="AD18" s="25">
        <v>2.7083333333333331E-2</v>
      </c>
      <c r="AE18" s="25">
        <v>1.7291666666666667E-2</v>
      </c>
      <c r="AF18" s="25">
        <v>2.5000000000000001E-2</v>
      </c>
      <c r="AG18" s="25">
        <v>1.9791666666666666E-2</v>
      </c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>
        <v>2.232142857142857E-3</v>
      </c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</row>
    <row r="19" spans="1:164" x14ac:dyDescent="0.2">
      <c r="A19" s="24" t="s">
        <v>436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>
        <v>1.4312408062656544E-2</v>
      </c>
      <c r="S19" s="25">
        <v>1.4312408062656544E-2</v>
      </c>
      <c r="T19" s="25">
        <v>0.05</v>
      </c>
      <c r="U19" s="25">
        <v>8.3489047032163158E-3</v>
      </c>
      <c r="V19" s="25">
        <v>7.9513378125869675E-3</v>
      </c>
      <c r="W19" s="25">
        <v>8.3489047032163158E-3</v>
      </c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</row>
    <row r="20" spans="1:164" x14ac:dyDescent="0.2">
      <c r="A20" s="24" t="s">
        <v>579</v>
      </c>
      <c r="C20" s="25"/>
      <c r="D20" s="25"/>
      <c r="E20" s="25"/>
      <c r="F20" s="25"/>
      <c r="G20" s="25"/>
      <c r="H20" s="25"/>
      <c r="I20" s="25"/>
      <c r="J20" s="25"/>
      <c r="K20" s="25">
        <v>0.23749999999999999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</row>
    <row r="21" spans="1:164" x14ac:dyDescent="0.2">
      <c r="A21" s="24" t="s">
        <v>425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v>2.4750000000000001</v>
      </c>
      <c r="O21" s="25">
        <v>1.5468750000000002</v>
      </c>
      <c r="P21" s="25">
        <v>1.7963709677419357</v>
      </c>
      <c r="Q21" s="25">
        <v>1.5768145161290323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</row>
    <row r="22" spans="1:164" x14ac:dyDescent="0.2">
      <c r="A22" s="24" t="s">
        <v>595</v>
      </c>
      <c r="C22" s="25"/>
      <c r="D22" s="25"/>
      <c r="E22" s="25"/>
      <c r="F22" s="25"/>
      <c r="G22" s="25"/>
      <c r="H22" s="25"/>
      <c r="I22" s="25"/>
      <c r="J22" s="25"/>
      <c r="K22" s="25">
        <v>0.15833333333333333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</row>
    <row r="23" spans="1:164" x14ac:dyDescent="0.2">
      <c r="A23" s="24" t="s">
        <v>596</v>
      </c>
      <c r="C23" s="25"/>
      <c r="D23" s="25"/>
      <c r="E23" s="25"/>
      <c r="F23" s="25"/>
      <c r="G23" s="25"/>
      <c r="H23" s="25"/>
      <c r="I23" s="25"/>
      <c r="J23" s="25"/>
      <c r="K23" s="25">
        <v>0.21666666666666667</v>
      </c>
      <c r="L23" s="25">
        <v>0.29166666666666669</v>
      </c>
      <c r="M23" s="25">
        <v>0.3833333333333333</v>
      </c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</row>
    <row r="24" spans="1:164" x14ac:dyDescent="0.2">
      <c r="A24" s="24" t="s">
        <v>597</v>
      </c>
      <c r="C24" s="25">
        <v>1.7</v>
      </c>
      <c r="D24" s="25"/>
      <c r="E24" s="25">
        <v>0.3</v>
      </c>
      <c r="F24" s="25">
        <v>0.65</v>
      </c>
      <c r="G24" s="25">
        <v>1.5</v>
      </c>
      <c r="H24" s="25">
        <v>2.25</v>
      </c>
      <c r="I24" s="25">
        <v>1.75</v>
      </c>
      <c r="J24" s="25">
        <v>0.5</v>
      </c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</row>
    <row r="25" spans="1:164" x14ac:dyDescent="0.2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</row>
    <row r="28" spans="1:164" ht="12" customHeight="1" x14ac:dyDescent="0.2"/>
    <row r="29" spans="1:164" ht="12" customHeight="1" x14ac:dyDescent="0.2"/>
    <row r="30" spans="1:164" ht="12" customHeight="1" x14ac:dyDescent="0.2"/>
    <row r="31" spans="1:164" ht="12" customHeight="1" x14ac:dyDescent="0.2"/>
    <row r="32" spans="1:164" ht="12" customHeight="1" x14ac:dyDescent="0.2"/>
    <row r="33" spans="4:4" ht="12" customHeight="1" x14ac:dyDescent="0.2"/>
    <row r="34" spans="4:4" ht="12" customHeight="1" x14ac:dyDescent="0.2"/>
    <row r="35" spans="4:4" ht="12" customHeight="1" x14ac:dyDescent="0.2"/>
    <row r="36" spans="4:4" ht="12" customHeight="1" x14ac:dyDescent="0.2"/>
    <row r="37" spans="4:4" ht="12" customHeight="1" x14ac:dyDescent="0.2"/>
    <row r="38" spans="4:4" ht="12" customHeight="1" x14ac:dyDescent="0.2"/>
    <row r="39" spans="4:4" ht="12" customHeight="1" x14ac:dyDescent="0.2"/>
    <row r="40" spans="4:4" ht="12" customHeight="1" x14ac:dyDescent="0.2"/>
    <row r="41" spans="4:4" ht="12" customHeight="1" x14ac:dyDescent="0.2"/>
    <row r="42" spans="4:4" ht="12" customHeight="1" x14ac:dyDescent="0.2"/>
    <row r="43" spans="4:4" ht="12" customHeight="1" x14ac:dyDescent="0.2"/>
    <row r="44" spans="4:4" ht="12" customHeight="1" x14ac:dyDescent="0.2"/>
    <row r="45" spans="4:4" ht="12" customHeight="1" x14ac:dyDescent="0.3">
      <c r="D45" s="38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R38"/>
  <sheetViews>
    <sheetView zoomScale="79" zoomScaleNormal="79" zoomScaleSheetLayoutView="110" workbookViewId="0">
      <pane xSplit="2" ySplit="8" topLeftCell="J9" activePane="bottomRight" state="frozenSplit"/>
      <selection activeCell="C34" sqref="C34"/>
      <selection pane="topRight" activeCell="C34" sqref="C34"/>
      <selection pane="bottomLeft" activeCell="C34" sqref="C34"/>
      <selection pane="bottomRight" activeCell="N27" sqref="N27"/>
    </sheetView>
  </sheetViews>
  <sheetFormatPr defaultColWidth="9.6640625" defaultRowHeight="12" x14ac:dyDescent="0.2"/>
  <cols>
    <col min="1" max="1" width="8.5546875" style="10" customWidth="1"/>
    <col min="2" max="2" width="13.88671875" style="9" customWidth="1"/>
    <col min="3" max="50" width="15.109375" style="9" customWidth="1"/>
    <col min="51" max="63" width="9.6640625" style="9"/>
    <col min="64" max="64" width="11.6640625" style="9" bestFit="1" customWidth="1"/>
    <col min="65" max="65" width="11.109375" style="9" bestFit="1" customWidth="1"/>
    <col min="66" max="198" width="9.6640625" style="9"/>
    <col min="199" max="199" width="6.44140625" style="9" customWidth="1"/>
    <col min="200" max="200" width="13.88671875" style="9" customWidth="1"/>
    <col min="201" max="201" width="11.88671875" style="9" customWidth="1"/>
    <col min="202" max="204" width="9.6640625" style="9"/>
    <col min="205" max="205" width="15.44140625" style="9" customWidth="1"/>
    <col min="206" max="206" width="16.21875" style="9" customWidth="1"/>
    <col min="207" max="218" width="9.6640625" style="9"/>
    <col min="219" max="219" width="12" style="9" customWidth="1"/>
    <col min="220" max="220" width="12.77734375" style="9" customWidth="1"/>
    <col min="221" max="221" width="11.109375" style="9" customWidth="1"/>
    <col min="222" max="222" width="12" style="9" customWidth="1"/>
    <col min="223" max="223" width="9.6640625" style="9"/>
    <col min="224" max="224" width="15.33203125" style="9" customWidth="1"/>
    <col min="225" max="225" width="15.21875" style="9" customWidth="1"/>
    <col min="226" max="226" width="21.44140625" style="9" customWidth="1"/>
    <col min="227" max="242" width="9.6640625" style="9"/>
    <col min="243" max="244" width="13.44140625" style="9" customWidth="1"/>
    <col min="245" max="245" width="9.6640625" style="9"/>
    <col min="246" max="246" width="13.88671875" style="9" customWidth="1"/>
    <col min="247" max="247" width="10.6640625" style="9" customWidth="1"/>
    <col min="248" max="248" width="17.33203125" style="9" customWidth="1"/>
    <col min="249" max="250" width="12.6640625" style="9" customWidth="1"/>
    <col min="251" max="251" width="11.21875" style="9" customWidth="1"/>
    <col min="252" max="252" width="18.33203125" style="9" customWidth="1"/>
    <col min="253" max="253" width="12.88671875" style="9" customWidth="1"/>
    <col min="254" max="255" width="13.21875" style="9" customWidth="1"/>
    <col min="256" max="256" width="10.88671875" style="9" customWidth="1"/>
    <col min="257" max="257" width="11.109375" style="9" customWidth="1"/>
    <col min="258" max="258" width="15.21875" style="9" customWidth="1"/>
    <col min="259" max="259" width="9.6640625" style="9"/>
    <col min="260" max="260" width="11" style="9" customWidth="1"/>
    <col min="261" max="261" width="10.77734375" style="9" customWidth="1"/>
    <col min="262" max="262" width="11.44140625" style="9" customWidth="1"/>
    <col min="263" max="263" width="4" style="9" customWidth="1"/>
    <col min="264" max="454" width="9.6640625" style="9"/>
    <col min="455" max="455" width="6.44140625" style="9" customWidth="1"/>
    <col min="456" max="456" width="13.88671875" style="9" customWidth="1"/>
    <col min="457" max="457" width="11.88671875" style="9" customWidth="1"/>
    <col min="458" max="460" width="9.6640625" style="9"/>
    <col min="461" max="461" width="15.44140625" style="9" customWidth="1"/>
    <col min="462" max="462" width="16.21875" style="9" customWidth="1"/>
    <col min="463" max="474" width="9.6640625" style="9"/>
    <col min="475" max="475" width="12" style="9" customWidth="1"/>
    <col min="476" max="476" width="12.77734375" style="9" customWidth="1"/>
    <col min="477" max="477" width="11.109375" style="9" customWidth="1"/>
    <col min="478" max="478" width="12" style="9" customWidth="1"/>
    <col min="479" max="479" width="9.6640625" style="9"/>
    <col min="480" max="480" width="15.33203125" style="9" customWidth="1"/>
    <col min="481" max="481" width="15.21875" style="9" customWidth="1"/>
    <col min="482" max="482" width="21.44140625" style="9" customWidth="1"/>
    <col min="483" max="498" width="9.6640625" style="9"/>
    <col min="499" max="500" width="13.44140625" style="9" customWidth="1"/>
    <col min="501" max="501" width="9.6640625" style="9"/>
    <col min="502" max="502" width="13.88671875" style="9" customWidth="1"/>
    <col min="503" max="503" width="10.6640625" style="9" customWidth="1"/>
    <col min="504" max="504" width="17.33203125" style="9" customWidth="1"/>
    <col min="505" max="506" width="12.6640625" style="9" customWidth="1"/>
    <col min="507" max="507" width="11.21875" style="9" customWidth="1"/>
    <col min="508" max="508" width="18.33203125" style="9" customWidth="1"/>
    <col min="509" max="509" width="12.88671875" style="9" customWidth="1"/>
    <col min="510" max="511" width="13.21875" style="9" customWidth="1"/>
    <col min="512" max="512" width="10.88671875" style="9" customWidth="1"/>
    <col min="513" max="513" width="11.109375" style="9" customWidth="1"/>
    <col min="514" max="514" width="15.21875" style="9" customWidth="1"/>
    <col min="515" max="515" width="9.6640625" style="9"/>
    <col min="516" max="516" width="11" style="9" customWidth="1"/>
    <col min="517" max="517" width="10.77734375" style="9" customWidth="1"/>
    <col min="518" max="518" width="11.44140625" style="9" customWidth="1"/>
    <col min="519" max="519" width="4" style="9" customWidth="1"/>
    <col min="520" max="710" width="9.6640625" style="9"/>
    <col min="711" max="711" width="6.44140625" style="9" customWidth="1"/>
    <col min="712" max="712" width="13.88671875" style="9" customWidth="1"/>
    <col min="713" max="713" width="11.88671875" style="9" customWidth="1"/>
    <col min="714" max="716" width="9.6640625" style="9"/>
    <col min="717" max="717" width="15.44140625" style="9" customWidth="1"/>
    <col min="718" max="718" width="16.21875" style="9" customWidth="1"/>
    <col min="719" max="730" width="9.6640625" style="9"/>
    <col min="731" max="731" width="12" style="9" customWidth="1"/>
    <col min="732" max="732" width="12.77734375" style="9" customWidth="1"/>
    <col min="733" max="733" width="11.109375" style="9" customWidth="1"/>
    <col min="734" max="734" width="12" style="9" customWidth="1"/>
    <col min="735" max="735" width="9.6640625" style="9"/>
    <col min="736" max="736" width="15.33203125" style="9" customWidth="1"/>
    <col min="737" max="737" width="15.21875" style="9" customWidth="1"/>
    <col min="738" max="738" width="21.44140625" style="9" customWidth="1"/>
    <col min="739" max="754" width="9.6640625" style="9"/>
    <col min="755" max="756" width="13.44140625" style="9" customWidth="1"/>
    <col min="757" max="757" width="9.6640625" style="9"/>
    <col min="758" max="758" width="13.88671875" style="9" customWidth="1"/>
    <col min="759" max="759" width="10.6640625" style="9" customWidth="1"/>
    <col min="760" max="760" width="17.33203125" style="9" customWidth="1"/>
    <col min="761" max="762" width="12.6640625" style="9" customWidth="1"/>
    <col min="763" max="763" width="11.21875" style="9" customWidth="1"/>
    <col min="764" max="764" width="18.33203125" style="9" customWidth="1"/>
    <col min="765" max="765" width="12.88671875" style="9" customWidth="1"/>
    <col min="766" max="767" width="13.21875" style="9" customWidth="1"/>
    <col min="768" max="768" width="10.88671875" style="9" customWidth="1"/>
    <col min="769" max="769" width="11.109375" style="9" customWidth="1"/>
    <col min="770" max="770" width="15.21875" style="9" customWidth="1"/>
    <col min="771" max="771" width="9.6640625" style="9"/>
    <col min="772" max="772" width="11" style="9" customWidth="1"/>
    <col min="773" max="773" width="10.77734375" style="9" customWidth="1"/>
    <col min="774" max="774" width="11.44140625" style="9" customWidth="1"/>
    <col min="775" max="775" width="4" style="9" customWidth="1"/>
    <col min="776" max="966" width="9.6640625" style="9"/>
    <col min="967" max="967" width="6.44140625" style="9" customWidth="1"/>
    <col min="968" max="968" width="13.88671875" style="9" customWidth="1"/>
    <col min="969" max="969" width="11.88671875" style="9" customWidth="1"/>
    <col min="970" max="972" width="9.6640625" style="9"/>
    <col min="973" max="973" width="15.44140625" style="9" customWidth="1"/>
    <col min="974" max="974" width="16.21875" style="9" customWidth="1"/>
    <col min="975" max="986" width="9.6640625" style="9"/>
    <col min="987" max="987" width="12" style="9" customWidth="1"/>
    <col min="988" max="988" width="12.77734375" style="9" customWidth="1"/>
    <col min="989" max="989" width="11.109375" style="9" customWidth="1"/>
    <col min="990" max="990" width="12" style="9" customWidth="1"/>
    <col min="991" max="991" width="9.6640625" style="9"/>
    <col min="992" max="992" width="15.33203125" style="9" customWidth="1"/>
    <col min="993" max="993" width="15.21875" style="9" customWidth="1"/>
    <col min="994" max="994" width="21.44140625" style="9" customWidth="1"/>
    <col min="995" max="1010" width="9.6640625" style="9"/>
    <col min="1011" max="1012" width="13.44140625" style="9" customWidth="1"/>
    <col min="1013" max="1013" width="9.6640625" style="9"/>
    <col min="1014" max="1014" width="13.88671875" style="9" customWidth="1"/>
    <col min="1015" max="1015" width="10.6640625" style="9" customWidth="1"/>
    <col min="1016" max="1016" width="17.33203125" style="9" customWidth="1"/>
    <col min="1017" max="1018" width="12.6640625" style="9" customWidth="1"/>
    <col min="1019" max="1019" width="11.21875" style="9" customWidth="1"/>
    <col min="1020" max="1020" width="18.33203125" style="9" customWidth="1"/>
    <col min="1021" max="1021" width="12.88671875" style="9" customWidth="1"/>
    <col min="1022" max="1023" width="13.21875" style="9" customWidth="1"/>
    <col min="1024" max="1024" width="10.88671875" style="9" customWidth="1"/>
    <col min="1025" max="1025" width="11.109375" style="9" customWidth="1"/>
    <col min="1026" max="1026" width="15.21875" style="9" customWidth="1"/>
    <col min="1027" max="1027" width="9.6640625" style="9"/>
    <col min="1028" max="1028" width="11" style="9" customWidth="1"/>
    <col min="1029" max="1029" width="10.77734375" style="9" customWidth="1"/>
    <col min="1030" max="1030" width="11.44140625" style="9" customWidth="1"/>
    <col min="1031" max="1031" width="4" style="9" customWidth="1"/>
    <col min="1032" max="1222" width="9.6640625" style="9"/>
    <col min="1223" max="1223" width="6.44140625" style="9" customWidth="1"/>
    <col min="1224" max="1224" width="13.88671875" style="9" customWidth="1"/>
    <col min="1225" max="1225" width="11.88671875" style="9" customWidth="1"/>
    <col min="1226" max="1228" width="9.6640625" style="9"/>
    <col min="1229" max="1229" width="15.44140625" style="9" customWidth="1"/>
    <col min="1230" max="1230" width="16.21875" style="9" customWidth="1"/>
    <col min="1231" max="1242" width="9.6640625" style="9"/>
    <col min="1243" max="1243" width="12" style="9" customWidth="1"/>
    <col min="1244" max="1244" width="12.77734375" style="9" customWidth="1"/>
    <col min="1245" max="1245" width="11.109375" style="9" customWidth="1"/>
    <col min="1246" max="1246" width="12" style="9" customWidth="1"/>
    <col min="1247" max="1247" width="9.6640625" style="9"/>
    <col min="1248" max="1248" width="15.33203125" style="9" customWidth="1"/>
    <col min="1249" max="1249" width="15.21875" style="9" customWidth="1"/>
    <col min="1250" max="1250" width="21.44140625" style="9" customWidth="1"/>
    <col min="1251" max="1266" width="9.6640625" style="9"/>
    <col min="1267" max="1268" width="13.44140625" style="9" customWidth="1"/>
    <col min="1269" max="1269" width="9.6640625" style="9"/>
    <col min="1270" max="1270" width="13.88671875" style="9" customWidth="1"/>
    <col min="1271" max="1271" width="10.6640625" style="9" customWidth="1"/>
    <col min="1272" max="1272" width="17.33203125" style="9" customWidth="1"/>
    <col min="1273" max="1274" width="12.6640625" style="9" customWidth="1"/>
    <col min="1275" max="1275" width="11.21875" style="9" customWidth="1"/>
    <col min="1276" max="1276" width="18.33203125" style="9" customWidth="1"/>
    <col min="1277" max="1277" width="12.88671875" style="9" customWidth="1"/>
    <col min="1278" max="1279" width="13.21875" style="9" customWidth="1"/>
    <col min="1280" max="1280" width="10.88671875" style="9" customWidth="1"/>
    <col min="1281" max="1281" width="11.109375" style="9" customWidth="1"/>
    <col min="1282" max="1282" width="15.21875" style="9" customWidth="1"/>
    <col min="1283" max="1283" width="9.6640625" style="9"/>
    <col min="1284" max="1284" width="11" style="9" customWidth="1"/>
    <col min="1285" max="1285" width="10.77734375" style="9" customWidth="1"/>
    <col min="1286" max="1286" width="11.44140625" style="9" customWidth="1"/>
    <col min="1287" max="1287" width="4" style="9" customWidth="1"/>
    <col min="1288" max="1478" width="9.6640625" style="9"/>
    <col min="1479" max="1479" width="6.44140625" style="9" customWidth="1"/>
    <col min="1480" max="1480" width="13.88671875" style="9" customWidth="1"/>
    <col min="1481" max="1481" width="11.88671875" style="9" customWidth="1"/>
    <col min="1482" max="1484" width="9.6640625" style="9"/>
    <col min="1485" max="1485" width="15.44140625" style="9" customWidth="1"/>
    <col min="1486" max="1486" width="16.21875" style="9" customWidth="1"/>
    <col min="1487" max="1498" width="9.6640625" style="9"/>
    <col min="1499" max="1499" width="12" style="9" customWidth="1"/>
    <col min="1500" max="1500" width="12.77734375" style="9" customWidth="1"/>
    <col min="1501" max="1501" width="11.109375" style="9" customWidth="1"/>
    <col min="1502" max="1502" width="12" style="9" customWidth="1"/>
    <col min="1503" max="1503" width="9.6640625" style="9"/>
    <col min="1504" max="1504" width="15.33203125" style="9" customWidth="1"/>
    <col min="1505" max="1505" width="15.21875" style="9" customWidth="1"/>
    <col min="1506" max="1506" width="21.44140625" style="9" customWidth="1"/>
    <col min="1507" max="1522" width="9.6640625" style="9"/>
    <col min="1523" max="1524" width="13.44140625" style="9" customWidth="1"/>
    <col min="1525" max="1525" width="9.6640625" style="9"/>
    <col min="1526" max="1526" width="13.88671875" style="9" customWidth="1"/>
    <col min="1527" max="1527" width="10.6640625" style="9" customWidth="1"/>
    <col min="1528" max="1528" width="17.33203125" style="9" customWidth="1"/>
    <col min="1529" max="1530" width="12.6640625" style="9" customWidth="1"/>
    <col min="1531" max="1531" width="11.21875" style="9" customWidth="1"/>
    <col min="1532" max="1532" width="18.33203125" style="9" customWidth="1"/>
    <col min="1533" max="1533" width="12.88671875" style="9" customWidth="1"/>
    <col min="1534" max="1535" width="13.21875" style="9" customWidth="1"/>
    <col min="1536" max="1536" width="10.88671875" style="9" customWidth="1"/>
    <col min="1537" max="1537" width="11.109375" style="9" customWidth="1"/>
    <col min="1538" max="1538" width="15.21875" style="9" customWidth="1"/>
    <col min="1539" max="1539" width="9.6640625" style="9"/>
    <col min="1540" max="1540" width="11" style="9" customWidth="1"/>
    <col min="1541" max="1541" width="10.77734375" style="9" customWidth="1"/>
    <col min="1542" max="1542" width="11.44140625" style="9" customWidth="1"/>
    <col min="1543" max="1543" width="4" style="9" customWidth="1"/>
    <col min="1544" max="1734" width="9.6640625" style="9"/>
    <col min="1735" max="1735" width="6.44140625" style="9" customWidth="1"/>
    <col min="1736" max="1736" width="13.88671875" style="9" customWidth="1"/>
    <col min="1737" max="1737" width="11.88671875" style="9" customWidth="1"/>
    <col min="1738" max="1740" width="9.6640625" style="9"/>
    <col min="1741" max="1741" width="15.44140625" style="9" customWidth="1"/>
    <col min="1742" max="1742" width="16.21875" style="9" customWidth="1"/>
    <col min="1743" max="1754" width="9.6640625" style="9"/>
    <col min="1755" max="1755" width="12" style="9" customWidth="1"/>
    <col min="1756" max="1756" width="12.77734375" style="9" customWidth="1"/>
    <col min="1757" max="1757" width="11.109375" style="9" customWidth="1"/>
    <col min="1758" max="1758" width="12" style="9" customWidth="1"/>
    <col min="1759" max="1759" width="9.6640625" style="9"/>
    <col min="1760" max="1760" width="15.33203125" style="9" customWidth="1"/>
    <col min="1761" max="1761" width="15.21875" style="9" customWidth="1"/>
    <col min="1762" max="1762" width="21.44140625" style="9" customWidth="1"/>
    <col min="1763" max="1778" width="9.6640625" style="9"/>
    <col min="1779" max="1780" width="13.44140625" style="9" customWidth="1"/>
    <col min="1781" max="1781" width="9.6640625" style="9"/>
    <col min="1782" max="1782" width="13.88671875" style="9" customWidth="1"/>
    <col min="1783" max="1783" width="10.6640625" style="9" customWidth="1"/>
    <col min="1784" max="1784" width="17.33203125" style="9" customWidth="1"/>
    <col min="1785" max="1786" width="12.6640625" style="9" customWidth="1"/>
    <col min="1787" max="1787" width="11.21875" style="9" customWidth="1"/>
    <col min="1788" max="1788" width="18.33203125" style="9" customWidth="1"/>
    <col min="1789" max="1789" width="12.88671875" style="9" customWidth="1"/>
    <col min="1790" max="1791" width="13.21875" style="9" customWidth="1"/>
    <col min="1792" max="1792" width="10.88671875" style="9" customWidth="1"/>
    <col min="1793" max="1793" width="11.109375" style="9" customWidth="1"/>
    <col min="1794" max="1794" width="15.21875" style="9" customWidth="1"/>
    <col min="1795" max="1795" width="9.6640625" style="9"/>
    <col min="1796" max="1796" width="11" style="9" customWidth="1"/>
    <col min="1797" max="1797" width="10.77734375" style="9" customWidth="1"/>
    <col min="1798" max="1798" width="11.44140625" style="9" customWidth="1"/>
    <col min="1799" max="1799" width="4" style="9" customWidth="1"/>
    <col min="1800" max="1990" width="9.6640625" style="9"/>
    <col min="1991" max="1991" width="6.44140625" style="9" customWidth="1"/>
    <col min="1992" max="1992" width="13.88671875" style="9" customWidth="1"/>
    <col min="1993" max="1993" width="11.88671875" style="9" customWidth="1"/>
    <col min="1994" max="1996" width="9.6640625" style="9"/>
    <col min="1997" max="1997" width="15.44140625" style="9" customWidth="1"/>
    <col min="1998" max="1998" width="16.21875" style="9" customWidth="1"/>
    <col min="1999" max="2010" width="9.6640625" style="9"/>
    <col min="2011" max="2011" width="12" style="9" customWidth="1"/>
    <col min="2012" max="2012" width="12.77734375" style="9" customWidth="1"/>
    <col min="2013" max="2013" width="11.109375" style="9" customWidth="1"/>
    <col min="2014" max="2014" width="12" style="9" customWidth="1"/>
    <col min="2015" max="2015" width="9.6640625" style="9"/>
    <col min="2016" max="2016" width="15.33203125" style="9" customWidth="1"/>
    <col min="2017" max="2017" width="15.21875" style="9" customWidth="1"/>
    <col min="2018" max="2018" width="21.44140625" style="9" customWidth="1"/>
    <col min="2019" max="2034" width="9.6640625" style="9"/>
    <col min="2035" max="2036" width="13.44140625" style="9" customWidth="1"/>
    <col min="2037" max="2037" width="9.6640625" style="9"/>
    <col min="2038" max="2038" width="13.88671875" style="9" customWidth="1"/>
    <col min="2039" max="2039" width="10.6640625" style="9" customWidth="1"/>
    <col min="2040" max="2040" width="17.33203125" style="9" customWidth="1"/>
    <col min="2041" max="2042" width="12.6640625" style="9" customWidth="1"/>
    <col min="2043" max="2043" width="11.21875" style="9" customWidth="1"/>
    <col min="2044" max="2044" width="18.33203125" style="9" customWidth="1"/>
    <col min="2045" max="2045" width="12.88671875" style="9" customWidth="1"/>
    <col min="2046" max="2047" width="13.21875" style="9" customWidth="1"/>
    <col min="2048" max="2048" width="10.88671875" style="9" customWidth="1"/>
    <col min="2049" max="2049" width="11.109375" style="9" customWidth="1"/>
    <col min="2050" max="2050" width="15.21875" style="9" customWidth="1"/>
    <col min="2051" max="2051" width="9.6640625" style="9"/>
    <col min="2052" max="2052" width="11" style="9" customWidth="1"/>
    <col min="2053" max="2053" width="10.77734375" style="9" customWidth="1"/>
    <col min="2054" max="2054" width="11.44140625" style="9" customWidth="1"/>
    <col min="2055" max="2055" width="4" style="9" customWidth="1"/>
    <col min="2056" max="2246" width="9.6640625" style="9"/>
    <col min="2247" max="2247" width="6.44140625" style="9" customWidth="1"/>
    <col min="2248" max="2248" width="13.88671875" style="9" customWidth="1"/>
    <col min="2249" max="2249" width="11.88671875" style="9" customWidth="1"/>
    <col min="2250" max="2252" width="9.6640625" style="9"/>
    <col min="2253" max="2253" width="15.44140625" style="9" customWidth="1"/>
    <col min="2254" max="2254" width="16.21875" style="9" customWidth="1"/>
    <col min="2255" max="2266" width="9.6640625" style="9"/>
    <col min="2267" max="2267" width="12" style="9" customWidth="1"/>
    <col min="2268" max="2268" width="12.77734375" style="9" customWidth="1"/>
    <col min="2269" max="2269" width="11.109375" style="9" customWidth="1"/>
    <col min="2270" max="2270" width="12" style="9" customWidth="1"/>
    <col min="2271" max="2271" width="9.6640625" style="9"/>
    <col min="2272" max="2272" width="15.33203125" style="9" customWidth="1"/>
    <col min="2273" max="2273" width="15.21875" style="9" customWidth="1"/>
    <col min="2274" max="2274" width="21.44140625" style="9" customWidth="1"/>
    <col min="2275" max="2290" width="9.6640625" style="9"/>
    <col min="2291" max="2292" width="13.44140625" style="9" customWidth="1"/>
    <col min="2293" max="2293" width="9.6640625" style="9"/>
    <col min="2294" max="2294" width="13.88671875" style="9" customWidth="1"/>
    <col min="2295" max="2295" width="10.6640625" style="9" customWidth="1"/>
    <col min="2296" max="2296" width="17.33203125" style="9" customWidth="1"/>
    <col min="2297" max="2298" width="12.6640625" style="9" customWidth="1"/>
    <col min="2299" max="2299" width="11.21875" style="9" customWidth="1"/>
    <col min="2300" max="2300" width="18.33203125" style="9" customWidth="1"/>
    <col min="2301" max="2301" width="12.88671875" style="9" customWidth="1"/>
    <col min="2302" max="2303" width="13.21875" style="9" customWidth="1"/>
    <col min="2304" max="2304" width="10.88671875" style="9" customWidth="1"/>
    <col min="2305" max="2305" width="11.109375" style="9" customWidth="1"/>
    <col min="2306" max="2306" width="15.21875" style="9" customWidth="1"/>
    <col min="2307" max="2307" width="9.6640625" style="9"/>
    <col min="2308" max="2308" width="11" style="9" customWidth="1"/>
    <col min="2309" max="2309" width="10.77734375" style="9" customWidth="1"/>
    <col min="2310" max="2310" width="11.44140625" style="9" customWidth="1"/>
    <col min="2311" max="2311" width="4" style="9" customWidth="1"/>
    <col min="2312" max="2502" width="9.6640625" style="9"/>
    <col min="2503" max="2503" width="6.44140625" style="9" customWidth="1"/>
    <col min="2504" max="2504" width="13.88671875" style="9" customWidth="1"/>
    <col min="2505" max="2505" width="11.88671875" style="9" customWidth="1"/>
    <col min="2506" max="2508" width="9.6640625" style="9"/>
    <col min="2509" max="2509" width="15.44140625" style="9" customWidth="1"/>
    <col min="2510" max="2510" width="16.21875" style="9" customWidth="1"/>
    <col min="2511" max="2522" width="9.6640625" style="9"/>
    <col min="2523" max="2523" width="12" style="9" customWidth="1"/>
    <col min="2524" max="2524" width="12.77734375" style="9" customWidth="1"/>
    <col min="2525" max="2525" width="11.109375" style="9" customWidth="1"/>
    <col min="2526" max="2526" width="12" style="9" customWidth="1"/>
    <col min="2527" max="2527" width="9.6640625" style="9"/>
    <col min="2528" max="2528" width="15.33203125" style="9" customWidth="1"/>
    <col min="2529" max="2529" width="15.21875" style="9" customWidth="1"/>
    <col min="2530" max="2530" width="21.44140625" style="9" customWidth="1"/>
    <col min="2531" max="2546" width="9.6640625" style="9"/>
    <col min="2547" max="2548" width="13.44140625" style="9" customWidth="1"/>
    <col min="2549" max="2549" width="9.6640625" style="9"/>
    <col min="2550" max="2550" width="13.88671875" style="9" customWidth="1"/>
    <col min="2551" max="2551" width="10.6640625" style="9" customWidth="1"/>
    <col min="2552" max="2552" width="17.33203125" style="9" customWidth="1"/>
    <col min="2553" max="2554" width="12.6640625" style="9" customWidth="1"/>
    <col min="2555" max="2555" width="11.21875" style="9" customWidth="1"/>
    <col min="2556" max="2556" width="18.33203125" style="9" customWidth="1"/>
    <col min="2557" max="2557" width="12.88671875" style="9" customWidth="1"/>
    <col min="2558" max="2559" width="13.21875" style="9" customWidth="1"/>
    <col min="2560" max="2560" width="10.88671875" style="9" customWidth="1"/>
    <col min="2561" max="2561" width="11.109375" style="9" customWidth="1"/>
    <col min="2562" max="2562" width="15.21875" style="9" customWidth="1"/>
    <col min="2563" max="2563" width="9.6640625" style="9"/>
    <col min="2564" max="2564" width="11" style="9" customWidth="1"/>
    <col min="2565" max="2565" width="10.77734375" style="9" customWidth="1"/>
    <col min="2566" max="2566" width="11.44140625" style="9" customWidth="1"/>
    <col min="2567" max="2567" width="4" style="9" customWidth="1"/>
    <col min="2568" max="2758" width="9.6640625" style="9"/>
    <col min="2759" max="2759" width="6.44140625" style="9" customWidth="1"/>
    <col min="2760" max="2760" width="13.88671875" style="9" customWidth="1"/>
    <col min="2761" max="2761" width="11.88671875" style="9" customWidth="1"/>
    <col min="2762" max="2764" width="9.6640625" style="9"/>
    <col min="2765" max="2765" width="15.44140625" style="9" customWidth="1"/>
    <col min="2766" max="2766" width="16.21875" style="9" customWidth="1"/>
    <col min="2767" max="2778" width="9.6640625" style="9"/>
    <col min="2779" max="2779" width="12" style="9" customWidth="1"/>
    <col min="2780" max="2780" width="12.77734375" style="9" customWidth="1"/>
    <col min="2781" max="2781" width="11.109375" style="9" customWidth="1"/>
    <col min="2782" max="2782" width="12" style="9" customWidth="1"/>
    <col min="2783" max="2783" width="9.6640625" style="9"/>
    <col min="2784" max="2784" width="15.33203125" style="9" customWidth="1"/>
    <col min="2785" max="2785" width="15.21875" style="9" customWidth="1"/>
    <col min="2786" max="2786" width="21.44140625" style="9" customWidth="1"/>
    <col min="2787" max="2802" width="9.6640625" style="9"/>
    <col min="2803" max="2804" width="13.44140625" style="9" customWidth="1"/>
    <col min="2805" max="2805" width="9.6640625" style="9"/>
    <col min="2806" max="2806" width="13.88671875" style="9" customWidth="1"/>
    <col min="2807" max="2807" width="10.6640625" style="9" customWidth="1"/>
    <col min="2808" max="2808" width="17.33203125" style="9" customWidth="1"/>
    <col min="2809" max="2810" width="12.6640625" style="9" customWidth="1"/>
    <col min="2811" max="2811" width="11.21875" style="9" customWidth="1"/>
    <col min="2812" max="2812" width="18.33203125" style="9" customWidth="1"/>
    <col min="2813" max="2813" width="12.88671875" style="9" customWidth="1"/>
    <col min="2814" max="2815" width="13.21875" style="9" customWidth="1"/>
    <col min="2816" max="2816" width="10.88671875" style="9" customWidth="1"/>
    <col min="2817" max="2817" width="11.109375" style="9" customWidth="1"/>
    <col min="2818" max="2818" width="15.21875" style="9" customWidth="1"/>
    <col min="2819" max="2819" width="9.6640625" style="9"/>
    <col min="2820" max="2820" width="11" style="9" customWidth="1"/>
    <col min="2821" max="2821" width="10.77734375" style="9" customWidth="1"/>
    <col min="2822" max="2822" width="11.44140625" style="9" customWidth="1"/>
    <col min="2823" max="2823" width="4" style="9" customWidth="1"/>
    <col min="2824" max="3014" width="9.6640625" style="9"/>
    <col min="3015" max="3015" width="6.44140625" style="9" customWidth="1"/>
    <col min="3016" max="3016" width="13.88671875" style="9" customWidth="1"/>
    <col min="3017" max="3017" width="11.88671875" style="9" customWidth="1"/>
    <col min="3018" max="3020" width="9.6640625" style="9"/>
    <col min="3021" max="3021" width="15.44140625" style="9" customWidth="1"/>
    <col min="3022" max="3022" width="16.21875" style="9" customWidth="1"/>
    <col min="3023" max="3034" width="9.6640625" style="9"/>
    <col min="3035" max="3035" width="12" style="9" customWidth="1"/>
    <col min="3036" max="3036" width="12.77734375" style="9" customWidth="1"/>
    <col min="3037" max="3037" width="11.109375" style="9" customWidth="1"/>
    <col min="3038" max="3038" width="12" style="9" customWidth="1"/>
    <col min="3039" max="3039" width="9.6640625" style="9"/>
    <col min="3040" max="3040" width="15.33203125" style="9" customWidth="1"/>
    <col min="3041" max="3041" width="15.21875" style="9" customWidth="1"/>
    <col min="3042" max="3042" width="21.44140625" style="9" customWidth="1"/>
    <col min="3043" max="3058" width="9.6640625" style="9"/>
    <col min="3059" max="3060" width="13.44140625" style="9" customWidth="1"/>
    <col min="3061" max="3061" width="9.6640625" style="9"/>
    <col min="3062" max="3062" width="13.88671875" style="9" customWidth="1"/>
    <col min="3063" max="3063" width="10.6640625" style="9" customWidth="1"/>
    <col min="3064" max="3064" width="17.33203125" style="9" customWidth="1"/>
    <col min="3065" max="3066" width="12.6640625" style="9" customWidth="1"/>
    <col min="3067" max="3067" width="11.21875" style="9" customWidth="1"/>
    <col min="3068" max="3068" width="18.33203125" style="9" customWidth="1"/>
    <col min="3069" max="3069" width="12.88671875" style="9" customWidth="1"/>
    <col min="3070" max="3071" width="13.21875" style="9" customWidth="1"/>
    <col min="3072" max="3072" width="10.88671875" style="9" customWidth="1"/>
    <col min="3073" max="3073" width="11.109375" style="9" customWidth="1"/>
    <col min="3074" max="3074" width="15.21875" style="9" customWidth="1"/>
    <col min="3075" max="3075" width="9.6640625" style="9"/>
    <col min="3076" max="3076" width="11" style="9" customWidth="1"/>
    <col min="3077" max="3077" width="10.77734375" style="9" customWidth="1"/>
    <col min="3078" max="3078" width="11.44140625" style="9" customWidth="1"/>
    <col min="3079" max="3079" width="4" style="9" customWidth="1"/>
    <col min="3080" max="3270" width="9.6640625" style="9"/>
    <col min="3271" max="3271" width="6.44140625" style="9" customWidth="1"/>
    <col min="3272" max="3272" width="13.88671875" style="9" customWidth="1"/>
    <col min="3273" max="3273" width="11.88671875" style="9" customWidth="1"/>
    <col min="3274" max="3276" width="9.6640625" style="9"/>
    <col min="3277" max="3277" width="15.44140625" style="9" customWidth="1"/>
    <col min="3278" max="3278" width="16.21875" style="9" customWidth="1"/>
    <col min="3279" max="3290" width="9.6640625" style="9"/>
    <col min="3291" max="3291" width="12" style="9" customWidth="1"/>
    <col min="3292" max="3292" width="12.77734375" style="9" customWidth="1"/>
    <col min="3293" max="3293" width="11.109375" style="9" customWidth="1"/>
    <col min="3294" max="3294" width="12" style="9" customWidth="1"/>
    <col min="3295" max="3295" width="9.6640625" style="9"/>
    <col min="3296" max="3296" width="15.33203125" style="9" customWidth="1"/>
    <col min="3297" max="3297" width="15.21875" style="9" customWidth="1"/>
    <col min="3298" max="3298" width="21.44140625" style="9" customWidth="1"/>
    <col min="3299" max="3314" width="9.6640625" style="9"/>
    <col min="3315" max="3316" width="13.44140625" style="9" customWidth="1"/>
    <col min="3317" max="3317" width="9.6640625" style="9"/>
    <col min="3318" max="3318" width="13.88671875" style="9" customWidth="1"/>
    <col min="3319" max="3319" width="10.6640625" style="9" customWidth="1"/>
    <col min="3320" max="3320" width="17.33203125" style="9" customWidth="1"/>
    <col min="3321" max="3322" width="12.6640625" style="9" customWidth="1"/>
    <col min="3323" max="3323" width="11.21875" style="9" customWidth="1"/>
    <col min="3324" max="3324" width="18.33203125" style="9" customWidth="1"/>
    <col min="3325" max="3325" width="12.88671875" style="9" customWidth="1"/>
    <col min="3326" max="3327" width="13.21875" style="9" customWidth="1"/>
    <col min="3328" max="3328" width="10.88671875" style="9" customWidth="1"/>
    <col min="3329" max="3329" width="11.109375" style="9" customWidth="1"/>
    <col min="3330" max="3330" width="15.21875" style="9" customWidth="1"/>
    <col min="3331" max="3331" width="9.6640625" style="9"/>
    <col min="3332" max="3332" width="11" style="9" customWidth="1"/>
    <col min="3333" max="3333" width="10.77734375" style="9" customWidth="1"/>
    <col min="3334" max="3334" width="11.44140625" style="9" customWidth="1"/>
    <col min="3335" max="3335" width="4" style="9" customWidth="1"/>
    <col min="3336" max="3526" width="9.6640625" style="9"/>
    <col min="3527" max="3527" width="6.44140625" style="9" customWidth="1"/>
    <col min="3528" max="3528" width="13.88671875" style="9" customWidth="1"/>
    <col min="3529" max="3529" width="11.88671875" style="9" customWidth="1"/>
    <col min="3530" max="3532" width="9.6640625" style="9"/>
    <col min="3533" max="3533" width="15.44140625" style="9" customWidth="1"/>
    <col min="3534" max="3534" width="16.21875" style="9" customWidth="1"/>
    <col min="3535" max="3546" width="9.6640625" style="9"/>
    <col min="3547" max="3547" width="12" style="9" customWidth="1"/>
    <col min="3548" max="3548" width="12.77734375" style="9" customWidth="1"/>
    <col min="3549" max="3549" width="11.109375" style="9" customWidth="1"/>
    <col min="3550" max="3550" width="12" style="9" customWidth="1"/>
    <col min="3551" max="3551" width="9.6640625" style="9"/>
    <col min="3552" max="3552" width="15.33203125" style="9" customWidth="1"/>
    <col min="3553" max="3553" width="15.21875" style="9" customWidth="1"/>
    <col min="3554" max="3554" width="21.44140625" style="9" customWidth="1"/>
    <col min="3555" max="3570" width="9.6640625" style="9"/>
    <col min="3571" max="3572" width="13.44140625" style="9" customWidth="1"/>
    <col min="3573" max="3573" width="9.6640625" style="9"/>
    <col min="3574" max="3574" width="13.88671875" style="9" customWidth="1"/>
    <col min="3575" max="3575" width="10.6640625" style="9" customWidth="1"/>
    <col min="3576" max="3576" width="17.33203125" style="9" customWidth="1"/>
    <col min="3577" max="3578" width="12.6640625" style="9" customWidth="1"/>
    <col min="3579" max="3579" width="11.21875" style="9" customWidth="1"/>
    <col min="3580" max="3580" width="18.33203125" style="9" customWidth="1"/>
    <col min="3581" max="3581" width="12.88671875" style="9" customWidth="1"/>
    <col min="3582" max="3583" width="13.21875" style="9" customWidth="1"/>
    <col min="3584" max="3584" width="10.88671875" style="9" customWidth="1"/>
    <col min="3585" max="3585" width="11.109375" style="9" customWidth="1"/>
    <col min="3586" max="3586" width="15.21875" style="9" customWidth="1"/>
    <col min="3587" max="3587" width="9.6640625" style="9"/>
    <col min="3588" max="3588" width="11" style="9" customWidth="1"/>
    <col min="3589" max="3589" width="10.77734375" style="9" customWidth="1"/>
    <col min="3590" max="3590" width="11.44140625" style="9" customWidth="1"/>
    <col min="3591" max="3591" width="4" style="9" customWidth="1"/>
    <col min="3592" max="3782" width="9.6640625" style="9"/>
    <col min="3783" max="3783" width="6.44140625" style="9" customWidth="1"/>
    <col min="3784" max="3784" width="13.88671875" style="9" customWidth="1"/>
    <col min="3785" max="3785" width="11.88671875" style="9" customWidth="1"/>
    <col min="3786" max="3788" width="9.6640625" style="9"/>
    <col min="3789" max="3789" width="15.44140625" style="9" customWidth="1"/>
    <col min="3790" max="3790" width="16.21875" style="9" customWidth="1"/>
    <col min="3791" max="3802" width="9.6640625" style="9"/>
    <col min="3803" max="3803" width="12" style="9" customWidth="1"/>
    <col min="3804" max="3804" width="12.77734375" style="9" customWidth="1"/>
    <col min="3805" max="3805" width="11.109375" style="9" customWidth="1"/>
    <col min="3806" max="3806" width="12" style="9" customWidth="1"/>
    <col min="3807" max="3807" width="9.6640625" style="9"/>
    <col min="3808" max="3808" width="15.33203125" style="9" customWidth="1"/>
    <col min="3809" max="3809" width="15.21875" style="9" customWidth="1"/>
    <col min="3810" max="3810" width="21.44140625" style="9" customWidth="1"/>
    <col min="3811" max="3826" width="9.6640625" style="9"/>
    <col min="3827" max="3828" width="13.44140625" style="9" customWidth="1"/>
    <col min="3829" max="3829" width="9.6640625" style="9"/>
    <col min="3830" max="3830" width="13.88671875" style="9" customWidth="1"/>
    <col min="3831" max="3831" width="10.6640625" style="9" customWidth="1"/>
    <col min="3832" max="3832" width="17.33203125" style="9" customWidth="1"/>
    <col min="3833" max="3834" width="12.6640625" style="9" customWidth="1"/>
    <col min="3835" max="3835" width="11.21875" style="9" customWidth="1"/>
    <col min="3836" max="3836" width="18.33203125" style="9" customWidth="1"/>
    <col min="3837" max="3837" width="12.88671875" style="9" customWidth="1"/>
    <col min="3838" max="3839" width="13.21875" style="9" customWidth="1"/>
    <col min="3840" max="3840" width="10.88671875" style="9" customWidth="1"/>
    <col min="3841" max="3841" width="11.109375" style="9" customWidth="1"/>
    <col min="3842" max="3842" width="15.21875" style="9" customWidth="1"/>
    <col min="3843" max="3843" width="9.6640625" style="9"/>
    <col min="3844" max="3844" width="11" style="9" customWidth="1"/>
    <col min="3845" max="3845" width="10.77734375" style="9" customWidth="1"/>
    <col min="3846" max="3846" width="11.44140625" style="9" customWidth="1"/>
    <col min="3847" max="3847" width="4" style="9" customWidth="1"/>
    <col min="3848" max="4038" width="9.6640625" style="9"/>
    <col min="4039" max="4039" width="6.44140625" style="9" customWidth="1"/>
    <col min="4040" max="4040" width="13.88671875" style="9" customWidth="1"/>
    <col min="4041" max="4041" width="11.88671875" style="9" customWidth="1"/>
    <col min="4042" max="4044" width="9.6640625" style="9"/>
    <col min="4045" max="4045" width="15.44140625" style="9" customWidth="1"/>
    <col min="4046" max="4046" width="16.21875" style="9" customWidth="1"/>
    <col min="4047" max="4058" width="9.6640625" style="9"/>
    <col min="4059" max="4059" width="12" style="9" customWidth="1"/>
    <col min="4060" max="4060" width="12.77734375" style="9" customWidth="1"/>
    <col min="4061" max="4061" width="11.109375" style="9" customWidth="1"/>
    <col min="4062" max="4062" width="12" style="9" customWidth="1"/>
    <col min="4063" max="4063" width="9.6640625" style="9"/>
    <col min="4064" max="4064" width="15.33203125" style="9" customWidth="1"/>
    <col min="4065" max="4065" width="15.21875" style="9" customWidth="1"/>
    <col min="4066" max="4066" width="21.44140625" style="9" customWidth="1"/>
    <col min="4067" max="4082" width="9.6640625" style="9"/>
    <col min="4083" max="4084" width="13.44140625" style="9" customWidth="1"/>
    <col min="4085" max="4085" width="9.6640625" style="9"/>
    <col min="4086" max="4086" width="13.88671875" style="9" customWidth="1"/>
    <col min="4087" max="4087" width="10.6640625" style="9" customWidth="1"/>
    <col min="4088" max="4088" width="17.33203125" style="9" customWidth="1"/>
    <col min="4089" max="4090" width="12.6640625" style="9" customWidth="1"/>
    <col min="4091" max="4091" width="11.21875" style="9" customWidth="1"/>
    <col min="4092" max="4092" width="18.33203125" style="9" customWidth="1"/>
    <col min="4093" max="4093" width="12.88671875" style="9" customWidth="1"/>
    <col min="4094" max="4095" width="13.21875" style="9" customWidth="1"/>
    <col min="4096" max="4096" width="10.88671875" style="9" customWidth="1"/>
    <col min="4097" max="4097" width="11.109375" style="9" customWidth="1"/>
    <col min="4098" max="4098" width="15.21875" style="9" customWidth="1"/>
    <col min="4099" max="4099" width="9.6640625" style="9"/>
    <col min="4100" max="4100" width="11" style="9" customWidth="1"/>
    <col min="4101" max="4101" width="10.77734375" style="9" customWidth="1"/>
    <col min="4102" max="4102" width="11.44140625" style="9" customWidth="1"/>
    <col min="4103" max="4103" width="4" style="9" customWidth="1"/>
    <col min="4104" max="4294" width="9.6640625" style="9"/>
    <col min="4295" max="4295" width="6.44140625" style="9" customWidth="1"/>
    <col min="4296" max="4296" width="13.88671875" style="9" customWidth="1"/>
    <col min="4297" max="4297" width="11.88671875" style="9" customWidth="1"/>
    <col min="4298" max="4300" width="9.6640625" style="9"/>
    <col min="4301" max="4301" width="15.44140625" style="9" customWidth="1"/>
    <col min="4302" max="4302" width="16.21875" style="9" customWidth="1"/>
    <col min="4303" max="4314" width="9.6640625" style="9"/>
    <col min="4315" max="4315" width="12" style="9" customWidth="1"/>
    <col min="4316" max="4316" width="12.77734375" style="9" customWidth="1"/>
    <col min="4317" max="4317" width="11.109375" style="9" customWidth="1"/>
    <col min="4318" max="4318" width="12" style="9" customWidth="1"/>
    <col min="4319" max="4319" width="9.6640625" style="9"/>
    <col min="4320" max="4320" width="15.33203125" style="9" customWidth="1"/>
    <col min="4321" max="4321" width="15.21875" style="9" customWidth="1"/>
    <col min="4322" max="4322" width="21.44140625" style="9" customWidth="1"/>
    <col min="4323" max="4338" width="9.6640625" style="9"/>
    <col min="4339" max="4340" width="13.44140625" style="9" customWidth="1"/>
    <col min="4341" max="4341" width="9.6640625" style="9"/>
    <col min="4342" max="4342" width="13.88671875" style="9" customWidth="1"/>
    <col min="4343" max="4343" width="10.6640625" style="9" customWidth="1"/>
    <col min="4344" max="4344" width="17.33203125" style="9" customWidth="1"/>
    <col min="4345" max="4346" width="12.6640625" style="9" customWidth="1"/>
    <col min="4347" max="4347" width="11.21875" style="9" customWidth="1"/>
    <col min="4348" max="4348" width="18.33203125" style="9" customWidth="1"/>
    <col min="4349" max="4349" width="12.88671875" style="9" customWidth="1"/>
    <col min="4350" max="4351" width="13.21875" style="9" customWidth="1"/>
    <col min="4352" max="4352" width="10.88671875" style="9" customWidth="1"/>
    <col min="4353" max="4353" width="11.109375" style="9" customWidth="1"/>
    <col min="4354" max="4354" width="15.21875" style="9" customWidth="1"/>
    <col min="4355" max="4355" width="9.6640625" style="9"/>
    <col min="4356" max="4356" width="11" style="9" customWidth="1"/>
    <col min="4357" max="4357" width="10.77734375" style="9" customWidth="1"/>
    <col min="4358" max="4358" width="11.44140625" style="9" customWidth="1"/>
    <col min="4359" max="4359" width="4" style="9" customWidth="1"/>
    <col min="4360" max="4550" width="9.6640625" style="9"/>
    <col min="4551" max="4551" width="6.44140625" style="9" customWidth="1"/>
    <col min="4552" max="4552" width="13.88671875" style="9" customWidth="1"/>
    <col min="4553" max="4553" width="11.88671875" style="9" customWidth="1"/>
    <col min="4554" max="4556" width="9.6640625" style="9"/>
    <col min="4557" max="4557" width="15.44140625" style="9" customWidth="1"/>
    <col min="4558" max="4558" width="16.21875" style="9" customWidth="1"/>
    <col min="4559" max="4570" width="9.6640625" style="9"/>
    <col min="4571" max="4571" width="12" style="9" customWidth="1"/>
    <col min="4572" max="4572" width="12.77734375" style="9" customWidth="1"/>
    <col min="4573" max="4573" width="11.109375" style="9" customWidth="1"/>
    <col min="4574" max="4574" width="12" style="9" customWidth="1"/>
    <col min="4575" max="4575" width="9.6640625" style="9"/>
    <col min="4576" max="4576" width="15.33203125" style="9" customWidth="1"/>
    <col min="4577" max="4577" width="15.21875" style="9" customWidth="1"/>
    <col min="4578" max="4578" width="21.44140625" style="9" customWidth="1"/>
    <col min="4579" max="4594" width="9.6640625" style="9"/>
    <col min="4595" max="4596" width="13.44140625" style="9" customWidth="1"/>
    <col min="4597" max="4597" width="9.6640625" style="9"/>
    <col min="4598" max="4598" width="13.88671875" style="9" customWidth="1"/>
    <col min="4599" max="4599" width="10.6640625" style="9" customWidth="1"/>
    <col min="4600" max="4600" width="17.33203125" style="9" customWidth="1"/>
    <col min="4601" max="4602" width="12.6640625" style="9" customWidth="1"/>
    <col min="4603" max="4603" width="11.21875" style="9" customWidth="1"/>
    <col min="4604" max="4604" width="18.33203125" style="9" customWidth="1"/>
    <col min="4605" max="4605" width="12.88671875" style="9" customWidth="1"/>
    <col min="4606" max="4607" width="13.21875" style="9" customWidth="1"/>
    <col min="4608" max="4608" width="10.88671875" style="9" customWidth="1"/>
    <col min="4609" max="4609" width="11.109375" style="9" customWidth="1"/>
    <col min="4610" max="4610" width="15.21875" style="9" customWidth="1"/>
    <col min="4611" max="4611" width="9.6640625" style="9"/>
    <col min="4612" max="4612" width="11" style="9" customWidth="1"/>
    <col min="4613" max="4613" width="10.77734375" style="9" customWidth="1"/>
    <col min="4614" max="4614" width="11.44140625" style="9" customWidth="1"/>
    <col min="4615" max="4615" width="4" style="9" customWidth="1"/>
    <col min="4616" max="4806" width="9.6640625" style="9"/>
    <col min="4807" max="4807" width="6.44140625" style="9" customWidth="1"/>
    <col min="4808" max="4808" width="13.88671875" style="9" customWidth="1"/>
    <col min="4809" max="4809" width="11.88671875" style="9" customWidth="1"/>
    <col min="4810" max="4812" width="9.6640625" style="9"/>
    <col min="4813" max="4813" width="15.44140625" style="9" customWidth="1"/>
    <col min="4814" max="4814" width="16.21875" style="9" customWidth="1"/>
    <col min="4815" max="4826" width="9.6640625" style="9"/>
    <col min="4827" max="4827" width="12" style="9" customWidth="1"/>
    <col min="4828" max="4828" width="12.77734375" style="9" customWidth="1"/>
    <col min="4829" max="4829" width="11.109375" style="9" customWidth="1"/>
    <col min="4830" max="4830" width="12" style="9" customWidth="1"/>
    <col min="4831" max="4831" width="9.6640625" style="9"/>
    <col min="4832" max="4832" width="15.33203125" style="9" customWidth="1"/>
    <col min="4833" max="4833" width="15.21875" style="9" customWidth="1"/>
    <col min="4834" max="4834" width="21.44140625" style="9" customWidth="1"/>
    <col min="4835" max="4850" width="9.6640625" style="9"/>
    <col min="4851" max="4852" width="13.44140625" style="9" customWidth="1"/>
    <col min="4853" max="4853" width="9.6640625" style="9"/>
    <col min="4854" max="4854" width="13.88671875" style="9" customWidth="1"/>
    <col min="4855" max="4855" width="10.6640625" style="9" customWidth="1"/>
    <col min="4856" max="4856" width="17.33203125" style="9" customWidth="1"/>
    <col min="4857" max="4858" width="12.6640625" style="9" customWidth="1"/>
    <col min="4859" max="4859" width="11.21875" style="9" customWidth="1"/>
    <col min="4860" max="4860" width="18.33203125" style="9" customWidth="1"/>
    <col min="4861" max="4861" width="12.88671875" style="9" customWidth="1"/>
    <col min="4862" max="4863" width="13.21875" style="9" customWidth="1"/>
    <col min="4864" max="4864" width="10.88671875" style="9" customWidth="1"/>
    <col min="4865" max="4865" width="11.109375" style="9" customWidth="1"/>
    <col min="4866" max="4866" width="15.21875" style="9" customWidth="1"/>
    <col min="4867" max="4867" width="9.6640625" style="9"/>
    <col min="4868" max="4868" width="11" style="9" customWidth="1"/>
    <col min="4869" max="4869" width="10.77734375" style="9" customWidth="1"/>
    <col min="4870" max="4870" width="11.44140625" style="9" customWidth="1"/>
    <col min="4871" max="4871" width="4" style="9" customWidth="1"/>
    <col min="4872" max="5062" width="9.6640625" style="9"/>
    <col min="5063" max="5063" width="6.44140625" style="9" customWidth="1"/>
    <col min="5064" max="5064" width="13.88671875" style="9" customWidth="1"/>
    <col min="5065" max="5065" width="11.88671875" style="9" customWidth="1"/>
    <col min="5066" max="5068" width="9.6640625" style="9"/>
    <col min="5069" max="5069" width="15.44140625" style="9" customWidth="1"/>
    <col min="5070" max="5070" width="16.21875" style="9" customWidth="1"/>
    <col min="5071" max="5082" width="9.6640625" style="9"/>
    <col min="5083" max="5083" width="12" style="9" customWidth="1"/>
    <col min="5084" max="5084" width="12.77734375" style="9" customWidth="1"/>
    <col min="5085" max="5085" width="11.109375" style="9" customWidth="1"/>
    <col min="5086" max="5086" width="12" style="9" customWidth="1"/>
    <col min="5087" max="5087" width="9.6640625" style="9"/>
    <col min="5088" max="5088" width="15.33203125" style="9" customWidth="1"/>
    <col min="5089" max="5089" width="15.21875" style="9" customWidth="1"/>
    <col min="5090" max="5090" width="21.44140625" style="9" customWidth="1"/>
    <col min="5091" max="5106" width="9.6640625" style="9"/>
    <col min="5107" max="5108" width="13.44140625" style="9" customWidth="1"/>
    <col min="5109" max="5109" width="9.6640625" style="9"/>
    <col min="5110" max="5110" width="13.88671875" style="9" customWidth="1"/>
    <col min="5111" max="5111" width="10.6640625" style="9" customWidth="1"/>
    <col min="5112" max="5112" width="17.33203125" style="9" customWidth="1"/>
    <col min="5113" max="5114" width="12.6640625" style="9" customWidth="1"/>
    <col min="5115" max="5115" width="11.21875" style="9" customWidth="1"/>
    <col min="5116" max="5116" width="18.33203125" style="9" customWidth="1"/>
    <col min="5117" max="5117" width="12.88671875" style="9" customWidth="1"/>
    <col min="5118" max="5119" width="13.21875" style="9" customWidth="1"/>
    <col min="5120" max="5120" width="10.88671875" style="9" customWidth="1"/>
    <col min="5121" max="5121" width="11.109375" style="9" customWidth="1"/>
    <col min="5122" max="5122" width="15.21875" style="9" customWidth="1"/>
    <col min="5123" max="5123" width="9.6640625" style="9"/>
    <col min="5124" max="5124" width="11" style="9" customWidth="1"/>
    <col min="5125" max="5125" width="10.77734375" style="9" customWidth="1"/>
    <col min="5126" max="5126" width="11.44140625" style="9" customWidth="1"/>
    <col min="5127" max="5127" width="4" style="9" customWidth="1"/>
    <col min="5128" max="5318" width="9.6640625" style="9"/>
    <col min="5319" max="5319" width="6.44140625" style="9" customWidth="1"/>
    <col min="5320" max="5320" width="13.88671875" style="9" customWidth="1"/>
    <col min="5321" max="5321" width="11.88671875" style="9" customWidth="1"/>
    <col min="5322" max="5324" width="9.6640625" style="9"/>
    <col min="5325" max="5325" width="15.44140625" style="9" customWidth="1"/>
    <col min="5326" max="5326" width="16.21875" style="9" customWidth="1"/>
    <col min="5327" max="5338" width="9.6640625" style="9"/>
    <col min="5339" max="5339" width="12" style="9" customWidth="1"/>
    <col min="5340" max="5340" width="12.77734375" style="9" customWidth="1"/>
    <col min="5341" max="5341" width="11.109375" style="9" customWidth="1"/>
    <col min="5342" max="5342" width="12" style="9" customWidth="1"/>
    <col min="5343" max="5343" width="9.6640625" style="9"/>
    <col min="5344" max="5344" width="15.33203125" style="9" customWidth="1"/>
    <col min="5345" max="5345" width="15.21875" style="9" customWidth="1"/>
    <col min="5346" max="5346" width="21.44140625" style="9" customWidth="1"/>
    <col min="5347" max="5362" width="9.6640625" style="9"/>
    <col min="5363" max="5364" width="13.44140625" style="9" customWidth="1"/>
    <col min="5365" max="5365" width="9.6640625" style="9"/>
    <col min="5366" max="5366" width="13.88671875" style="9" customWidth="1"/>
    <col min="5367" max="5367" width="10.6640625" style="9" customWidth="1"/>
    <col min="5368" max="5368" width="17.33203125" style="9" customWidth="1"/>
    <col min="5369" max="5370" width="12.6640625" style="9" customWidth="1"/>
    <col min="5371" max="5371" width="11.21875" style="9" customWidth="1"/>
    <col min="5372" max="5372" width="18.33203125" style="9" customWidth="1"/>
    <col min="5373" max="5373" width="12.88671875" style="9" customWidth="1"/>
    <col min="5374" max="5375" width="13.21875" style="9" customWidth="1"/>
    <col min="5376" max="5376" width="10.88671875" style="9" customWidth="1"/>
    <col min="5377" max="5377" width="11.109375" style="9" customWidth="1"/>
    <col min="5378" max="5378" width="15.21875" style="9" customWidth="1"/>
    <col min="5379" max="5379" width="9.6640625" style="9"/>
    <col min="5380" max="5380" width="11" style="9" customWidth="1"/>
    <col min="5381" max="5381" width="10.77734375" style="9" customWidth="1"/>
    <col min="5382" max="5382" width="11.44140625" style="9" customWidth="1"/>
    <col min="5383" max="5383" width="4" style="9" customWidth="1"/>
    <col min="5384" max="5574" width="9.6640625" style="9"/>
    <col min="5575" max="5575" width="6.44140625" style="9" customWidth="1"/>
    <col min="5576" max="5576" width="13.88671875" style="9" customWidth="1"/>
    <col min="5577" max="5577" width="11.88671875" style="9" customWidth="1"/>
    <col min="5578" max="5580" width="9.6640625" style="9"/>
    <col min="5581" max="5581" width="15.44140625" style="9" customWidth="1"/>
    <col min="5582" max="5582" width="16.21875" style="9" customWidth="1"/>
    <col min="5583" max="5594" width="9.6640625" style="9"/>
    <col min="5595" max="5595" width="12" style="9" customWidth="1"/>
    <col min="5596" max="5596" width="12.77734375" style="9" customWidth="1"/>
    <col min="5597" max="5597" width="11.109375" style="9" customWidth="1"/>
    <col min="5598" max="5598" width="12" style="9" customWidth="1"/>
    <col min="5599" max="5599" width="9.6640625" style="9"/>
    <col min="5600" max="5600" width="15.33203125" style="9" customWidth="1"/>
    <col min="5601" max="5601" width="15.21875" style="9" customWidth="1"/>
    <col min="5602" max="5602" width="21.44140625" style="9" customWidth="1"/>
    <col min="5603" max="5618" width="9.6640625" style="9"/>
    <col min="5619" max="5620" width="13.44140625" style="9" customWidth="1"/>
    <col min="5621" max="5621" width="9.6640625" style="9"/>
    <col min="5622" max="5622" width="13.88671875" style="9" customWidth="1"/>
    <col min="5623" max="5623" width="10.6640625" style="9" customWidth="1"/>
    <col min="5624" max="5624" width="17.33203125" style="9" customWidth="1"/>
    <col min="5625" max="5626" width="12.6640625" style="9" customWidth="1"/>
    <col min="5627" max="5627" width="11.21875" style="9" customWidth="1"/>
    <col min="5628" max="5628" width="18.33203125" style="9" customWidth="1"/>
    <col min="5629" max="5629" width="12.88671875" style="9" customWidth="1"/>
    <col min="5630" max="5631" width="13.21875" style="9" customWidth="1"/>
    <col min="5632" max="5632" width="10.88671875" style="9" customWidth="1"/>
    <col min="5633" max="5633" width="11.109375" style="9" customWidth="1"/>
    <col min="5634" max="5634" width="15.21875" style="9" customWidth="1"/>
    <col min="5635" max="5635" width="9.6640625" style="9"/>
    <col min="5636" max="5636" width="11" style="9" customWidth="1"/>
    <col min="5637" max="5637" width="10.77734375" style="9" customWidth="1"/>
    <col min="5638" max="5638" width="11.44140625" style="9" customWidth="1"/>
    <col min="5639" max="5639" width="4" style="9" customWidth="1"/>
    <col min="5640" max="5830" width="9.6640625" style="9"/>
    <col min="5831" max="5831" width="6.44140625" style="9" customWidth="1"/>
    <col min="5832" max="5832" width="13.88671875" style="9" customWidth="1"/>
    <col min="5833" max="5833" width="11.88671875" style="9" customWidth="1"/>
    <col min="5834" max="5836" width="9.6640625" style="9"/>
    <col min="5837" max="5837" width="15.44140625" style="9" customWidth="1"/>
    <col min="5838" max="5838" width="16.21875" style="9" customWidth="1"/>
    <col min="5839" max="5850" width="9.6640625" style="9"/>
    <col min="5851" max="5851" width="12" style="9" customWidth="1"/>
    <col min="5852" max="5852" width="12.77734375" style="9" customWidth="1"/>
    <col min="5853" max="5853" width="11.109375" style="9" customWidth="1"/>
    <col min="5854" max="5854" width="12" style="9" customWidth="1"/>
    <col min="5855" max="5855" width="9.6640625" style="9"/>
    <col min="5856" max="5856" width="15.33203125" style="9" customWidth="1"/>
    <col min="5857" max="5857" width="15.21875" style="9" customWidth="1"/>
    <col min="5858" max="5858" width="21.44140625" style="9" customWidth="1"/>
    <col min="5859" max="5874" width="9.6640625" style="9"/>
    <col min="5875" max="5876" width="13.44140625" style="9" customWidth="1"/>
    <col min="5877" max="5877" width="9.6640625" style="9"/>
    <col min="5878" max="5878" width="13.88671875" style="9" customWidth="1"/>
    <col min="5879" max="5879" width="10.6640625" style="9" customWidth="1"/>
    <col min="5880" max="5880" width="17.33203125" style="9" customWidth="1"/>
    <col min="5881" max="5882" width="12.6640625" style="9" customWidth="1"/>
    <col min="5883" max="5883" width="11.21875" style="9" customWidth="1"/>
    <col min="5884" max="5884" width="18.33203125" style="9" customWidth="1"/>
    <col min="5885" max="5885" width="12.88671875" style="9" customWidth="1"/>
    <col min="5886" max="5887" width="13.21875" style="9" customWidth="1"/>
    <col min="5888" max="5888" width="10.88671875" style="9" customWidth="1"/>
    <col min="5889" max="5889" width="11.109375" style="9" customWidth="1"/>
    <col min="5890" max="5890" width="15.21875" style="9" customWidth="1"/>
    <col min="5891" max="5891" width="9.6640625" style="9"/>
    <col min="5892" max="5892" width="11" style="9" customWidth="1"/>
    <col min="5893" max="5893" width="10.77734375" style="9" customWidth="1"/>
    <col min="5894" max="5894" width="11.44140625" style="9" customWidth="1"/>
    <col min="5895" max="5895" width="4" style="9" customWidth="1"/>
    <col min="5896" max="6086" width="9.6640625" style="9"/>
    <col min="6087" max="6087" width="6.44140625" style="9" customWidth="1"/>
    <col min="6088" max="6088" width="13.88671875" style="9" customWidth="1"/>
    <col min="6089" max="6089" width="11.88671875" style="9" customWidth="1"/>
    <col min="6090" max="6092" width="9.6640625" style="9"/>
    <col min="6093" max="6093" width="15.44140625" style="9" customWidth="1"/>
    <col min="6094" max="6094" width="16.21875" style="9" customWidth="1"/>
    <col min="6095" max="6106" width="9.6640625" style="9"/>
    <col min="6107" max="6107" width="12" style="9" customWidth="1"/>
    <col min="6108" max="6108" width="12.77734375" style="9" customWidth="1"/>
    <col min="6109" max="6109" width="11.109375" style="9" customWidth="1"/>
    <col min="6110" max="6110" width="12" style="9" customWidth="1"/>
    <col min="6111" max="6111" width="9.6640625" style="9"/>
    <col min="6112" max="6112" width="15.33203125" style="9" customWidth="1"/>
    <col min="6113" max="6113" width="15.21875" style="9" customWidth="1"/>
    <col min="6114" max="6114" width="21.44140625" style="9" customWidth="1"/>
    <col min="6115" max="6130" width="9.6640625" style="9"/>
    <col min="6131" max="6132" width="13.44140625" style="9" customWidth="1"/>
    <col min="6133" max="6133" width="9.6640625" style="9"/>
    <col min="6134" max="6134" width="13.88671875" style="9" customWidth="1"/>
    <col min="6135" max="6135" width="10.6640625" style="9" customWidth="1"/>
    <col min="6136" max="6136" width="17.33203125" style="9" customWidth="1"/>
    <col min="6137" max="6138" width="12.6640625" style="9" customWidth="1"/>
    <col min="6139" max="6139" width="11.21875" style="9" customWidth="1"/>
    <col min="6140" max="6140" width="18.33203125" style="9" customWidth="1"/>
    <col min="6141" max="6141" width="12.88671875" style="9" customWidth="1"/>
    <col min="6142" max="6143" width="13.21875" style="9" customWidth="1"/>
    <col min="6144" max="6144" width="10.88671875" style="9" customWidth="1"/>
    <col min="6145" max="6145" width="11.109375" style="9" customWidth="1"/>
    <col min="6146" max="6146" width="15.21875" style="9" customWidth="1"/>
    <col min="6147" max="6147" width="9.6640625" style="9"/>
    <col min="6148" max="6148" width="11" style="9" customWidth="1"/>
    <col min="6149" max="6149" width="10.77734375" style="9" customWidth="1"/>
    <col min="6150" max="6150" width="11.44140625" style="9" customWidth="1"/>
    <col min="6151" max="6151" width="4" style="9" customWidth="1"/>
    <col min="6152" max="6342" width="9.6640625" style="9"/>
    <col min="6343" max="6343" width="6.44140625" style="9" customWidth="1"/>
    <col min="6344" max="6344" width="13.88671875" style="9" customWidth="1"/>
    <col min="6345" max="6345" width="11.88671875" style="9" customWidth="1"/>
    <col min="6346" max="6348" width="9.6640625" style="9"/>
    <col min="6349" max="6349" width="15.44140625" style="9" customWidth="1"/>
    <col min="6350" max="6350" width="16.21875" style="9" customWidth="1"/>
    <col min="6351" max="6362" width="9.6640625" style="9"/>
    <col min="6363" max="6363" width="12" style="9" customWidth="1"/>
    <col min="6364" max="6364" width="12.77734375" style="9" customWidth="1"/>
    <col min="6365" max="6365" width="11.109375" style="9" customWidth="1"/>
    <col min="6366" max="6366" width="12" style="9" customWidth="1"/>
    <col min="6367" max="6367" width="9.6640625" style="9"/>
    <col min="6368" max="6368" width="15.33203125" style="9" customWidth="1"/>
    <col min="6369" max="6369" width="15.21875" style="9" customWidth="1"/>
    <col min="6370" max="6370" width="21.44140625" style="9" customWidth="1"/>
    <col min="6371" max="6386" width="9.6640625" style="9"/>
    <col min="6387" max="6388" width="13.44140625" style="9" customWidth="1"/>
    <col min="6389" max="6389" width="9.6640625" style="9"/>
    <col min="6390" max="6390" width="13.88671875" style="9" customWidth="1"/>
    <col min="6391" max="6391" width="10.6640625" style="9" customWidth="1"/>
    <col min="6392" max="6392" width="17.33203125" style="9" customWidth="1"/>
    <col min="6393" max="6394" width="12.6640625" style="9" customWidth="1"/>
    <col min="6395" max="6395" width="11.21875" style="9" customWidth="1"/>
    <col min="6396" max="6396" width="18.33203125" style="9" customWidth="1"/>
    <col min="6397" max="6397" width="12.88671875" style="9" customWidth="1"/>
    <col min="6398" max="6399" width="13.21875" style="9" customWidth="1"/>
    <col min="6400" max="6400" width="10.88671875" style="9" customWidth="1"/>
    <col min="6401" max="6401" width="11.109375" style="9" customWidth="1"/>
    <col min="6402" max="6402" width="15.21875" style="9" customWidth="1"/>
    <col min="6403" max="6403" width="9.6640625" style="9"/>
    <col min="6404" max="6404" width="11" style="9" customWidth="1"/>
    <col min="6405" max="6405" width="10.77734375" style="9" customWidth="1"/>
    <col min="6406" max="6406" width="11.44140625" style="9" customWidth="1"/>
    <col min="6407" max="6407" width="4" style="9" customWidth="1"/>
    <col min="6408" max="6598" width="9.6640625" style="9"/>
    <col min="6599" max="6599" width="6.44140625" style="9" customWidth="1"/>
    <col min="6600" max="6600" width="13.88671875" style="9" customWidth="1"/>
    <col min="6601" max="6601" width="11.88671875" style="9" customWidth="1"/>
    <col min="6602" max="6604" width="9.6640625" style="9"/>
    <col min="6605" max="6605" width="15.44140625" style="9" customWidth="1"/>
    <col min="6606" max="6606" width="16.21875" style="9" customWidth="1"/>
    <col min="6607" max="6618" width="9.6640625" style="9"/>
    <col min="6619" max="6619" width="12" style="9" customWidth="1"/>
    <col min="6620" max="6620" width="12.77734375" style="9" customWidth="1"/>
    <col min="6621" max="6621" width="11.109375" style="9" customWidth="1"/>
    <col min="6622" max="6622" width="12" style="9" customWidth="1"/>
    <col min="6623" max="6623" width="9.6640625" style="9"/>
    <col min="6624" max="6624" width="15.33203125" style="9" customWidth="1"/>
    <col min="6625" max="6625" width="15.21875" style="9" customWidth="1"/>
    <col min="6626" max="6626" width="21.44140625" style="9" customWidth="1"/>
    <col min="6627" max="6642" width="9.6640625" style="9"/>
    <col min="6643" max="6644" width="13.44140625" style="9" customWidth="1"/>
    <col min="6645" max="6645" width="9.6640625" style="9"/>
    <col min="6646" max="6646" width="13.88671875" style="9" customWidth="1"/>
    <col min="6647" max="6647" width="10.6640625" style="9" customWidth="1"/>
    <col min="6648" max="6648" width="17.33203125" style="9" customWidth="1"/>
    <col min="6649" max="6650" width="12.6640625" style="9" customWidth="1"/>
    <col min="6651" max="6651" width="11.21875" style="9" customWidth="1"/>
    <col min="6652" max="6652" width="18.33203125" style="9" customWidth="1"/>
    <col min="6653" max="6653" width="12.88671875" style="9" customWidth="1"/>
    <col min="6654" max="6655" width="13.21875" style="9" customWidth="1"/>
    <col min="6656" max="6656" width="10.88671875" style="9" customWidth="1"/>
    <col min="6657" max="6657" width="11.109375" style="9" customWidth="1"/>
    <col min="6658" max="6658" width="15.21875" style="9" customWidth="1"/>
    <col min="6659" max="6659" width="9.6640625" style="9"/>
    <col min="6660" max="6660" width="11" style="9" customWidth="1"/>
    <col min="6661" max="6661" width="10.77734375" style="9" customWidth="1"/>
    <col min="6662" max="6662" width="11.44140625" style="9" customWidth="1"/>
    <col min="6663" max="6663" width="4" style="9" customWidth="1"/>
    <col min="6664" max="6854" width="9.6640625" style="9"/>
    <col min="6855" max="6855" width="6.44140625" style="9" customWidth="1"/>
    <col min="6856" max="6856" width="13.88671875" style="9" customWidth="1"/>
    <col min="6857" max="6857" width="11.88671875" style="9" customWidth="1"/>
    <col min="6858" max="6860" width="9.6640625" style="9"/>
    <col min="6861" max="6861" width="15.44140625" style="9" customWidth="1"/>
    <col min="6862" max="6862" width="16.21875" style="9" customWidth="1"/>
    <col min="6863" max="6874" width="9.6640625" style="9"/>
    <col min="6875" max="6875" width="12" style="9" customWidth="1"/>
    <col min="6876" max="6876" width="12.77734375" style="9" customWidth="1"/>
    <col min="6877" max="6877" width="11.109375" style="9" customWidth="1"/>
    <col min="6878" max="6878" width="12" style="9" customWidth="1"/>
    <col min="6879" max="6879" width="9.6640625" style="9"/>
    <col min="6880" max="6880" width="15.33203125" style="9" customWidth="1"/>
    <col min="6881" max="6881" width="15.21875" style="9" customWidth="1"/>
    <col min="6882" max="6882" width="21.44140625" style="9" customWidth="1"/>
    <col min="6883" max="6898" width="9.6640625" style="9"/>
    <col min="6899" max="6900" width="13.44140625" style="9" customWidth="1"/>
    <col min="6901" max="6901" width="9.6640625" style="9"/>
    <col min="6902" max="6902" width="13.88671875" style="9" customWidth="1"/>
    <col min="6903" max="6903" width="10.6640625" style="9" customWidth="1"/>
    <col min="6904" max="6904" width="17.33203125" style="9" customWidth="1"/>
    <col min="6905" max="6906" width="12.6640625" style="9" customWidth="1"/>
    <col min="6907" max="6907" width="11.21875" style="9" customWidth="1"/>
    <col min="6908" max="6908" width="18.33203125" style="9" customWidth="1"/>
    <col min="6909" max="6909" width="12.88671875" style="9" customWidth="1"/>
    <col min="6910" max="6911" width="13.21875" style="9" customWidth="1"/>
    <col min="6912" max="6912" width="10.88671875" style="9" customWidth="1"/>
    <col min="6913" max="6913" width="11.109375" style="9" customWidth="1"/>
    <col min="6914" max="6914" width="15.21875" style="9" customWidth="1"/>
    <col min="6915" max="6915" width="9.6640625" style="9"/>
    <col min="6916" max="6916" width="11" style="9" customWidth="1"/>
    <col min="6917" max="6917" width="10.77734375" style="9" customWidth="1"/>
    <col min="6918" max="6918" width="11.44140625" style="9" customWidth="1"/>
    <col min="6919" max="6919" width="4" style="9" customWidth="1"/>
    <col min="6920" max="7110" width="9.6640625" style="9"/>
    <col min="7111" max="7111" width="6.44140625" style="9" customWidth="1"/>
    <col min="7112" max="7112" width="13.88671875" style="9" customWidth="1"/>
    <col min="7113" max="7113" width="11.88671875" style="9" customWidth="1"/>
    <col min="7114" max="7116" width="9.6640625" style="9"/>
    <col min="7117" max="7117" width="15.44140625" style="9" customWidth="1"/>
    <col min="7118" max="7118" width="16.21875" style="9" customWidth="1"/>
    <col min="7119" max="7130" width="9.6640625" style="9"/>
    <col min="7131" max="7131" width="12" style="9" customWidth="1"/>
    <col min="7132" max="7132" width="12.77734375" style="9" customWidth="1"/>
    <col min="7133" max="7133" width="11.109375" style="9" customWidth="1"/>
    <col min="7134" max="7134" width="12" style="9" customWidth="1"/>
    <col min="7135" max="7135" width="9.6640625" style="9"/>
    <col min="7136" max="7136" width="15.33203125" style="9" customWidth="1"/>
    <col min="7137" max="7137" width="15.21875" style="9" customWidth="1"/>
    <col min="7138" max="7138" width="21.44140625" style="9" customWidth="1"/>
    <col min="7139" max="7154" width="9.6640625" style="9"/>
    <col min="7155" max="7156" width="13.44140625" style="9" customWidth="1"/>
    <col min="7157" max="7157" width="9.6640625" style="9"/>
    <col min="7158" max="7158" width="13.88671875" style="9" customWidth="1"/>
    <col min="7159" max="7159" width="10.6640625" style="9" customWidth="1"/>
    <col min="7160" max="7160" width="17.33203125" style="9" customWidth="1"/>
    <col min="7161" max="7162" width="12.6640625" style="9" customWidth="1"/>
    <col min="7163" max="7163" width="11.21875" style="9" customWidth="1"/>
    <col min="7164" max="7164" width="18.33203125" style="9" customWidth="1"/>
    <col min="7165" max="7165" width="12.88671875" style="9" customWidth="1"/>
    <col min="7166" max="7167" width="13.21875" style="9" customWidth="1"/>
    <col min="7168" max="7168" width="10.88671875" style="9" customWidth="1"/>
    <col min="7169" max="7169" width="11.109375" style="9" customWidth="1"/>
    <col min="7170" max="7170" width="15.21875" style="9" customWidth="1"/>
    <col min="7171" max="7171" width="9.6640625" style="9"/>
    <col min="7172" max="7172" width="11" style="9" customWidth="1"/>
    <col min="7173" max="7173" width="10.77734375" style="9" customWidth="1"/>
    <col min="7174" max="7174" width="11.44140625" style="9" customWidth="1"/>
    <col min="7175" max="7175" width="4" style="9" customWidth="1"/>
    <col min="7176" max="7366" width="9.6640625" style="9"/>
    <col min="7367" max="7367" width="6.44140625" style="9" customWidth="1"/>
    <col min="7368" max="7368" width="13.88671875" style="9" customWidth="1"/>
    <col min="7369" max="7369" width="11.88671875" style="9" customWidth="1"/>
    <col min="7370" max="7372" width="9.6640625" style="9"/>
    <col min="7373" max="7373" width="15.44140625" style="9" customWidth="1"/>
    <col min="7374" max="7374" width="16.21875" style="9" customWidth="1"/>
    <col min="7375" max="7386" width="9.6640625" style="9"/>
    <col min="7387" max="7387" width="12" style="9" customWidth="1"/>
    <col min="7388" max="7388" width="12.77734375" style="9" customWidth="1"/>
    <col min="7389" max="7389" width="11.109375" style="9" customWidth="1"/>
    <col min="7390" max="7390" width="12" style="9" customWidth="1"/>
    <col min="7391" max="7391" width="9.6640625" style="9"/>
    <col min="7392" max="7392" width="15.33203125" style="9" customWidth="1"/>
    <col min="7393" max="7393" width="15.21875" style="9" customWidth="1"/>
    <col min="7394" max="7394" width="21.44140625" style="9" customWidth="1"/>
    <col min="7395" max="7410" width="9.6640625" style="9"/>
    <col min="7411" max="7412" width="13.44140625" style="9" customWidth="1"/>
    <col min="7413" max="7413" width="9.6640625" style="9"/>
    <col min="7414" max="7414" width="13.88671875" style="9" customWidth="1"/>
    <col min="7415" max="7415" width="10.6640625" style="9" customWidth="1"/>
    <col min="7416" max="7416" width="17.33203125" style="9" customWidth="1"/>
    <col min="7417" max="7418" width="12.6640625" style="9" customWidth="1"/>
    <col min="7419" max="7419" width="11.21875" style="9" customWidth="1"/>
    <col min="7420" max="7420" width="18.33203125" style="9" customWidth="1"/>
    <col min="7421" max="7421" width="12.88671875" style="9" customWidth="1"/>
    <col min="7422" max="7423" width="13.21875" style="9" customWidth="1"/>
    <col min="7424" max="7424" width="10.88671875" style="9" customWidth="1"/>
    <col min="7425" max="7425" width="11.109375" style="9" customWidth="1"/>
    <col min="7426" max="7426" width="15.21875" style="9" customWidth="1"/>
    <col min="7427" max="7427" width="9.6640625" style="9"/>
    <col min="7428" max="7428" width="11" style="9" customWidth="1"/>
    <col min="7429" max="7429" width="10.77734375" style="9" customWidth="1"/>
    <col min="7430" max="7430" width="11.44140625" style="9" customWidth="1"/>
    <col min="7431" max="7431" width="4" style="9" customWidth="1"/>
    <col min="7432" max="7622" width="9.6640625" style="9"/>
    <col min="7623" max="7623" width="6.44140625" style="9" customWidth="1"/>
    <col min="7624" max="7624" width="13.88671875" style="9" customWidth="1"/>
    <col min="7625" max="7625" width="11.88671875" style="9" customWidth="1"/>
    <col min="7626" max="7628" width="9.6640625" style="9"/>
    <col min="7629" max="7629" width="15.44140625" style="9" customWidth="1"/>
    <col min="7630" max="7630" width="16.21875" style="9" customWidth="1"/>
    <col min="7631" max="7642" width="9.6640625" style="9"/>
    <col min="7643" max="7643" width="12" style="9" customWidth="1"/>
    <col min="7644" max="7644" width="12.77734375" style="9" customWidth="1"/>
    <col min="7645" max="7645" width="11.109375" style="9" customWidth="1"/>
    <col min="7646" max="7646" width="12" style="9" customWidth="1"/>
    <col min="7647" max="7647" width="9.6640625" style="9"/>
    <col min="7648" max="7648" width="15.33203125" style="9" customWidth="1"/>
    <col min="7649" max="7649" width="15.21875" style="9" customWidth="1"/>
    <col min="7650" max="7650" width="21.44140625" style="9" customWidth="1"/>
    <col min="7651" max="7666" width="9.6640625" style="9"/>
    <col min="7667" max="7668" width="13.44140625" style="9" customWidth="1"/>
    <col min="7669" max="7669" width="9.6640625" style="9"/>
    <col min="7670" max="7670" width="13.88671875" style="9" customWidth="1"/>
    <col min="7671" max="7671" width="10.6640625" style="9" customWidth="1"/>
    <col min="7672" max="7672" width="17.33203125" style="9" customWidth="1"/>
    <col min="7673" max="7674" width="12.6640625" style="9" customWidth="1"/>
    <col min="7675" max="7675" width="11.21875" style="9" customWidth="1"/>
    <col min="7676" max="7676" width="18.33203125" style="9" customWidth="1"/>
    <col min="7677" max="7677" width="12.88671875" style="9" customWidth="1"/>
    <col min="7678" max="7679" width="13.21875" style="9" customWidth="1"/>
    <col min="7680" max="7680" width="10.88671875" style="9" customWidth="1"/>
    <col min="7681" max="7681" width="11.109375" style="9" customWidth="1"/>
    <col min="7682" max="7682" width="15.21875" style="9" customWidth="1"/>
    <col min="7683" max="7683" width="9.6640625" style="9"/>
    <col min="7684" max="7684" width="11" style="9" customWidth="1"/>
    <col min="7685" max="7685" width="10.77734375" style="9" customWidth="1"/>
    <col min="7686" max="7686" width="11.44140625" style="9" customWidth="1"/>
    <col min="7687" max="7687" width="4" style="9" customWidth="1"/>
    <col min="7688" max="7878" width="9.6640625" style="9"/>
    <col min="7879" max="7879" width="6.44140625" style="9" customWidth="1"/>
    <col min="7880" max="7880" width="13.88671875" style="9" customWidth="1"/>
    <col min="7881" max="7881" width="11.88671875" style="9" customWidth="1"/>
    <col min="7882" max="7884" width="9.6640625" style="9"/>
    <col min="7885" max="7885" width="15.44140625" style="9" customWidth="1"/>
    <col min="7886" max="7886" width="16.21875" style="9" customWidth="1"/>
    <col min="7887" max="7898" width="9.6640625" style="9"/>
    <col min="7899" max="7899" width="12" style="9" customWidth="1"/>
    <col min="7900" max="7900" width="12.77734375" style="9" customWidth="1"/>
    <col min="7901" max="7901" width="11.109375" style="9" customWidth="1"/>
    <col min="7902" max="7902" width="12" style="9" customWidth="1"/>
    <col min="7903" max="7903" width="9.6640625" style="9"/>
    <col min="7904" max="7904" width="15.33203125" style="9" customWidth="1"/>
    <col min="7905" max="7905" width="15.21875" style="9" customWidth="1"/>
    <col min="7906" max="7906" width="21.44140625" style="9" customWidth="1"/>
    <col min="7907" max="7922" width="9.6640625" style="9"/>
    <col min="7923" max="7924" width="13.44140625" style="9" customWidth="1"/>
    <col min="7925" max="7925" width="9.6640625" style="9"/>
    <col min="7926" max="7926" width="13.88671875" style="9" customWidth="1"/>
    <col min="7927" max="7927" width="10.6640625" style="9" customWidth="1"/>
    <col min="7928" max="7928" width="17.33203125" style="9" customWidth="1"/>
    <col min="7929" max="7930" width="12.6640625" style="9" customWidth="1"/>
    <col min="7931" max="7931" width="11.21875" style="9" customWidth="1"/>
    <col min="7932" max="7932" width="18.33203125" style="9" customWidth="1"/>
    <col min="7933" max="7933" width="12.88671875" style="9" customWidth="1"/>
    <col min="7934" max="7935" width="13.21875" style="9" customWidth="1"/>
    <col min="7936" max="7936" width="10.88671875" style="9" customWidth="1"/>
    <col min="7937" max="7937" width="11.109375" style="9" customWidth="1"/>
    <col min="7938" max="7938" width="15.21875" style="9" customWidth="1"/>
    <col min="7939" max="7939" width="9.6640625" style="9"/>
    <col min="7940" max="7940" width="11" style="9" customWidth="1"/>
    <col min="7941" max="7941" width="10.77734375" style="9" customWidth="1"/>
    <col min="7942" max="7942" width="11.44140625" style="9" customWidth="1"/>
    <col min="7943" max="7943" width="4" style="9" customWidth="1"/>
    <col min="7944" max="8134" width="9.6640625" style="9"/>
    <col min="8135" max="8135" width="6.44140625" style="9" customWidth="1"/>
    <col min="8136" max="8136" width="13.88671875" style="9" customWidth="1"/>
    <col min="8137" max="8137" width="11.88671875" style="9" customWidth="1"/>
    <col min="8138" max="8140" width="9.6640625" style="9"/>
    <col min="8141" max="8141" width="15.44140625" style="9" customWidth="1"/>
    <col min="8142" max="8142" width="16.21875" style="9" customWidth="1"/>
    <col min="8143" max="8154" width="9.6640625" style="9"/>
    <col min="8155" max="8155" width="12" style="9" customWidth="1"/>
    <col min="8156" max="8156" width="12.77734375" style="9" customWidth="1"/>
    <col min="8157" max="8157" width="11.109375" style="9" customWidth="1"/>
    <col min="8158" max="8158" width="12" style="9" customWidth="1"/>
    <col min="8159" max="8159" width="9.6640625" style="9"/>
    <col min="8160" max="8160" width="15.33203125" style="9" customWidth="1"/>
    <col min="8161" max="8161" width="15.21875" style="9" customWidth="1"/>
    <col min="8162" max="8162" width="21.44140625" style="9" customWidth="1"/>
    <col min="8163" max="8178" width="9.6640625" style="9"/>
    <col min="8179" max="8180" width="13.44140625" style="9" customWidth="1"/>
    <col min="8181" max="8181" width="9.6640625" style="9"/>
    <col min="8182" max="8182" width="13.88671875" style="9" customWidth="1"/>
    <col min="8183" max="8183" width="10.6640625" style="9" customWidth="1"/>
    <col min="8184" max="8184" width="17.33203125" style="9" customWidth="1"/>
    <col min="8185" max="8186" width="12.6640625" style="9" customWidth="1"/>
    <col min="8187" max="8187" width="11.21875" style="9" customWidth="1"/>
    <col min="8188" max="8188" width="18.33203125" style="9" customWidth="1"/>
    <col min="8189" max="8189" width="12.88671875" style="9" customWidth="1"/>
    <col min="8190" max="8191" width="13.21875" style="9" customWidth="1"/>
    <col min="8192" max="8192" width="10.88671875" style="9" customWidth="1"/>
    <col min="8193" max="8193" width="11.109375" style="9" customWidth="1"/>
    <col min="8194" max="8194" width="15.21875" style="9" customWidth="1"/>
    <col min="8195" max="8195" width="9.6640625" style="9"/>
    <col min="8196" max="8196" width="11" style="9" customWidth="1"/>
    <col min="8197" max="8197" width="10.77734375" style="9" customWidth="1"/>
    <col min="8198" max="8198" width="11.44140625" style="9" customWidth="1"/>
    <col min="8199" max="8199" width="4" style="9" customWidth="1"/>
    <col min="8200" max="8390" width="9.6640625" style="9"/>
    <col min="8391" max="8391" width="6.44140625" style="9" customWidth="1"/>
    <col min="8392" max="8392" width="13.88671875" style="9" customWidth="1"/>
    <col min="8393" max="8393" width="11.88671875" style="9" customWidth="1"/>
    <col min="8394" max="8396" width="9.6640625" style="9"/>
    <col min="8397" max="8397" width="15.44140625" style="9" customWidth="1"/>
    <col min="8398" max="8398" width="16.21875" style="9" customWidth="1"/>
    <col min="8399" max="8410" width="9.6640625" style="9"/>
    <col min="8411" max="8411" width="12" style="9" customWidth="1"/>
    <col min="8412" max="8412" width="12.77734375" style="9" customWidth="1"/>
    <col min="8413" max="8413" width="11.109375" style="9" customWidth="1"/>
    <col min="8414" max="8414" width="12" style="9" customWidth="1"/>
    <col min="8415" max="8415" width="9.6640625" style="9"/>
    <col min="8416" max="8416" width="15.33203125" style="9" customWidth="1"/>
    <col min="8417" max="8417" width="15.21875" style="9" customWidth="1"/>
    <col min="8418" max="8418" width="21.44140625" style="9" customWidth="1"/>
    <col min="8419" max="8434" width="9.6640625" style="9"/>
    <col min="8435" max="8436" width="13.44140625" style="9" customWidth="1"/>
    <col min="8437" max="8437" width="9.6640625" style="9"/>
    <col min="8438" max="8438" width="13.88671875" style="9" customWidth="1"/>
    <col min="8439" max="8439" width="10.6640625" style="9" customWidth="1"/>
    <col min="8440" max="8440" width="17.33203125" style="9" customWidth="1"/>
    <col min="8441" max="8442" width="12.6640625" style="9" customWidth="1"/>
    <col min="8443" max="8443" width="11.21875" style="9" customWidth="1"/>
    <col min="8444" max="8444" width="18.33203125" style="9" customWidth="1"/>
    <col min="8445" max="8445" width="12.88671875" style="9" customWidth="1"/>
    <col min="8446" max="8447" width="13.21875" style="9" customWidth="1"/>
    <col min="8448" max="8448" width="10.88671875" style="9" customWidth="1"/>
    <col min="8449" max="8449" width="11.109375" style="9" customWidth="1"/>
    <col min="8450" max="8450" width="15.21875" style="9" customWidth="1"/>
    <col min="8451" max="8451" width="9.6640625" style="9"/>
    <col min="8452" max="8452" width="11" style="9" customWidth="1"/>
    <col min="8453" max="8453" width="10.77734375" style="9" customWidth="1"/>
    <col min="8454" max="8454" width="11.44140625" style="9" customWidth="1"/>
    <col min="8455" max="8455" width="4" style="9" customWidth="1"/>
    <col min="8456" max="8646" width="9.6640625" style="9"/>
    <col min="8647" max="8647" width="6.44140625" style="9" customWidth="1"/>
    <col min="8648" max="8648" width="13.88671875" style="9" customWidth="1"/>
    <col min="8649" max="8649" width="11.88671875" style="9" customWidth="1"/>
    <col min="8650" max="8652" width="9.6640625" style="9"/>
    <col min="8653" max="8653" width="15.44140625" style="9" customWidth="1"/>
    <col min="8654" max="8654" width="16.21875" style="9" customWidth="1"/>
    <col min="8655" max="8666" width="9.6640625" style="9"/>
    <col min="8667" max="8667" width="12" style="9" customWidth="1"/>
    <col min="8668" max="8668" width="12.77734375" style="9" customWidth="1"/>
    <col min="8669" max="8669" width="11.109375" style="9" customWidth="1"/>
    <col min="8670" max="8670" width="12" style="9" customWidth="1"/>
    <col min="8671" max="8671" width="9.6640625" style="9"/>
    <col min="8672" max="8672" width="15.33203125" style="9" customWidth="1"/>
    <col min="8673" max="8673" width="15.21875" style="9" customWidth="1"/>
    <col min="8674" max="8674" width="21.44140625" style="9" customWidth="1"/>
    <col min="8675" max="8690" width="9.6640625" style="9"/>
    <col min="8691" max="8692" width="13.44140625" style="9" customWidth="1"/>
    <col min="8693" max="8693" width="9.6640625" style="9"/>
    <col min="8694" max="8694" width="13.88671875" style="9" customWidth="1"/>
    <col min="8695" max="8695" width="10.6640625" style="9" customWidth="1"/>
    <col min="8696" max="8696" width="17.33203125" style="9" customWidth="1"/>
    <col min="8697" max="8698" width="12.6640625" style="9" customWidth="1"/>
    <col min="8699" max="8699" width="11.21875" style="9" customWidth="1"/>
    <col min="8700" max="8700" width="18.33203125" style="9" customWidth="1"/>
    <col min="8701" max="8701" width="12.88671875" style="9" customWidth="1"/>
    <col min="8702" max="8703" width="13.21875" style="9" customWidth="1"/>
    <col min="8704" max="8704" width="10.88671875" style="9" customWidth="1"/>
    <col min="8705" max="8705" width="11.109375" style="9" customWidth="1"/>
    <col min="8706" max="8706" width="15.21875" style="9" customWidth="1"/>
    <col min="8707" max="8707" width="9.6640625" style="9"/>
    <col min="8708" max="8708" width="11" style="9" customWidth="1"/>
    <col min="8709" max="8709" width="10.77734375" style="9" customWidth="1"/>
    <col min="8710" max="8710" width="11.44140625" style="9" customWidth="1"/>
    <col min="8711" max="8711" width="4" style="9" customWidth="1"/>
    <col min="8712" max="8902" width="9.6640625" style="9"/>
    <col min="8903" max="8903" width="6.44140625" style="9" customWidth="1"/>
    <col min="8904" max="8904" width="13.88671875" style="9" customWidth="1"/>
    <col min="8905" max="8905" width="11.88671875" style="9" customWidth="1"/>
    <col min="8906" max="8908" width="9.6640625" style="9"/>
    <col min="8909" max="8909" width="15.44140625" style="9" customWidth="1"/>
    <col min="8910" max="8910" width="16.21875" style="9" customWidth="1"/>
    <col min="8911" max="8922" width="9.6640625" style="9"/>
    <col min="8923" max="8923" width="12" style="9" customWidth="1"/>
    <col min="8924" max="8924" width="12.77734375" style="9" customWidth="1"/>
    <col min="8925" max="8925" width="11.109375" style="9" customWidth="1"/>
    <col min="8926" max="8926" width="12" style="9" customWidth="1"/>
    <col min="8927" max="8927" width="9.6640625" style="9"/>
    <col min="8928" max="8928" width="15.33203125" style="9" customWidth="1"/>
    <col min="8929" max="8929" width="15.21875" style="9" customWidth="1"/>
    <col min="8930" max="8930" width="21.44140625" style="9" customWidth="1"/>
    <col min="8931" max="8946" width="9.6640625" style="9"/>
    <col min="8947" max="8948" width="13.44140625" style="9" customWidth="1"/>
    <col min="8949" max="8949" width="9.6640625" style="9"/>
    <col min="8950" max="8950" width="13.88671875" style="9" customWidth="1"/>
    <col min="8951" max="8951" width="10.6640625" style="9" customWidth="1"/>
    <col min="8952" max="8952" width="17.33203125" style="9" customWidth="1"/>
    <col min="8953" max="8954" width="12.6640625" style="9" customWidth="1"/>
    <col min="8955" max="8955" width="11.21875" style="9" customWidth="1"/>
    <col min="8956" max="8956" width="18.33203125" style="9" customWidth="1"/>
    <col min="8957" max="8957" width="12.88671875" style="9" customWidth="1"/>
    <col min="8958" max="8959" width="13.21875" style="9" customWidth="1"/>
    <col min="8960" max="8960" width="10.88671875" style="9" customWidth="1"/>
    <col min="8961" max="8961" width="11.109375" style="9" customWidth="1"/>
    <col min="8962" max="8962" width="15.21875" style="9" customWidth="1"/>
    <col min="8963" max="8963" width="9.6640625" style="9"/>
    <col min="8964" max="8964" width="11" style="9" customWidth="1"/>
    <col min="8965" max="8965" width="10.77734375" style="9" customWidth="1"/>
    <col min="8966" max="8966" width="11.44140625" style="9" customWidth="1"/>
    <col min="8967" max="8967" width="4" style="9" customWidth="1"/>
    <col min="8968" max="9158" width="9.6640625" style="9"/>
    <col min="9159" max="9159" width="6.44140625" style="9" customWidth="1"/>
    <col min="9160" max="9160" width="13.88671875" style="9" customWidth="1"/>
    <col min="9161" max="9161" width="11.88671875" style="9" customWidth="1"/>
    <col min="9162" max="9164" width="9.6640625" style="9"/>
    <col min="9165" max="9165" width="15.44140625" style="9" customWidth="1"/>
    <col min="9166" max="9166" width="16.21875" style="9" customWidth="1"/>
    <col min="9167" max="9178" width="9.6640625" style="9"/>
    <col min="9179" max="9179" width="12" style="9" customWidth="1"/>
    <col min="9180" max="9180" width="12.77734375" style="9" customWidth="1"/>
    <col min="9181" max="9181" width="11.109375" style="9" customWidth="1"/>
    <col min="9182" max="9182" width="12" style="9" customWidth="1"/>
    <col min="9183" max="9183" width="9.6640625" style="9"/>
    <col min="9184" max="9184" width="15.33203125" style="9" customWidth="1"/>
    <col min="9185" max="9185" width="15.21875" style="9" customWidth="1"/>
    <col min="9186" max="9186" width="21.44140625" style="9" customWidth="1"/>
    <col min="9187" max="9202" width="9.6640625" style="9"/>
    <col min="9203" max="9204" width="13.44140625" style="9" customWidth="1"/>
    <col min="9205" max="9205" width="9.6640625" style="9"/>
    <col min="9206" max="9206" width="13.88671875" style="9" customWidth="1"/>
    <col min="9207" max="9207" width="10.6640625" style="9" customWidth="1"/>
    <col min="9208" max="9208" width="17.33203125" style="9" customWidth="1"/>
    <col min="9209" max="9210" width="12.6640625" style="9" customWidth="1"/>
    <col min="9211" max="9211" width="11.21875" style="9" customWidth="1"/>
    <col min="9212" max="9212" width="18.33203125" style="9" customWidth="1"/>
    <col min="9213" max="9213" width="12.88671875" style="9" customWidth="1"/>
    <col min="9214" max="9215" width="13.21875" style="9" customWidth="1"/>
    <col min="9216" max="9216" width="10.88671875" style="9" customWidth="1"/>
    <col min="9217" max="9217" width="11.109375" style="9" customWidth="1"/>
    <col min="9218" max="9218" width="15.21875" style="9" customWidth="1"/>
    <col min="9219" max="9219" width="9.6640625" style="9"/>
    <col min="9220" max="9220" width="11" style="9" customWidth="1"/>
    <col min="9221" max="9221" width="10.77734375" style="9" customWidth="1"/>
    <col min="9222" max="9222" width="11.44140625" style="9" customWidth="1"/>
    <col min="9223" max="9223" width="4" style="9" customWidth="1"/>
    <col min="9224" max="9414" width="9.6640625" style="9"/>
    <col min="9415" max="9415" width="6.44140625" style="9" customWidth="1"/>
    <col min="9416" max="9416" width="13.88671875" style="9" customWidth="1"/>
    <col min="9417" max="9417" width="11.88671875" style="9" customWidth="1"/>
    <col min="9418" max="9420" width="9.6640625" style="9"/>
    <col min="9421" max="9421" width="15.44140625" style="9" customWidth="1"/>
    <col min="9422" max="9422" width="16.21875" style="9" customWidth="1"/>
    <col min="9423" max="9434" width="9.6640625" style="9"/>
    <col min="9435" max="9435" width="12" style="9" customWidth="1"/>
    <col min="9436" max="9436" width="12.77734375" style="9" customWidth="1"/>
    <col min="9437" max="9437" width="11.109375" style="9" customWidth="1"/>
    <col min="9438" max="9438" width="12" style="9" customWidth="1"/>
    <col min="9439" max="9439" width="9.6640625" style="9"/>
    <col min="9440" max="9440" width="15.33203125" style="9" customWidth="1"/>
    <col min="9441" max="9441" width="15.21875" style="9" customWidth="1"/>
    <col min="9442" max="9442" width="21.44140625" style="9" customWidth="1"/>
    <col min="9443" max="9458" width="9.6640625" style="9"/>
    <col min="9459" max="9460" width="13.44140625" style="9" customWidth="1"/>
    <col min="9461" max="9461" width="9.6640625" style="9"/>
    <col min="9462" max="9462" width="13.88671875" style="9" customWidth="1"/>
    <col min="9463" max="9463" width="10.6640625" style="9" customWidth="1"/>
    <col min="9464" max="9464" width="17.33203125" style="9" customWidth="1"/>
    <col min="9465" max="9466" width="12.6640625" style="9" customWidth="1"/>
    <col min="9467" max="9467" width="11.21875" style="9" customWidth="1"/>
    <col min="9468" max="9468" width="18.33203125" style="9" customWidth="1"/>
    <col min="9469" max="9469" width="12.88671875" style="9" customWidth="1"/>
    <col min="9470" max="9471" width="13.21875" style="9" customWidth="1"/>
    <col min="9472" max="9472" width="10.88671875" style="9" customWidth="1"/>
    <col min="9473" max="9473" width="11.109375" style="9" customWidth="1"/>
    <col min="9474" max="9474" width="15.21875" style="9" customWidth="1"/>
    <col min="9475" max="9475" width="9.6640625" style="9"/>
    <col min="9476" max="9476" width="11" style="9" customWidth="1"/>
    <col min="9477" max="9477" width="10.77734375" style="9" customWidth="1"/>
    <col min="9478" max="9478" width="11.44140625" style="9" customWidth="1"/>
    <col min="9479" max="9479" width="4" style="9" customWidth="1"/>
    <col min="9480" max="9670" width="9.6640625" style="9"/>
    <col min="9671" max="9671" width="6.44140625" style="9" customWidth="1"/>
    <col min="9672" max="9672" width="13.88671875" style="9" customWidth="1"/>
    <col min="9673" max="9673" width="11.88671875" style="9" customWidth="1"/>
    <col min="9674" max="9676" width="9.6640625" style="9"/>
    <col min="9677" max="9677" width="15.44140625" style="9" customWidth="1"/>
    <col min="9678" max="9678" width="16.21875" style="9" customWidth="1"/>
    <col min="9679" max="9690" width="9.6640625" style="9"/>
    <col min="9691" max="9691" width="12" style="9" customWidth="1"/>
    <col min="9692" max="9692" width="12.77734375" style="9" customWidth="1"/>
    <col min="9693" max="9693" width="11.109375" style="9" customWidth="1"/>
    <col min="9694" max="9694" width="12" style="9" customWidth="1"/>
    <col min="9695" max="9695" width="9.6640625" style="9"/>
    <col min="9696" max="9696" width="15.33203125" style="9" customWidth="1"/>
    <col min="9697" max="9697" width="15.21875" style="9" customWidth="1"/>
    <col min="9698" max="9698" width="21.44140625" style="9" customWidth="1"/>
    <col min="9699" max="9714" width="9.6640625" style="9"/>
    <col min="9715" max="9716" width="13.44140625" style="9" customWidth="1"/>
    <col min="9717" max="9717" width="9.6640625" style="9"/>
    <col min="9718" max="9718" width="13.88671875" style="9" customWidth="1"/>
    <col min="9719" max="9719" width="10.6640625" style="9" customWidth="1"/>
    <col min="9720" max="9720" width="17.33203125" style="9" customWidth="1"/>
    <col min="9721" max="9722" width="12.6640625" style="9" customWidth="1"/>
    <col min="9723" max="9723" width="11.21875" style="9" customWidth="1"/>
    <col min="9724" max="9724" width="18.33203125" style="9" customWidth="1"/>
    <col min="9725" max="9725" width="12.88671875" style="9" customWidth="1"/>
    <col min="9726" max="9727" width="13.21875" style="9" customWidth="1"/>
    <col min="9728" max="9728" width="10.88671875" style="9" customWidth="1"/>
    <col min="9729" max="9729" width="11.109375" style="9" customWidth="1"/>
    <col min="9730" max="9730" width="15.21875" style="9" customWidth="1"/>
    <col min="9731" max="9731" width="9.6640625" style="9"/>
    <col min="9732" max="9732" width="11" style="9" customWidth="1"/>
    <col min="9733" max="9733" width="10.77734375" style="9" customWidth="1"/>
    <col min="9734" max="9734" width="11.44140625" style="9" customWidth="1"/>
    <col min="9735" max="9735" width="4" style="9" customWidth="1"/>
    <col min="9736" max="9926" width="9.6640625" style="9"/>
    <col min="9927" max="9927" width="6.44140625" style="9" customWidth="1"/>
    <col min="9928" max="9928" width="13.88671875" style="9" customWidth="1"/>
    <col min="9929" max="9929" width="11.88671875" style="9" customWidth="1"/>
    <col min="9930" max="9932" width="9.6640625" style="9"/>
    <col min="9933" max="9933" width="15.44140625" style="9" customWidth="1"/>
    <col min="9934" max="9934" width="16.21875" style="9" customWidth="1"/>
    <col min="9935" max="9946" width="9.6640625" style="9"/>
    <col min="9947" max="9947" width="12" style="9" customWidth="1"/>
    <col min="9948" max="9948" width="12.77734375" style="9" customWidth="1"/>
    <col min="9949" max="9949" width="11.109375" style="9" customWidth="1"/>
    <col min="9950" max="9950" width="12" style="9" customWidth="1"/>
    <col min="9951" max="9951" width="9.6640625" style="9"/>
    <col min="9952" max="9952" width="15.33203125" style="9" customWidth="1"/>
    <col min="9953" max="9953" width="15.21875" style="9" customWidth="1"/>
    <col min="9954" max="9954" width="21.44140625" style="9" customWidth="1"/>
    <col min="9955" max="9970" width="9.6640625" style="9"/>
    <col min="9971" max="9972" width="13.44140625" style="9" customWidth="1"/>
    <col min="9973" max="9973" width="9.6640625" style="9"/>
    <col min="9974" max="9974" width="13.88671875" style="9" customWidth="1"/>
    <col min="9975" max="9975" width="10.6640625" style="9" customWidth="1"/>
    <col min="9976" max="9976" width="17.33203125" style="9" customWidth="1"/>
    <col min="9977" max="9978" width="12.6640625" style="9" customWidth="1"/>
    <col min="9979" max="9979" width="11.21875" style="9" customWidth="1"/>
    <col min="9980" max="9980" width="18.33203125" style="9" customWidth="1"/>
    <col min="9981" max="9981" width="12.88671875" style="9" customWidth="1"/>
    <col min="9982" max="9983" width="13.21875" style="9" customWidth="1"/>
    <col min="9984" max="9984" width="10.88671875" style="9" customWidth="1"/>
    <col min="9985" max="9985" width="11.109375" style="9" customWidth="1"/>
    <col min="9986" max="9986" width="15.21875" style="9" customWidth="1"/>
    <col min="9987" max="9987" width="9.6640625" style="9"/>
    <col min="9988" max="9988" width="11" style="9" customWidth="1"/>
    <col min="9989" max="9989" width="10.77734375" style="9" customWidth="1"/>
    <col min="9990" max="9990" width="11.44140625" style="9" customWidth="1"/>
    <col min="9991" max="9991" width="4" style="9" customWidth="1"/>
    <col min="9992" max="10182" width="9.6640625" style="9"/>
    <col min="10183" max="10183" width="6.44140625" style="9" customWidth="1"/>
    <col min="10184" max="10184" width="13.88671875" style="9" customWidth="1"/>
    <col min="10185" max="10185" width="11.88671875" style="9" customWidth="1"/>
    <col min="10186" max="10188" width="9.6640625" style="9"/>
    <col min="10189" max="10189" width="15.44140625" style="9" customWidth="1"/>
    <col min="10190" max="10190" width="16.21875" style="9" customWidth="1"/>
    <col min="10191" max="10202" width="9.6640625" style="9"/>
    <col min="10203" max="10203" width="12" style="9" customWidth="1"/>
    <col min="10204" max="10204" width="12.77734375" style="9" customWidth="1"/>
    <col min="10205" max="10205" width="11.109375" style="9" customWidth="1"/>
    <col min="10206" max="10206" width="12" style="9" customWidth="1"/>
    <col min="10207" max="10207" width="9.6640625" style="9"/>
    <col min="10208" max="10208" width="15.33203125" style="9" customWidth="1"/>
    <col min="10209" max="10209" width="15.21875" style="9" customWidth="1"/>
    <col min="10210" max="10210" width="21.44140625" style="9" customWidth="1"/>
    <col min="10211" max="10226" width="9.6640625" style="9"/>
    <col min="10227" max="10228" width="13.44140625" style="9" customWidth="1"/>
    <col min="10229" max="10229" width="9.6640625" style="9"/>
    <col min="10230" max="10230" width="13.88671875" style="9" customWidth="1"/>
    <col min="10231" max="10231" width="10.6640625" style="9" customWidth="1"/>
    <col min="10232" max="10232" width="17.33203125" style="9" customWidth="1"/>
    <col min="10233" max="10234" width="12.6640625" style="9" customWidth="1"/>
    <col min="10235" max="10235" width="11.21875" style="9" customWidth="1"/>
    <col min="10236" max="10236" width="18.33203125" style="9" customWidth="1"/>
    <col min="10237" max="10237" width="12.88671875" style="9" customWidth="1"/>
    <col min="10238" max="10239" width="13.21875" style="9" customWidth="1"/>
    <col min="10240" max="10240" width="10.88671875" style="9" customWidth="1"/>
    <col min="10241" max="10241" width="11.109375" style="9" customWidth="1"/>
    <col min="10242" max="10242" width="15.21875" style="9" customWidth="1"/>
    <col min="10243" max="10243" width="9.6640625" style="9"/>
    <col min="10244" max="10244" width="11" style="9" customWidth="1"/>
    <col min="10245" max="10245" width="10.77734375" style="9" customWidth="1"/>
    <col min="10246" max="10246" width="11.44140625" style="9" customWidth="1"/>
    <col min="10247" max="10247" width="4" style="9" customWidth="1"/>
    <col min="10248" max="10438" width="9.6640625" style="9"/>
    <col min="10439" max="10439" width="6.44140625" style="9" customWidth="1"/>
    <col min="10440" max="10440" width="13.88671875" style="9" customWidth="1"/>
    <col min="10441" max="10441" width="11.88671875" style="9" customWidth="1"/>
    <col min="10442" max="10444" width="9.6640625" style="9"/>
    <col min="10445" max="10445" width="15.44140625" style="9" customWidth="1"/>
    <col min="10446" max="10446" width="16.21875" style="9" customWidth="1"/>
    <col min="10447" max="10458" width="9.6640625" style="9"/>
    <col min="10459" max="10459" width="12" style="9" customWidth="1"/>
    <col min="10460" max="10460" width="12.77734375" style="9" customWidth="1"/>
    <col min="10461" max="10461" width="11.109375" style="9" customWidth="1"/>
    <col min="10462" max="10462" width="12" style="9" customWidth="1"/>
    <col min="10463" max="10463" width="9.6640625" style="9"/>
    <col min="10464" max="10464" width="15.33203125" style="9" customWidth="1"/>
    <col min="10465" max="10465" width="15.21875" style="9" customWidth="1"/>
    <col min="10466" max="10466" width="21.44140625" style="9" customWidth="1"/>
    <col min="10467" max="10482" width="9.6640625" style="9"/>
    <col min="10483" max="10484" width="13.44140625" style="9" customWidth="1"/>
    <col min="10485" max="10485" width="9.6640625" style="9"/>
    <col min="10486" max="10486" width="13.88671875" style="9" customWidth="1"/>
    <col min="10487" max="10487" width="10.6640625" style="9" customWidth="1"/>
    <col min="10488" max="10488" width="17.33203125" style="9" customWidth="1"/>
    <col min="10489" max="10490" width="12.6640625" style="9" customWidth="1"/>
    <col min="10491" max="10491" width="11.21875" style="9" customWidth="1"/>
    <col min="10492" max="10492" width="18.33203125" style="9" customWidth="1"/>
    <col min="10493" max="10493" width="12.88671875" style="9" customWidth="1"/>
    <col min="10494" max="10495" width="13.21875" style="9" customWidth="1"/>
    <col min="10496" max="10496" width="10.88671875" style="9" customWidth="1"/>
    <col min="10497" max="10497" width="11.109375" style="9" customWidth="1"/>
    <col min="10498" max="10498" width="15.21875" style="9" customWidth="1"/>
    <col min="10499" max="10499" width="9.6640625" style="9"/>
    <col min="10500" max="10500" width="11" style="9" customWidth="1"/>
    <col min="10501" max="10501" width="10.77734375" style="9" customWidth="1"/>
    <col min="10502" max="10502" width="11.44140625" style="9" customWidth="1"/>
    <col min="10503" max="10503" width="4" style="9" customWidth="1"/>
    <col min="10504" max="10694" width="9.6640625" style="9"/>
    <col min="10695" max="10695" width="6.44140625" style="9" customWidth="1"/>
    <col min="10696" max="10696" width="13.88671875" style="9" customWidth="1"/>
    <col min="10697" max="10697" width="11.88671875" style="9" customWidth="1"/>
    <col min="10698" max="10700" width="9.6640625" style="9"/>
    <col min="10701" max="10701" width="15.44140625" style="9" customWidth="1"/>
    <col min="10702" max="10702" width="16.21875" style="9" customWidth="1"/>
    <col min="10703" max="10714" width="9.6640625" style="9"/>
    <col min="10715" max="10715" width="12" style="9" customWidth="1"/>
    <col min="10716" max="10716" width="12.77734375" style="9" customWidth="1"/>
    <col min="10717" max="10717" width="11.109375" style="9" customWidth="1"/>
    <col min="10718" max="10718" width="12" style="9" customWidth="1"/>
    <col min="10719" max="10719" width="9.6640625" style="9"/>
    <col min="10720" max="10720" width="15.33203125" style="9" customWidth="1"/>
    <col min="10721" max="10721" width="15.21875" style="9" customWidth="1"/>
    <col min="10722" max="10722" width="21.44140625" style="9" customWidth="1"/>
    <col min="10723" max="10738" width="9.6640625" style="9"/>
    <col min="10739" max="10740" width="13.44140625" style="9" customWidth="1"/>
    <col min="10741" max="10741" width="9.6640625" style="9"/>
    <col min="10742" max="10742" width="13.88671875" style="9" customWidth="1"/>
    <col min="10743" max="10743" width="10.6640625" style="9" customWidth="1"/>
    <col min="10744" max="10744" width="17.33203125" style="9" customWidth="1"/>
    <col min="10745" max="10746" width="12.6640625" style="9" customWidth="1"/>
    <col min="10747" max="10747" width="11.21875" style="9" customWidth="1"/>
    <col min="10748" max="10748" width="18.33203125" style="9" customWidth="1"/>
    <col min="10749" max="10749" width="12.88671875" style="9" customWidth="1"/>
    <col min="10750" max="10751" width="13.21875" style="9" customWidth="1"/>
    <col min="10752" max="10752" width="10.88671875" style="9" customWidth="1"/>
    <col min="10753" max="10753" width="11.109375" style="9" customWidth="1"/>
    <col min="10754" max="10754" width="15.21875" style="9" customWidth="1"/>
    <col min="10755" max="10755" width="9.6640625" style="9"/>
    <col min="10756" max="10756" width="11" style="9" customWidth="1"/>
    <col min="10757" max="10757" width="10.77734375" style="9" customWidth="1"/>
    <col min="10758" max="10758" width="11.44140625" style="9" customWidth="1"/>
    <col min="10759" max="10759" width="4" style="9" customWidth="1"/>
    <col min="10760" max="10950" width="9.6640625" style="9"/>
    <col min="10951" max="10951" width="6.44140625" style="9" customWidth="1"/>
    <col min="10952" max="10952" width="13.88671875" style="9" customWidth="1"/>
    <col min="10953" max="10953" width="11.88671875" style="9" customWidth="1"/>
    <col min="10954" max="10956" width="9.6640625" style="9"/>
    <col min="10957" max="10957" width="15.44140625" style="9" customWidth="1"/>
    <col min="10958" max="10958" width="16.21875" style="9" customWidth="1"/>
    <col min="10959" max="10970" width="9.6640625" style="9"/>
    <col min="10971" max="10971" width="12" style="9" customWidth="1"/>
    <col min="10972" max="10972" width="12.77734375" style="9" customWidth="1"/>
    <col min="10973" max="10973" width="11.109375" style="9" customWidth="1"/>
    <col min="10974" max="10974" width="12" style="9" customWidth="1"/>
    <col min="10975" max="10975" width="9.6640625" style="9"/>
    <col min="10976" max="10976" width="15.33203125" style="9" customWidth="1"/>
    <col min="10977" max="10977" width="15.21875" style="9" customWidth="1"/>
    <col min="10978" max="10978" width="21.44140625" style="9" customWidth="1"/>
    <col min="10979" max="10994" width="9.6640625" style="9"/>
    <col min="10995" max="10996" width="13.44140625" style="9" customWidth="1"/>
    <col min="10997" max="10997" width="9.6640625" style="9"/>
    <col min="10998" max="10998" width="13.88671875" style="9" customWidth="1"/>
    <col min="10999" max="10999" width="10.6640625" style="9" customWidth="1"/>
    <col min="11000" max="11000" width="17.33203125" style="9" customWidth="1"/>
    <col min="11001" max="11002" width="12.6640625" style="9" customWidth="1"/>
    <col min="11003" max="11003" width="11.21875" style="9" customWidth="1"/>
    <col min="11004" max="11004" width="18.33203125" style="9" customWidth="1"/>
    <col min="11005" max="11005" width="12.88671875" style="9" customWidth="1"/>
    <col min="11006" max="11007" width="13.21875" style="9" customWidth="1"/>
    <col min="11008" max="11008" width="10.88671875" style="9" customWidth="1"/>
    <col min="11009" max="11009" width="11.109375" style="9" customWidth="1"/>
    <col min="11010" max="11010" width="15.21875" style="9" customWidth="1"/>
    <col min="11011" max="11011" width="9.6640625" style="9"/>
    <col min="11012" max="11012" width="11" style="9" customWidth="1"/>
    <col min="11013" max="11013" width="10.77734375" style="9" customWidth="1"/>
    <col min="11014" max="11014" width="11.44140625" style="9" customWidth="1"/>
    <col min="11015" max="11015" width="4" style="9" customWidth="1"/>
    <col min="11016" max="11206" width="9.6640625" style="9"/>
    <col min="11207" max="11207" width="6.44140625" style="9" customWidth="1"/>
    <col min="11208" max="11208" width="13.88671875" style="9" customWidth="1"/>
    <col min="11209" max="11209" width="11.88671875" style="9" customWidth="1"/>
    <col min="11210" max="11212" width="9.6640625" style="9"/>
    <col min="11213" max="11213" width="15.44140625" style="9" customWidth="1"/>
    <col min="11214" max="11214" width="16.21875" style="9" customWidth="1"/>
    <col min="11215" max="11226" width="9.6640625" style="9"/>
    <col min="11227" max="11227" width="12" style="9" customWidth="1"/>
    <col min="11228" max="11228" width="12.77734375" style="9" customWidth="1"/>
    <col min="11229" max="11229" width="11.109375" style="9" customWidth="1"/>
    <col min="11230" max="11230" width="12" style="9" customWidth="1"/>
    <col min="11231" max="11231" width="9.6640625" style="9"/>
    <col min="11232" max="11232" width="15.33203125" style="9" customWidth="1"/>
    <col min="11233" max="11233" width="15.21875" style="9" customWidth="1"/>
    <col min="11234" max="11234" width="21.44140625" style="9" customWidth="1"/>
    <col min="11235" max="11250" width="9.6640625" style="9"/>
    <col min="11251" max="11252" width="13.44140625" style="9" customWidth="1"/>
    <col min="11253" max="11253" width="9.6640625" style="9"/>
    <col min="11254" max="11254" width="13.88671875" style="9" customWidth="1"/>
    <col min="11255" max="11255" width="10.6640625" style="9" customWidth="1"/>
    <col min="11256" max="11256" width="17.33203125" style="9" customWidth="1"/>
    <col min="11257" max="11258" width="12.6640625" style="9" customWidth="1"/>
    <col min="11259" max="11259" width="11.21875" style="9" customWidth="1"/>
    <col min="11260" max="11260" width="18.33203125" style="9" customWidth="1"/>
    <col min="11261" max="11261" width="12.88671875" style="9" customWidth="1"/>
    <col min="11262" max="11263" width="13.21875" style="9" customWidth="1"/>
    <col min="11264" max="11264" width="10.88671875" style="9" customWidth="1"/>
    <col min="11265" max="11265" width="11.109375" style="9" customWidth="1"/>
    <col min="11266" max="11266" width="15.21875" style="9" customWidth="1"/>
    <col min="11267" max="11267" width="9.6640625" style="9"/>
    <col min="11268" max="11268" width="11" style="9" customWidth="1"/>
    <col min="11269" max="11269" width="10.77734375" style="9" customWidth="1"/>
    <col min="11270" max="11270" width="11.44140625" style="9" customWidth="1"/>
    <col min="11271" max="11271" width="4" style="9" customWidth="1"/>
    <col min="11272" max="11462" width="9.6640625" style="9"/>
    <col min="11463" max="11463" width="6.44140625" style="9" customWidth="1"/>
    <col min="11464" max="11464" width="13.88671875" style="9" customWidth="1"/>
    <col min="11465" max="11465" width="11.88671875" style="9" customWidth="1"/>
    <col min="11466" max="11468" width="9.6640625" style="9"/>
    <col min="11469" max="11469" width="15.44140625" style="9" customWidth="1"/>
    <col min="11470" max="11470" width="16.21875" style="9" customWidth="1"/>
    <col min="11471" max="11482" width="9.6640625" style="9"/>
    <col min="11483" max="11483" width="12" style="9" customWidth="1"/>
    <col min="11484" max="11484" width="12.77734375" style="9" customWidth="1"/>
    <col min="11485" max="11485" width="11.109375" style="9" customWidth="1"/>
    <col min="11486" max="11486" width="12" style="9" customWidth="1"/>
    <col min="11487" max="11487" width="9.6640625" style="9"/>
    <col min="11488" max="11488" width="15.33203125" style="9" customWidth="1"/>
    <col min="11489" max="11489" width="15.21875" style="9" customWidth="1"/>
    <col min="11490" max="11490" width="21.44140625" style="9" customWidth="1"/>
    <col min="11491" max="11506" width="9.6640625" style="9"/>
    <col min="11507" max="11508" width="13.44140625" style="9" customWidth="1"/>
    <col min="11509" max="11509" width="9.6640625" style="9"/>
    <col min="11510" max="11510" width="13.88671875" style="9" customWidth="1"/>
    <col min="11511" max="11511" width="10.6640625" style="9" customWidth="1"/>
    <col min="11512" max="11512" width="17.33203125" style="9" customWidth="1"/>
    <col min="11513" max="11514" width="12.6640625" style="9" customWidth="1"/>
    <col min="11515" max="11515" width="11.21875" style="9" customWidth="1"/>
    <col min="11516" max="11516" width="18.33203125" style="9" customWidth="1"/>
    <col min="11517" max="11517" width="12.88671875" style="9" customWidth="1"/>
    <col min="11518" max="11519" width="13.21875" style="9" customWidth="1"/>
    <col min="11520" max="11520" width="10.88671875" style="9" customWidth="1"/>
    <col min="11521" max="11521" width="11.109375" style="9" customWidth="1"/>
    <col min="11522" max="11522" width="15.21875" style="9" customWidth="1"/>
    <col min="11523" max="11523" width="9.6640625" style="9"/>
    <col min="11524" max="11524" width="11" style="9" customWidth="1"/>
    <col min="11525" max="11525" width="10.77734375" style="9" customWidth="1"/>
    <col min="11526" max="11526" width="11.44140625" style="9" customWidth="1"/>
    <col min="11527" max="11527" width="4" style="9" customWidth="1"/>
    <col min="11528" max="11718" width="9.6640625" style="9"/>
    <col min="11719" max="11719" width="6.44140625" style="9" customWidth="1"/>
    <col min="11720" max="11720" width="13.88671875" style="9" customWidth="1"/>
    <col min="11721" max="11721" width="11.88671875" style="9" customWidth="1"/>
    <col min="11722" max="11724" width="9.6640625" style="9"/>
    <col min="11725" max="11725" width="15.44140625" style="9" customWidth="1"/>
    <col min="11726" max="11726" width="16.21875" style="9" customWidth="1"/>
    <col min="11727" max="11738" width="9.6640625" style="9"/>
    <col min="11739" max="11739" width="12" style="9" customWidth="1"/>
    <col min="11740" max="11740" width="12.77734375" style="9" customWidth="1"/>
    <col min="11741" max="11741" width="11.109375" style="9" customWidth="1"/>
    <col min="11742" max="11742" width="12" style="9" customWidth="1"/>
    <col min="11743" max="11743" width="9.6640625" style="9"/>
    <col min="11744" max="11744" width="15.33203125" style="9" customWidth="1"/>
    <col min="11745" max="11745" width="15.21875" style="9" customWidth="1"/>
    <col min="11746" max="11746" width="21.44140625" style="9" customWidth="1"/>
    <col min="11747" max="11762" width="9.6640625" style="9"/>
    <col min="11763" max="11764" width="13.44140625" style="9" customWidth="1"/>
    <col min="11765" max="11765" width="9.6640625" style="9"/>
    <col min="11766" max="11766" width="13.88671875" style="9" customWidth="1"/>
    <col min="11767" max="11767" width="10.6640625" style="9" customWidth="1"/>
    <col min="11768" max="11768" width="17.33203125" style="9" customWidth="1"/>
    <col min="11769" max="11770" width="12.6640625" style="9" customWidth="1"/>
    <col min="11771" max="11771" width="11.21875" style="9" customWidth="1"/>
    <col min="11772" max="11772" width="18.33203125" style="9" customWidth="1"/>
    <col min="11773" max="11773" width="12.88671875" style="9" customWidth="1"/>
    <col min="11774" max="11775" width="13.21875" style="9" customWidth="1"/>
    <col min="11776" max="11776" width="10.88671875" style="9" customWidth="1"/>
    <col min="11777" max="11777" width="11.109375" style="9" customWidth="1"/>
    <col min="11778" max="11778" width="15.21875" style="9" customWidth="1"/>
    <col min="11779" max="11779" width="9.6640625" style="9"/>
    <col min="11780" max="11780" width="11" style="9" customWidth="1"/>
    <col min="11781" max="11781" width="10.77734375" style="9" customWidth="1"/>
    <col min="11782" max="11782" width="11.44140625" style="9" customWidth="1"/>
    <col min="11783" max="11783" width="4" style="9" customWidth="1"/>
    <col min="11784" max="11974" width="9.6640625" style="9"/>
    <col min="11975" max="11975" width="6.44140625" style="9" customWidth="1"/>
    <col min="11976" max="11976" width="13.88671875" style="9" customWidth="1"/>
    <col min="11977" max="11977" width="11.88671875" style="9" customWidth="1"/>
    <col min="11978" max="11980" width="9.6640625" style="9"/>
    <col min="11981" max="11981" width="15.44140625" style="9" customWidth="1"/>
    <col min="11982" max="11982" width="16.21875" style="9" customWidth="1"/>
    <col min="11983" max="11994" width="9.6640625" style="9"/>
    <col min="11995" max="11995" width="12" style="9" customWidth="1"/>
    <col min="11996" max="11996" width="12.77734375" style="9" customWidth="1"/>
    <col min="11997" max="11997" width="11.109375" style="9" customWidth="1"/>
    <col min="11998" max="11998" width="12" style="9" customWidth="1"/>
    <col min="11999" max="11999" width="9.6640625" style="9"/>
    <col min="12000" max="12000" width="15.33203125" style="9" customWidth="1"/>
    <col min="12001" max="12001" width="15.21875" style="9" customWidth="1"/>
    <col min="12002" max="12002" width="21.44140625" style="9" customWidth="1"/>
    <col min="12003" max="12018" width="9.6640625" style="9"/>
    <col min="12019" max="12020" width="13.44140625" style="9" customWidth="1"/>
    <col min="12021" max="12021" width="9.6640625" style="9"/>
    <col min="12022" max="12022" width="13.88671875" style="9" customWidth="1"/>
    <col min="12023" max="12023" width="10.6640625" style="9" customWidth="1"/>
    <col min="12024" max="12024" width="17.33203125" style="9" customWidth="1"/>
    <col min="12025" max="12026" width="12.6640625" style="9" customWidth="1"/>
    <col min="12027" max="12027" width="11.21875" style="9" customWidth="1"/>
    <col min="12028" max="12028" width="18.33203125" style="9" customWidth="1"/>
    <col min="12029" max="12029" width="12.88671875" style="9" customWidth="1"/>
    <col min="12030" max="12031" width="13.21875" style="9" customWidth="1"/>
    <col min="12032" max="12032" width="10.88671875" style="9" customWidth="1"/>
    <col min="12033" max="12033" width="11.109375" style="9" customWidth="1"/>
    <col min="12034" max="12034" width="15.21875" style="9" customWidth="1"/>
    <col min="12035" max="12035" width="9.6640625" style="9"/>
    <col min="12036" max="12036" width="11" style="9" customWidth="1"/>
    <col min="12037" max="12037" width="10.77734375" style="9" customWidth="1"/>
    <col min="12038" max="12038" width="11.44140625" style="9" customWidth="1"/>
    <col min="12039" max="12039" width="4" style="9" customWidth="1"/>
    <col min="12040" max="12230" width="9.6640625" style="9"/>
    <col min="12231" max="12231" width="6.44140625" style="9" customWidth="1"/>
    <col min="12232" max="12232" width="13.88671875" style="9" customWidth="1"/>
    <col min="12233" max="12233" width="11.88671875" style="9" customWidth="1"/>
    <col min="12234" max="12236" width="9.6640625" style="9"/>
    <col min="12237" max="12237" width="15.44140625" style="9" customWidth="1"/>
    <col min="12238" max="12238" width="16.21875" style="9" customWidth="1"/>
    <col min="12239" max="12250" width="9.6640625" style="9"/>
    <col min="12251" max="12251" width="12" style="9" customWidth="1"/>
    <col min="12252" max="12252" width="12.77734375" style="9" customWidth="1"/>
    <col min="12253" max="12253" width="11.109375" style="9" customWidth="1"/>
    <col min="12254" max="12254" width="12" style="9" customWidth="1"/>
    <col min="12255" max="12255" width="9.6640625" style="9"/>
    <col min="12256" max="12256" width="15.33203125" style="9" customWidth="1"/>
    <col min="12257" max="12257" width="15.21875" style="9" customWidth="1"/>
    <col min="12258" max="12258" width="21.44140625" style="9" customWidth="1"/>
    <col min="12259" max="12274" width="9.6640625" style="9"/>
    <col min="12275" max="12276" width="13.44140625" style="9" customWidth="1"/>
    <col min="12277" max="12277" width="9.6640625" style="9"/>
    <col min="12278" max="12278" width="13.88671875" style="9" customWidth="1"/>
    <col min="12279" max="12279" width="10.6640625" style="9" customWidth="1"/>
    <col min="12280" max="12280" width="17.33203125" style="9" customWidth="1"/>
    <col min="12281" max="12282" width="12.6640625" style="9" customWidth="1"/>
    <col min="12283" max="12283" width="11.21875" style="9" customWidth="1"/>
    <col min="12284" max="12284" width="18.33203125" style="9" customWidth="1"/>
    <col min="12285" max="12285" width="12.88671875" style="9" customWidth="1"/>
    <col min="12286" max="12287" width="13.21875" style="9" customWidth="1"/>
    <col min="12288" max="12288" width="10.88671875" style="9" customWidth="1"/>
    <col min="12289" max="12289" width="11.109375" style="9" customWidth="1"/>
    <col min="12290" max="12290" width="15.21875" style="9" customWidth="1"/>
    <col min="12291" max="12291" width="9.6640625" style="9"/>
    <col min="12292" max="12292" width="11" style="9" customWidth="1"/>
    <col min="12293" max="12293" width="10.77734375" style="9" customWidth="1"/>
    <col min="12294" max="12294" width="11.44140625" style="9" customWidth="1"/>
    <col min="12295" max="12295" width="4" style="9" customWidth="1"/>
    <col min="12296" max="12486" width="9.6640625" style="9"/>
    <col min="12487" max="12487" width="6.44140625" style="9" customWidth="1"/>
    <col min="12488" max="12488" width="13.88671875" style="9" customWidth="1"/>
    <col min="12489" max="12489" width="11.88671875" style="9" customWidth="1"/>
    <col min="12490" max="12492" width="9.6640625" style="9"/>
    <col min="12493" max="12493" width="15.44140625" style="9" customWidth="1"/>
    <col min="12494" max="12494" width="16.21875" style="9" customWidth="1"/>
    <col min="12495" max="12506" width="9.6640625" style="9"/>
    <col min="12507" max="12507" width="12" style="9" customWidth="1"/>
    <col min="12508" max="12508" width="12.77734375" style="9" customWidth="1"/>
    <col min="12509" max="12509" width="11.109375" style="9" customWidth="1"/>
    <col min="12510" max="12510" width="12" style="9" customWidth="1"/>
    <col min="12511" max="12511" width="9.6640625" style="9"/>
    <col min="12512" max="12512" width="15.33203125" style="9" customWidth="1"/>
    <col min="12513" max="12513" width="15.21875" style="9" customWidth="1"/>
    <col min="12514" max="12514" width="21.44140625" style="9" customWidth="1"/>
    <col min="12515" max="12530" width="9.6640625" style="9"/>
    <col min="12531" max="12532" width="13.44140625" style="9" customWidth="1"/>
    <col min="12533" max="12533" width="9.6640625" style="9"/>
    <col min="12534" max="12534" width="13.88671875" style="9" customWidth="1"/>
    <col min="12535" max="12535" width="10.6640625" style="9" customWidth="1"/>
    <col min="12536" max="12536" width="17.33203125" style="9" customWidth="1"/>
    <col min="12537" max="12538" width="12.6640625" style="9" customWidth="1"/>
    <col min="12539" max="12539" width="11.21875" style="9" customWidth="1"/>
    <col min="12540" max="12540" width="18.33203125" style="9" customWidth="1"/>
    <col min="12541" max="12541" width="12.88671875" style="9" customWidth="1"/>
    <col min="12542" max="12543" width="13.21875" style="9" customWidth="1"/>
    <col min="12544" max="12544" width="10.88671875" style="9" customWidth="1"/>
    <col min="12545" max="12545" width="11.109375" style="9" customWidth="1"/>
    <col min="12546" max="12546" width="15.21875" style="9" customWidth="1"/>
    <col min="12547" max="12547" width="9.6640625" style="9"/>
    <col min="12548" max="12548" width="11" style="9" customWidth="1"/>
    <col min="12549" max="12549" width="10.77734375" style="9" customWidth="1"/>
    <col min="12550" max="12550" width="11.44140625" style="9" customWidth="1"/>
    <col min="12551" max="12551" width="4" style="9" customWidth="1"/>
    <col min="12552" max="12742" width="9.6640625" style="9"/>
    <col min="12743" max="12743" width="6.44140625" style="9" customWidth="1"/>
    <col min="12744" max="12744" width="13.88671875" style="9" customWidth="1"/>
    <col min="12745" max="12745" width="11.88671875" style="9" customWidth="1"/>
    <col min="12746" max="12748" width="9.6640625" style="9"/>
    <col min="12749" max="12749" width="15.44140625" style="9" customWidth="1"/>
    <col min="12750" max="12750" width="16.21875" style="9" customWidth="1"/>
    <col min="12751" max="12762" width="9.6640625" style="9"/>
    <col min="12763" max="12763" width="12" style="9" customWidth="1"/>
    <col min="12764" max="12764" width="12.77734375" style="9" customWidth="1"/>
    <col min="12765" max="12765" width="11.109375" style="9" customWidth="1"/>
    <col min="12766" max="12766" width="12" style="9" customWidth="1"/>
    <col min="12767" max="12767" width="9.6640625" style="9"/>
    <col min="12768" max="12768" width="15.33203125" style="9" customWidth="1"/>
    <col min="12769" max="12769" width="15.21875" style="9" customWidth="1"/>
    <col min="12770" max="12770" width="21.44140625" style="9" customWidth="1"/>
    <col min="12771" max="12786" width="9.6640625" style="9"/>
    <col min="12787" max="12788" width="13.44140625" style="9" customWidth="1"/>
    <col min="12789" max="12789" width="9.6640625" style="9"/>
    <col min="12790" max="12790" width="13.88671875" style="9" customWidth="1"/>
    <col min="12791" max="12791" width="10.6640625" style="9" customWidth="1"/>
    <col min="12792" max="12792" width="17.33203125" style="9" customWidth="1"/>
    <col min="12793" max="12794" width="12.6640625" style="9" customWidth="1"/>
    <col min="12795" max="12795" width="11.21875" style="9" customWidth="1"/>
    <col min="12796" max="12796" width="18.33203125" style="9" customWidth="1"/>
    <col min="12797" max="12797" width="12.88671875" style="9" customWidth="1"/>
    <col min="12798" max="12799" width="13.21875" style="9" customWidth="1"/>
    <col min="12800" max="12800" width="10.88671875" style="9" customWidth="1"/>
    <col min="12801" max="12801" width="11.109375" style="9" customWidth="1"/>
    <col min="12802" max="12802" width="15.21875" style="9" customWidth="1"/>
    <col min="12803" max="12803" width="9.6640625" style="9"/>
    <col min="12804" max="12804" width="11" style="9" customWidth="1"/>
    <col min="12805" max="12805" width="10.77734375" style="9" customWidth="1"/>
    <col min="12806" max="12806" width="11.44140625" style="9" customWidth="1"/>
    <col min="12807" max="12807" width="4" style="9" customWidth="1"/>
    <col min="12808" max="12998" width="9.6640625" style="9"/>
    <col min="12999" max="12999" width="6.44140625" style="9" customWidth="1"/>
    <col min="13000" max="13000" width="13.88671875" style="9" customWidth="1"/>
    <col min="13001" max="13001" width="11.88671875" style="9" customWidth="1"/>
    <col min="13002" max="13004" width="9.6640625" style="9"/>
    <col min="13005" max="13005" width="15.44140625" style="9" customWidth="1"/>
    <col min="13006" max="13006" width="16.21875" style="9" customWidth="1"/>
    <col min="13007" max="13018" width="9.6640625" style="9"/>
    <col min="13019" max="13019" width="12" style="9" customWidth="1"/>
    <col min="13020" max="13020" width="12.77734375" style="9" customWidth="1"/>
    <col min="13021" max="13021" width="11.109375" style="9" customWidth="1"/>
    <col min="13022" max="13022" width="12" style="9" customWidth="1"/>
    <col min="13023" max="13023" width="9.6640625" style="9"/>
    <col min="13024" max="13024" width="15.33203125" style="9" customWidth="1"/>
    <col min="13025" max="13025" width="15.21875" style="9" customWidth="1"/>
    <col min="13026" max="13026" width="21.44140625" style="9" customWidth="1"/>
    <col min="13027" max="13042" width="9.6640625" style="9"/>
    <col min="13043" max="13044" width="13.44140625" style="9" customWidth="1"/>
    <col min="13045" max="13045" width="9.6640625" style="9"/>
    <col min="13046" max="13046" width="13.88671875" style="9" customWidth="1"/>
    <col min="13047" max="13047" width="10.6640625" style="9" customWidth="1"/>
    <col min="13048" max="13048" width="17.33203125" style="9" customWidth="1"/>
    <col min="13049" max="13050" width="12.6640625" style="9" customWidth="1"/>
    <col min="13051" max="13051" width="11.21875" style="9" customWidth="1"/>
    <col min="13052" max="13052" width="18.33203125" style="9" customWidth="1"/>
    <col min="13053" max="13053" width="12.88671875" style="9" customWidth="1"/>
    <col min="13054" max="13055" width="13.21875" style="9" customWidth="1"/>
    <col min="13056" max="13056" width="10.88671875" style="9" customWidth="1"/>
    <col min="13057" max="13057" width="11.109375" style="9" customWidth="1"/>
    <col min="13058" max="13058" width="15.21875" style="9" customWidth="1"/>
    <col min="13059" max="13059" width="9.6640625" style="9"/>
    <col min="13060" max="13060" width="11" style="9" customWidth="1"/>
    <col min="13061" max="13061" width="10.77734375" style="9" customWidth="1"/>
    <col min="13062" max="13062" width="11.44140625" style="9" customWidth="1"/>
    <col min="13063" max="13063" width="4" style="9" customWidth="1"/>
    <col min="13064" max="13254" width="9.6640625" style="9"/>
    <col min="13255" max="13255" width="6.44140625" style="9" customWidth="1"/>
    <col min="13256" max="13256" width="13.88671875" style="9" customWidth="1"/>
    <col min="13257" max="13257" width="11.88671875" style="9" customWidth="1"/>
    <col min="13258" max="13260" width="9.6640625" style="9"/>
    <col min="13261" max="13261" width="15.44140625" style="9" customWidth="1"/>
    <col min="13262" max="13262" width="16.21875" style="9" customWidth="1"/>
    <col min="13263" max="13274" width="9.6640625" style="9"/>
    <col min="13275" max="13275" width="12" style="9" customWidth="1"/>
    <col min="13276" max="13276" width="12.77734375" style="9" customWidth="1"/>
    <col min="13277" max="13277" width="11.109375" style="9" customWidth="1"/>
    <col min="13278" max="13278" width="12" style="9" customWidth="1"/>
    <col min="13279" max="13279" width="9.6640625" style="9"/>
    <col min="13280" max="13280" width="15.33203125" style="9" customWidth="1"/>
    <col min="13281" max="13281" width="15.21875" style="9" customWidth="1"/>
    <col min="13282" max="13282" width="21.44140625" style="9" customWidth="1"/>
    <col min="13283" max="13298" width="9.6640625" style="9"/>
    <col min="13299" max="13300" width="13.44140625" style="9" customWidth="1"/>
    <col min="13301" max="13301" width="9.6640625" style="9"/>
    <col min="13302" max="13302" width="13.88671875" style="9" customWidth="1"/>
    <col min="13303" max="13303" width="10.6640625" style="9" customWidth="1"/>
    <col min="13304" max="13304" width="17.33203125" style="9" customWidth="1"/>
    <col min="13305" max="13306" width="12.6640625" style="9" customWidth="1"/>
    <col min="13307" max="13307" width="11.21875" style="9" customWidth="1"/>
    <col min="13308" max="13308" width="18.33203125" style="9" customWidth="1"/>
    <col min="13309" max="13309" width="12.88671875" style="9" customWidth="1"/>
    <col min="13310" max="13311" width="13.21875" style="9" customWidth="1"/>
    <col min="13312" max="13312" width="10.88671875" style="9" customWidth="1"/>
    <col min="13313" max="13313" width="11.109375" style="9" customWidth="1"/>
    <col min="13314" max="13314" width="15.21875" style="9" customWidth="1"/>
    <col min="13315" max="13315" width="9.6640625" style="9"/>
    <col min="13316" max="13316" width="11" style="9" customWidth="1"/>
    <col min="13317" max="13317" width="10.77734375" style="9" customWidth="1"/>
    <col min="13318" max="13318" width="11.44140625" style="9" customWidth="1"/>
    <col min="13319" max="13319" width="4" style="9" customWidth="1"/>
    <col min="13320" max="13510" width="9.6640625" style="9"/>
    <col min="13511" max="13511" width="6.44140625" style="9" customWidth="1"/>
    <col min="13512" max="13512" width="13.88671875" style="9" customWidth="1"/>
    <col min="13513" max="13513" width="11.88671875" style="9" customWidth="1"/>
    <col min="13514" max="13516" width="9.6640625" style="9"/>
    <col min="13517" max="13517" width="15.44140625" style="9" customWidth="1"/>
    <col min="13518" max="13518" width="16.21875" style="9" customWidth="1"/>
    <col min="13519" max="13530" width="9.6640625" style="9"/>
    <col min="13531" max="13531" width="12" style="9" customWidth="1"/>
    <col min="13532" max="13532" width="12.77734375" style="9" customWidth="1"/>
    <col min="13533" max="13533" width="11.109375" style="9" customWidth="1"/>
    <col min="13534" max="13534" width="12" style="9" customWidth="1"/>
    <col min="13535" max="13535" width="9.6640625" style="9"/>
    <col min="13536" max="13536" width="15.33203125" style="9" customWidth="1"/>
    <col min="13537" max="13537" width="15.21875" style="9" customWidth="1"/>
    <col min="13538" max="13538" width="21.44140625" style="9" customWidth="1"/>
    <col min="13539" max="13554" width="9.6640625" style="9"/>
    <col min="13555" max="13556" width="13.44140625" style="9" customWidth="1"/>
    <col min="13557" max="13557" width="9.6640625" style="9"/>
    <col min="13558" max="13558" width="13.88671875" style="9" customWidth="1"/>
    <col min="13559" max="13559" width="10.6640625" style="9" customWidth="1"/>
    <col min="13560" max="13560" width="17.33203125" style="9" customWidth="1"/>
    <col min="13561" max="13562" width="12.6640625" style="9" customWidth="1"/>
    <col min="13563" max="13563" width="11.21875" style="9" customWidth="1"/>
    <col min="13564" max="13564" width="18.33203125" style="9" customWidth="1"/>
    <col min="13565" max="13565" width="12.88671875" style="9" customWidth="1"/>
    <col min="13566" max="13567" width="13.21875" style="9" customWidth="1"/>
    <col min="13568" max="13568" width="10.88671875" style="9" customWidth="1"/>
    <col min="13569" max="13569" width="11.109375" style="9" customWidth="1"/>
    <col min="13570" max="13570" width="15.21875" style="9" customWidth="1"/>
    <col min="13571" max="13571" width="9.6640625" style="9"/>
    <col min="13572" max="13572" width="11" style="9" customWidth="1"/>
    <col min="13573" max="13573" width="10.77734375" style="9" customWidth="1"/>
    <col min="13574" max="13574" width="11.44140625" style="9" customWidth="1"/>
    <col min="13575" max="13575" width="4" style="9" customWidth="1"/>
    <col min="13576" max="13766" width="9.6640625" style="9"/>
    <col min="13767" max="13767" width="6.44140625" style="9" customWidth="1"/>
    <col min="13768" max="13768" width="13.88671875" style="9" customWidth="1"/>
    <col min="13769" max="13769" width="11.88671875" style="9" customWidth="1"/>
    <col min="13770" max="13772" width="9.6640625" style="9"/>
    <col min="13773" max="13773" width="15.44140625" style="9" customWidth="1"/>
    <col min="13774" max="13774" width="16.21875" style="9" customWidth="1"/>
    <col min="13775" max="13786" width="9.6640625" style="9"/>
    <col min="13787" max="13787" width="12" style="9" customWidth="1"/>
    <col min="13788" max="13788" width="12.77734375" style="9" customWidth="1"/>
    <col min="13789" max="13789" width="11.109375" style="9" customWidth="1"/>
    <col min="13790" max="13790" width="12" style="9" customWidth="1"/>
    <col min="13791" max="13791" width="9.6640625" style="9"/>
    <col min="13792" max="13792" width="15.33203125" style="9" customWidth="1"/>
    <col min="13793" max="13793" width="15.21875" style="9" customWidth="1"/>
    <col min="13794" max="13794" width="21.44140625" style="9" customWidth="1"/>
    <col min="13795" max="13810" width="9.6640625" style="9"/>
    <col min="13811" max="13812" width="13.44140625" style="9" customWidth="1"/>
    <col min="13813" max="13813" width="9.6640625" style="9"/>
    <col min="13814" max="13814" width="13.88671875" style="9" customWidth="1"/>
    <col min="13815" max="13815" width="10.6640625" style="9" customWidth="1"/>
    <col min="13816" max="13816" width="17.33203125" style="9" customWidth="1"/>
    <col min="13817" max="13818" width="12.6640625" style="9" customWidth="1"/>
    <col min="13819" max="13819" width="11.21875" style="9" customWidth="1"/>
    <col min="13820" max="13820" width="18.33203125" style="9" customWidth="1"/>
    <col min="13821" max="13821" width="12.88671875" style="9" customWidth="1"/>
    <col min="13822" max="13823" width="13.21875" style="9" customWidth="1"/>
    <col min="13824" max="13824" width="10.88671875" style="9" customWidth="1"/>
    <col min="13825" max="13825" width="11.109375" style="9" customWidth="1"/>
    <col min="13826" max="13826" width="15.21875" style="9" customWidth="1"/>
    <col min="13827" max="13827" width="9.6640625" style="9"/>
    <col min="13828" max="13828" width="11" style="9" customWidth="1"/>
    <col min="13829" max="13829" width="10.77734375" style="9" customWidth="1"/>
    <col min="13830" max="13830" width="11.44140625" style="9" customWidth="1"/>
    <col min="13831" max="13831" width="4" style="9" customWidth="1"/>
    <col min="13832" max="14022" width="9.6640625" style="9"/>
    <col min="14023" max="14023" width="6.44140625" style="9" customWidth="1"/>
    <col min="14024" max="14024" width="13.88671875" style="9" customWidth="1"/>
    <col min="14025" max="14025" width="11.88671875" style="9" customWidth="1"/>
    <col min="14026" max="14028" width="9.6640625" style="9"/>
    <col min="14029" max="14029" width="15.44140625" style="9" customWidth="1"/>
    <col min="14030" max="14030" width="16.21875" style="9" customWidth="1"/>
    <col min="14031" max="14042" width="9.6640625" style="9"/>
    <col min="14043" max="14043" width="12" style="9" customWidth="1"/>
    <col min="14044" max="14044" width="12.77734375" style="9" customWidth="1"/>
    <col min="14045" max="14045" width="11.109375" style="9" customWidth="1"/>
    <col min="14046" max="14046" width="12" style="9" customWidth="1"/>
    <col min="14047" max="14047" width="9.6640625" style="9"/>
    <col min="14048" max="14048" width="15.33203125" style="9" customWidth="1"/>
    <col min="14049" max="14049" width="15.21875" style="9" customWidth="1"/>
    <col min="14050" max="14050" width="21.44140625" style="9" customWidth="1"/>
    <col min="14051" max="14066" width="9.6640625" style="9"/>
    <col min="14067" max="14068" width="13.44140625" style="9" customWidth="1"/>
    <col min="14069" max="14069" width="9.6640625" style="9"/>
    <col min="14070" max="14070" width="13.88671875" style="9" customWidth="1"/>
    <col min="14071" max="14071" width="10.6640625" style="9" customWidth="1"/>
    <col min="14072" max="14072" width="17.33203125" style="9" customWidth="1"/>
    <col min="14073" max="14074" width="12.6640625" style="9" customWidth="1"/>
    <col min="14075" max="14075" width="11.21875" style="9" customWidth="1"/>
    <col min="14076" max="14076" width="18.33203125" style="9" customWidth="1"/>
    <col min="14077" max="14077" width="12.88671875" style="9" customWidth="1"/>
    <col min="14078" max="14079" width="13.21875" style="9" customWidth="1"/>
    <col min="14080" max="14080" width="10.88671875" style="9" customWidth="1"/>
    <col min="14081" max="14081" width="11.109375" style="9" customWidth="1"/>
    <col min="14082" max="14082" width="15.21875" style="9" customWidth="1"/>
    <col min="14083" max="14083" width="9.6640625" style="9"/>
    <col min="14084" max="14084" width="11" style="9" customWidth="1"/>
    <col min="14085" max="14085" width="10.77734375" style="9" customWidth="1"/>
    <col min="14086" max="14086" width="11.44140625" style="9" customWidth="1"/>
    <col min="14087" max="14087" width="4" style="9" customWidth="1"/>
    <col min="14088" max="14278" width="9.6640625" style="9"/>
    <col min="14279" max="14279" width="6.44140625" style="9" customWidth="1"/>
    <col min="14280" max="14280" width="13.88671875" style="9" customWidth="1"/>
    <col min="14281" max="14281" width="11.88671875" style="9" customWidth="1"/>
    <col min="14282" max="14284" width="9.6640625" style="9"/>
    <col min="14285" max="14285" width="15.44140625" style="9" customWidth="1"/>
    <col min="14286" max="14286" width="16.21875" style="9" customWidth="1"/>
    <col min="14287" max="14298" width="9.6640625" style="9"/>
    <col min="14299" max="14299" width="12" style="9" customWidth="1"/>
    <col min="14300" max="14300" width="12.77734375" style="9" customWidth="1"/>
    <col min="14301" max="14301" width="11.109375" style="9" customWidth="1"/>
    <col min="14302" max="14302" width="12" style="9" customWidth="1"/>
    <col min="14303" max="14303" width="9.6640625" style="9"/>
    <col min="14304" max="14304" width="15.33203125" style="9" customWidth="1"/>
    <col min="14305" max="14305" width="15.21875" style="9" customWidth="1"/>
    <col min="14306" max="14306" width="21.44140625" style="9" customWidth="1"/>
    <col min="14307" max="14322" width="9.6640625" style="9"/>
    <col min="14323" max="14324" width="13.44140625" style="9" customWidth="1"/>
    <col min="14325" max="14325" width="9.6640625" style="9"/>
    <col min="14326" max="14326" width="13.88671875" style="9" customWidth="1"/>
    <col min="14327" max="14327" width="10.6640625" style="9" customWidth="1"/>
    <col min="14328" max="14328" width="17.33203125" style="9" customWidth="1"/>
    <col min="14329" max="14330" width="12.6640625" style="9" customWidth="1"/>
    <col min="14331" max="14331" width="11.21875" style="9" customWidth="1"/>
    <col min="14332" max="14332" width="18.33203125" style="9" customWidth="1"/>
    <col min="14333" max="14333" width="12.88671875" style="9" customWidth="1"/>
    <col min="14334" max="14335" width="13.21875" style="9" customWidth="1"/>
    <col min="14336" max="14336" width="10.88671875" style="9" customWidth="1"/>
    <col min="14337" max="14337" width="11.109375" style="9" customWidth="1"/>
    <col min="14338" max="14338" width="15.21875" style="9" customWidth="1"/>
    <col min="14339" max="14339" width="9.6640625" style="9"/>
    <col min="14340" max="14340" width="11" style="9" customWidth="1"/>
    <col min="14341" max="14341" width="10.77734375" style="9" customWidth="1"/>
    <col min="14342" max="14342" width="11.44140625" style="9" customWidth="1"/>
    <col min="14343" max="14343" width="4" style="9" customWidth="1"/>
    <col min="14344" max="14534" width="9.6640625" style="9"/>
    <col min="14535" max="14535" width="6.44140625" style="9" customWidth="1"/>
    <col min="14536" max="14536" width="13.88671875" style="9" customWidth="1"/>
    <col min="14537" max="14537" width="11.88671875" style="9" customWidth="1"/>
    <col min="14538" max="14540" width="9.6640625" style="9"/>
    <col min="14541" max="14541" width="15.44140625" style="9" customWidth="1"/>
    <col min="14542" max="14542" width="16.21875" style="9" customWidth="1"/>
    <col min="14543" max="14554" width="9.6640625" style="9"/>
    <col min="14555" max="14555" width="12" style="9" customWidth="1"/>
    <col min="14556" max="14556" width="12.77734375" style="9" customWidth="1"/>
    <col min="14557" max="14557" width="11.109375" style="9" customWidth="1"/>
    <col min="14558" max="14558" width="12" style="9" customWidth="1"/>
    <col min="14559" max="14559" width="9.6640625" style="9"/>
    <col min="14560" max="14560" width="15.33203125" style="9" customWidth="1"/>
    <col min="14561" max="14561" width="15.21875" style="9" customWidth="1"/>
    <col min="14562" max="14562" width="21.44140625" style="9" customWidth="1"/>
    <col min="14563" max="14578" width="9.6640625" style="9"/>
    <col min="14579" max="14580" width="13.44140625" style="9" customWidth="1"/>
    <col min="14581" max="14581" width="9.6640625" style="9"/>
    <col min="14582" max="14582" width="13.88671875" style="9" customWidth="1"/>
    <col min="14583" max="14583" width="10.6640625" style="9" customWidth="1"/>
    <col min="14584" max="14584" width="17.33203125" style="9" customWidth="1"/>
    <col min="14585" max="14586" width="12.6640625" style="9" customWidth="1"/>
    <col min="14587" max="14587" width="11.21875" style="9" customWidth="1"/>
    <col min="14588" max="14588" width="18.33203125" style="9" customWidth="1"/>
    <col min="14589" max="14589" width="12.88671875" style="9" customWidth="1"/>
    <col min="14590" max="14591" width="13.21875" style="9" customWidth="1"/>
    <col min="14592" max="14592" width="10.88671875" style="9" customWidth="1"/>
    <col min="14593" max="14593" width="11.109375" style="9" customWidth="1"/>
    <col min="14594" max="14594" width="15.21875" style="9" customWidth="1"/>
    <col min="14595" max="14595" width="9.6640625" style="9"/>
    <col min="14596" max="14596" width="11" style="9" customWidth="1"/>
    <col min="14597" max="14597" width="10.77734375" style="9" customWidth="1"/>
    <col min="14598" max="14598" width="11.44140625" style="9" customWidth="1"/>
    <col min="14599" max="14599" width="4" style="9" customWidth="1"/>
    <col min="14600" max="14790" width="9.6640625" style="9"/>
    <col min="14791" max="14791" width="6.44140625" style="9" customWidth="1"/>
    <col min="14792" max="14792" width="13.88671875" style="9" customWidth="1"/>
    <col min="14793" max="14793" width="11.88671875" style="9" customWidth="1"/>
    <col min="14794" max="14796" width="9.6640625" style="9"/>
    <col min="14797" max="14797" width="15.44140625" style="9" customWidth="1"/>
    <col min="14798" max="14798" width="16.21875" style="9" customWidth="1"/>
    <col min="14799" max="14810" width="9.6640625" style="9"/>
    <col min="14811" max="14811" width="12" style="9" customWidth="1"/>
    <col min="14812" max="14812" width="12.77734375" style="9" customWidth="1"/>
    <col min="14813" max="14813" width="11.109375" style="9" customWidth="1"/>
    <col min="14814" max="14814" width="12" style="9" customWidth="1"/>
    <col min="14815" max="14815" width="9.6640625" style="9"/>
    <col min="14816" max="14816" width="15.33203125" style="9" customWidth="1"/>
    <col min="14817" max="14817" width="15.21875" style="9" customWidth="1"/>
    <col min="14818" max="14818" width="21.44140625" style="9" customWidth="1"/>
    <col min="14819" max="14834" width="9.6640625" style="9"/>
    <col min="14835" max="14836" width="13.44140625" style="9" customWidth="1"/>
    <col min="14837" max="14837" width="9.6640625" style="9"/>
    <col min="14838" max="14838" width="13.88671875" style="9" customWidth="1"/>
    <col min="14839" max="14839" width="10.6640625" style="9" customWidth="1"/>
    <col min="14840" max="14840" width="17.33203125" style="9" customWidth="1"/>
    <col min="14841" max="14842" width="12.6640625" style="9" customWidth="1"/>
    <col min="14843" max="14843" width="11.21875" style="9" customWidth="1"/>
    <col min="14844" max="14844" width="18.33203125" style="9" customWidth="1"/>
    <col min="14845" max="14845" width="12.88671875" style="9" customWidth="1"/>
    <col min="14846" max="14847" width="13.21875" style="9" customWidth="1"/>
    <col min="14848" max="14848" width="10.88671875" style="9" customWidth="1"/>
    <col min="14849" max="14849" width="11.109375" style="9" customWidth="1"/>
    <col min="14850" max="14850" width="15.21875" style="9" customWidth="1"/>
    <col min="14851" max="14851" width="9.6640625" style="9"/>
    <col min="14852" max="14852" width="11" style="9" customWidth="1"/>
    <col min="14853" max="14853" width="10.77734375" style="9" customWidth="1"/>
    <col min="14854" max="14854" width="11.44140625" style="9" customWidth="1"/>
    <col min="14855" max="14855" width="4" style="9" customWidth="1"/>
    <col min="14856" max="15046" width="9.6640625" style="9"/>
    <col min="15047" max="15047" width="6.44140625" style="9" customWidth="1"/>
    <col min="15048" max="15048" width="13.88671875" style="9" customWidth="1"/>
    <col min="15049" max="15049" width="11.88671875" style="9" customWidth="1"/>
    <col min="15050" max="15052" width="9.6640625" style="9"/>
    <col min="15053" max="15053" width="15.44140625" style="9" customWidth="1"/>
    <col min="15054" max="15054" width="16.21875" style="9" customWidth="1"/>
    <col min="15055" max="15066" width="9.6640625" style="9"/>
    <col min="15067" max="15067" width="12" style="9" customWidth="1"/>
    <col min="15068" max="15068" width="12.77734375" style="9" customWidth="1"/>
    <col min="15069" max="15069" width="11.109375" style="9" customWidth="1"/>
    <col min="15070" max="15070" width="12" style="9" customWidth="1"/>
    <col min="15071" max="15071" width="9.6640625" style="9"/>
    <col min="15072" max="15072" width="15.33203125" style="9" customWidth="1"/>
    <col min="15073" max="15073" width="15.21875" style="9" customWidth="1"/>
    <col min="15074" max="15074" width="21.44140625" style="9" customWidth="1"/>
    <col min="15075" max="15090" width="9.6640625" style="9"/>
    <col min="15091" max="15092" width="13.44140625" style="9" customWidth="1"/>
    <col min="15093" max="15093" width="9.6640625" style="9"/>
    <col min="15094" max="15094" width="13.88671875" style="9" customWidth="1"/>
    <col min="15095" max="15095" width="10.6640625" style="9" customWidth="1"/>
    <col min="15096" max="15096" width="17.33203125" style="9" customWidth="1"/>
    <col min="15097" max="15098" width="12.6640625" style="9" customWidth="1"/>
    <col min="15099" max="15099" width="11.21875" style="9" customWidth="1"/>
    <col min="15100" max="15100" width="18.33203125" style="9" customWidth="1"/>
    <col min="15101" max="15101" width="12.88671875" style="9" customWidth="1"/>
    <col min="15102" max="15103" width="13.21875" style="9" customWidth="1"/>
    <col min="15104" max="15104" width="10.88671875" style="9" customWidth="1"/>
    <col min="15105" max="15105" width="11.109375" style="9" customWidth="1"/>
    <col min="15106" max="15106" width="15.21875" style="9" customWidth="1"/>
    <col min="15107" max="15107" width="9.6640625" style="9"/>
    <col min="15108" max="15108" width="11" style="9" customWidth="1"/>
    <col min="15109" max="15109" width="10.77734375" style="9" customWidth="1"/>
    <col min="15110" max="15110" width="11.44140625" style="9" customWidth="1"/>
    <col min="15111" max="15111" width="4" style="9" customWidth="1"/>
    <col min="15112" max="15302" width="9.6640625" style="9"/>
    <col min="15303" max="15303" width="6.44140625" style="9" customWidth="1"/>
    <col min="15304" max="15304" width="13.88671875" style="9" customWidth="1"/>
    <col min="15305" max="15305" width="11.88671875" style="9" customWidth="1"/>
    <col min="15306" max="15308" width="9.6640625" style="9"/>
    <col min="15309" max="15309" width="15.44140625" style="9" customWidth="1"/>
    <col min="15310" max="15310" width="16.21875" style="9" customWidth="1"/>
    <col min="15311" max="15322" width="9.6640625" style="9"/>
    <col min="15323" max="15323" width="12" style="9" customWidth="1"/>
    <col min="15324" max="15324" width="12.77734375" style="9" customWidth="1"/>
    <col min="15325" max="15325" width="11.109375" style="9" customWidth="1"/>
    <col min="15326" max="15326" width="12" style="9" customWidth="1"/>
    <col min="15327" max="15327" width="9.6640625" style="9"/>
    <col min="15328" max="15328" width="15.33203125" style="9" customWidth="1"/>
    <col min="15329" max="15329" width="15.21875" style="9" customWidth="1"/>
    <col min="15330" max="15330" width="21.44140625" style="9" customWidth="1"/>
    <col min="15331" max="15346" width="9.6640625" style="9"/>
    <col min="15347" max="15348" width="13.44140625" style="9" customWidth="1"/>
    <col min="15349" max="15349" width="9.6640625" style="9"/>
    <col min="15350" max="15350" width="13.88671875" style="9" customWidth="1"/>
    <col min="15351" max="15351" width="10.6640625" style="9" customWidth="1"/>
    <col min="15352" max="15352" width="17.33203125" style="9" customWidth="1"/>
    <col min="15353" max="15354" width="12.6640625" style="9" customWidth="1"/>
    <col min="15355" max="15355" width="11.21875" style="9" customWidth="1"/>
    <col min="15356" max="15356" width="18.33203125" style="9" customWidth="1"/>
    <col min="15357" max="15357" width="12.88671875" style="9" customWidth="1"/>
    <col min="15358" max="15359" width="13.21875" style="9" customWidth="1"/>
    <col min="15360" max="15360" width="10.88671875" style="9" customWidth="1"/>
    <col min="15361" max="15361" width="11.109375" style="9" customWidth="1"/>
    <col min="15362" max="15362" width="15.21875" style="9" customWidth="1"/>
    <col min="15363" max="15363" width="9.6640625" style="9"/>
    <col min="15364" max="15364" width="11" style="9" customWidth="1"/>
    <col min="15365" max="15365" width="10.77734375" style="9" customWidth="1"/>
    <col min="15366" max="15366" width="11.44140625" style="9" customWidth="1"/>
    <col min="15367" max="15367" width="4" style="9" customWidth="1"/>
    <col min="15368" max="15558" width="9.6640625" style="9"/>
    <col min="15559" max="15559" width="6.44140625" style="9" customWidth="1"/>
    <col min="15560" max="15560" width="13.88671875" style="9" customWidth="1"/>
    <col min="15561" max="15561" width="11.88671875" style="9" customWidth="1"/>
    <col min="15562" max="15564" width="9.6640625" style="9"/>
    <col min="15565" max="15565" width="15.44140625" style="9" customWidth="1"/>
    <col min="15566" max="15566" width="16.21875" style="9" customWidth="1"/>
    <col min="15567" max="15578" width="9.6640625" style="9"/>
    <col min="15579" max="15579" width="12" style="9" customWidth="1"/>
    <col min="15580" max="15580" width="12.77734375" style="9" customWidth="1"/>
    <col min="15581" max="15581" width="11.109375" style="9" customWidth="1"/>
    <col min="15582" max="15582" width="12" style="9" customWidth="1"/>
    <col min="15583" max="15583" width="9.6640625" style="9"/>
    <col min="15584" max="15584" width="15.33203125" style="9" customWidth="1"/>
    <col min="15585" max="15585" width="15.21875" style="9" customWidth="1"/>
    <col min="15586" max="15586" width="21.44140625" style="9" customWidth="1"/>
    <col min="15587" max="15602" width="9.6640625" style="9"/>
    <col min="15603" max="15604" width="13.44140625" style="9" customWidth="1"/>
    <col min="15605" max="15605" width="9.6640625" style="9"/>
    <col min="15606" max="15606" width="13.88671875" style="9" customWidth="1"/>
    <col min="15607" max="15607" width="10.6640625" style="9" customWidth="1"/>
    <col min="15608" max="15608" width="17.33203125" style="9" customWidth="1"/>
    <col min="15609" max="15610" width="12.6640625" style="9" customWidth="1"/>
    <col min="15611" max="15611" width="11.21875" style="9" customWidth="1"/>
    <col min="15612" max="15612" width="18.33203125" style="9" customWidth="1"/>
    <col min="15613" max="15613" width="12.88671875" style="9" customWidth="1"/>
    <col min="15614" max="15615" width="13.21875" style="9" customWidth="1"/>
    <col min="15616" max="15616" width="10.88671875" style="9" customWidth="1"/>
    <col min="15617" max="15617" width="11.109375" style="9" customWidth="1"/>
    <col min="15618" max="15618" width="15.21875" style="9" customWidth="1"/>
    <col min="15619" max="15619" width="9.6640625" style="9"/>
    <col min="15620" max="15620" width="11" style="9" customWidth="1"/>
    <col min="15621" max="15621" width="10.77734375" style="9" customWidth="1"/>
    <col min="15622" max="15622" width="11.44140625" style="9" customWidth="1"/>
    <col min="15623" max="15623" width="4" style="9" customWidth="1"/>
    <col min="15624" max="15814" width="9.6640625" style="9"/>
    <col min="15815" max="15815" width="6.44140625" style="9" customWidth="1"/>
    <col min="15816" max="15816" width="13.88671875" style="9" customWidth="1"/>
    <col min="15817" max="15817" width="11.88671875" style="9" customWidth="1"/>
    <col min="15818" max="15820" width="9.6640625" style="9"/>
    <col min="15821" max="15821" width="15.44140625" style="9" customWidth="1"/>
    <col min="15822" max="15822" width="16.21875" style="9" customWidth="1"/>
    <col min="15823" max="15834" width="9.6640625" style="9"/>
    <col min="15835" max="15835" width="12" style="9" customWidth="1"/>
    <col min="15836" max="15836" width="12.77734375" style="9" customWidth="1"/>
    <col min="15837" max="15837" width="11.109375" style="9" customWidth="1"/>
    <col min="15838" max="15838" width="12" style="9" customWidth="1"/>
    <col min="15839" max="15839" width="9.6640625" style="9"/>
    <col min="15840" max="15840" width="15.33203125" style="9" customWidth="1"/>
    <col min="15841" max="15841" width="15.21875" style="9" customWidth="1"/>
    <col min="15842" max="15842" width="21.44140625" style="9" customWidth="1"/>
    <col min="15843" max="15858" width="9.6640625" style="9"/>
    <col min="15859" max="15860" width="13.44140625" style="9" customWidth="1"/>
    <col min="15861" max="15861" width="9.6640625" style="9"/>
    <col min="15862" max="15862" width="13.88671875" style="9" customWidth="1"/>
    <col min="15863" max="15863" width="10.6640625" style="9" customWidth="1"/>
    <col min="15864" max="15864" width="17.33203125" style="9" customWidth="1"/>
    <col min="15865" max="15866" width="12.6640625" style="9" customWidth="1"/>
    <col min="15867" max="15867" width="11.21875" style="9" customWidth="1"/>
    <col min="15868" max="15868" width="18.33203125" style="9" customWidth="1"/>
    <col min="15869" max="15869" width="12.88671875" style="9" customWidth="1"/>
    <col min="15870" max="15871" width="13.21875" style="9" customWidth="1"/>
    <col min="15872" max="15872" width="10.88671875" style="9" customWidth="1"/>
    <col min="15873" max="15873" width="11.109375" style="9" customWidth="1"/>
    <col min="15874" max="15874" width="15.21875" style="9" customWidth="1"/>
    <col min="15875" max="15875" width="9.6640625" style="9"/>
    <col min="15876" max="15876" width="11" style="9" customWidth="1"/>
    <col min="15877" max="15877" width="10.77734375" style="9" customWidth="1"/>
    <col min="15878" max="15878" width="11.44140625" style="9" customWidth="1"/>
    <col min="15879" max="15879" width="4" style="9" customWidth="1"/>
    <col min="15880" max="16070" width="9.6640625" style="9"/>
    <col min="16071" max="16071" width="6.44140625" style="9" customWidth="1"/>
    <col min="16072" max="16072" width="13.88671875" style="9" customWidth="1"/>
    <col min="16073" max="16073" width="11.88671875" style="9" customWidth="1"/>
    <col min="16074" max="16076" width="9.6640625" style="9"/>
    <col min="16077" max="16077" width="15.44140625" style="9" customWidth="1"/>
    <col min="16078" max="16078" width="16.21875" style="9" customWidth="1"/>
    <col min="16079" max="16090" width="9.6640625" style="9"/>
    <col min="16091" max="16091" width="12" style="9" customWidth="1"/>
    <col min="16092" max="16092" width="12.77734375" style="9" customWidth="1"/>
    <col min="16093" max="16093" width="11.109375" style="9" customWidth="1"/>
    <col min="16094" max="16094" width="12" style="9" customWidth="1"/>
    <col min="16095" max="16095" width="9.6640625" style="9"/>
    <col min="16096" max="16096" width="15.33203125" style="9" customWidth="1"/>
    <col min="16097" max="16097" width="15.21875" style="9" customWidth="1"/>
    <col min="16098" max="16098" width="21.44140625" style="9" customWidth="1"/>
    <col min="16099" max="16114" width="9.6640625" style="9"/>
    <col min="16115" max="16116" width="13.44140625" style="9" customWidth="1"/>
    <col min="16117" max="16117" width="9.6640625" style="9"/>
    <col min="16118" max="16118" width="13.88671875" style="9" customWidth="1"/>
    <col min="16119" max="16119" width="10.6640625" style="9" customWidth="1"/>
    <col min="16120" max="16120" width="17.33203125" style="9" customWidth="1"/>
    <col min="16121" max="16122" width="12.6640625" style="9" customWidth="1"/>
    <col min="16123" max="16123" width="11.21875" style="9" customWidth="1"/>
    <col min="16124" max="16124" width="18.33203125" style="9" customWidth="1"/>
    <col min="16125" max="16125" width="12.88671875" style="9" customWidth="1"/>
    <col min="16126" max="16127" width="13.21875" style="9" customWidth="1"/>
    <col min="16128" max="16128" width="10.88671875" style="9" customWidth="1"/>
    <col min="16129" max="16129" width="11.109375" style="9" customWidth="1"/>
    <col min="16130" max="16130" width="15.21875" style="9" customWidth="1"/>
    <col min="16131" max="16131" width="9.6640625" style="9"/>
    <col min="16132" max="16132" width="11" style="9" customWidth="1"/>
    <col min="16133" max="16133" width="10.77734375" style="9" customWidth="1"/>
    <col min="16134" max="16134" width="11.44140625" style="9" customWidth="1"/>
    <col min="16135" max="16135" width="4" style="9" customWidth="1"/>
    <col min="16136" max="16384" width="9.6640625" style="9"/>
  </cols>
  <sheetData>
    <row r="1" spans="1:148" ht="13.2" x14ac:dyDescent="0.2">
      <c r="A1" s="8" t="s">
        <v>75</v>
      </c>
    </row>
    <row r="2" spans="1:148" x14ac:dyDescent="0.2">
      <c r="C2" s="11" t="s">
        <v>76</v>
      </c>
      <c r="BH2" s="11"/>
    </row>
    <row r="3" spans="1:148" s="10" customFormat="1" x14ac:dyDescent="0.2">
      <c r="A3" s="12"/>
      <c r="B3" s="13" t="s">
        <v>77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</row>
    <row r="4" spans="1:148" s="10" customFormat="1" x14ac:dyDescent="0.2">
      <c r="A4" s="12"/>
      <c r="B4" s="15" t="s">
        <v>78</v>
      </c>
      <c r="C4" s="14" t="s">
        <v>566</v>
      </c>
      <c r="D4" s="14" t="s">
        <v>569</v>
      </c>
      <c r="E4" s="14" t="s">
        <v>566</v>
      </c>
      <c r="F4" s="14" t="s">
        <v>566</v>
      </c>
      <c r="G4" s="14" t="s">
        <v>566</v>
      </c>
      <c r="H4" s="14" t="s">
        <v>571</v>
      </c>
      <c r="I4" s="14" t="s">
        <v>571</v>
      </c>
      <c r="J4" s="14" t="s">
        <v>528</v>
      </c>
      <c r="K4" s="14" t="s">
        <v>566</v>
      </c>
      <c r="L4" s="14" t="s">
        <v>566</v>
      </c>
      <c r="M4" s="14" t="s">
        <v>566</v>
      </c>
      <c r="N4" s="14" t="s">
        <v>566</v>
      </c>
      <c r="O4" s="14" t="s">
        <v>566</v>
      </c>
      <c r="P4" s="14" t="s">
        <v>566</v>
      </c>
      <c r="Q4" s="14" t="s">
        <v>566</v>
      </c>
      <c r="R4" s="14" t="s">
        <v>566</v>
      </c>
      <c r="S4" s="14" t="s">
        <v>598</v>
      </c>
      <c r="T4" s="14" t="s">
        <v>566</v>
      </c>
      <c r="U4" s="14" t="s">
        <v>566</v>
      </c>
      <c r="V4" s="14" t="s">
        <v>566</v>
      </c>
      <c r="W4" s="14" t="s">
        <v>566</v>
      </c>
      <c r="X4" s="14" t="s">
        <v>566</v>
      </c>
      <c r="Y4" s="14" t="s">
        <v>572</v>
      </c>
      <c r="Z4" s="14" t="s">
        <v>566</v>
      </c>
      <c r="AA4" s="14" t="s">
        <v>571</v>
      </c>
      <c r="AB4" s="14" t="s">
        <v>571</v>
      </c>
      <c r="AC4" s="14" t="s">
        <v>571</v>
      </c>
      <c r="AD4" s="14" t="s">
        <v>528</v>
      </c>
      <c r="AE4" s="14" t="s">
        <v>566</v>
      </c>
      <c r="AF4" s="14" t="s">
        <v>566</v>
      </c>
      <c r="AG4" s="14" t="s">
        <v>566</v>
      </c>
      <c r="AH4" s="14" t="s">
        <v>566</v>
      </c>
      <c r="AI4" s="14" t="s">
        <v>566</v>
      </c>
      <c r="AJ4" s="14" t="s">
        <v>528</v>
      </c>
      <c r="AK4" s="14" t="s">
        <v>566</v>
      </c>
      <c r="AL4" s="14" t="s">
        <v>573</v>
      </c>
      <c r="AM4" s="14" t="s">
        <v>566</v>
      </c>
      <c r="AN4" s="14" t="s">
        <v>566</v>
      </c>
      <c r="AO4" s="14" t="s">
        <v>566</v>
      </c>
      <c r="AP4" s="14" t="s">
        <v>566</v>
      </c>
      <c r="AQ4" s="14" t="s">
        <v>574</v>
      </c>
      <c r="AR4" s="14" t="s">
        <v>566</v>
      </c>
      <c r="AS4" s="14" t="s">
        <v>566</v>
      </c>
      <c r="AT4" s="14" t="s">
        <v>566</v>
      </c>
      <c r="AU4" s="14" t="s">
        <v>566</v>
      </c>
      <c r="AV4" s="14" t="s">
        <v>566</v>
      </c>
      <c r="AW4" s="14" t="s">
        <v>566</v>
      </c>
      <c r="AX4" s="14" t="s">
        <v>566</v>
      </c>
      <c r="AY4" s="14" t="s">
        <v>566</v>
      </c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</row>
    <row r="5" spans="1:148" s="10" customFormat="1" x14ac:dyDescent="0.2">
      <c r="A5" s="12"/>
      <c r="B5" s="13" t="s">
        <v>79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</row>
    <row r="6" spans="1:148" s="18" customFormat="1" x14ac:dyDescent="0.2">
      <c r="A6" s="16"/>
      <c r="B6" s="13" t="s">
        <v>80</v>
      </c>
      <c r="C6" s="100"/>
      <c r="D6" s="100"/>
      <c r="E6" s="100"/>
      <c r="F6" s="100"/>
      <c r="G6" s="100"/>
      <c r="H6" s="100" t="s">
        <v>550</v>
      </c>
      <c r="I6" s="100" t="s">
        <v>551</v>
      </c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 t="s">
        <v>552</v>
      </c>
      <c r="AB6" s="100" t="s">
        <v>552</v>
      </c>
      <c r="AC6" s="100" t="s">
        <v>523</v>
      </c>
      <c r="AD6" s="100"/>
      <c r="AE6" s="100"/>
      <c r="AF6" s="100"/>
      <c r="AG6" s="100"/>
      <c r="AH6" s="100"/>
      <c r="AI6" s="100"/>
      <c r="AJ6" s="100"/>
      <c r="AK6" s="100"/>
      <c r="AL6" s="100"/>
      <c r="AM6" s="100" t="s">
        <v>553</v>
      </c>
      <c r="AN6" s="100" t="s">
        <v>554</v>
      </c>
      <c r="AO6" s="100"/>
      <c r="AP6" s="100"/>
      <c r="AQ6" s="100"/>
      <c r="AR6" s="100" t="s">
        <v>538</v>
      </c>
      <c r="AS6" s="100" t="s">
        <v>538</v>
      </c>
      <c r="AT6" s="100" t="s">
        <v>538</v>
      </c>
      <c r="AU6" s="100" t="s">
        <v>538</v>
      </c>
      <c r="AV6" s="100" t="s">
        <v>538</v>
      </c>
      <c r="AW6" s="100" t="s">
        <v>538</v>
      </c>
      <c r="AX6" s="100"/>
      <c r="AY6" s="100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</row>
    <row r="7" spans="1:148" s="27" customFormat="1" ht="40.799999999999997" x14ac:dyDescent="0.2">
      <c r="A7" s="26"/>
      <c r="B7" s="13" t="s">
        <v>81</v>
      </c>
      <c r="C7" s="20" t="s">
        <v>44</v>
      </c>
      <c r="D7" s="20" t="s">
        <v>643</v>
      </c>
      <c r="E7" s="20" t="s">
        <v>643</v>
      </c>
      <c r="F7" s="20" t="s">
        <v>174</v>
      </c>
      <c r="G7" s="20" t="s">
        <v>172</v>
      </c>
      <c r="H7" s="20" t="s">
        <v>148</v>
      </c>
      <c r="I7" s="20" t="s">
        <v>148</v>
      </c>
      <c r="J7" s="20" t="s">
        <v>515</v>
      </c>
      <c r="K7" s="20" t="s">
        <v>175</v>
      </c>
      <c r="L7" s="20" t="s">
        <v>446</v>
      </c>
      <c r="M7" s="20" t="s">
        <v>447</v>
      </c>
      <c r="N7" s="20" t="s">
        <v>448</v>
      </c>
      <c r="O7" s="20" t="s">
        <v>449</v>
      </c>
      <c r="P7" s="20" t="s">
        <v>513</v>
      </c>
      <c r="Q7" s="20" t="s">
        <v>514</v>
      </c>
      <c r="R7" s="20" t="s">
        <v>450</v>
      </c>
      <c r="S7" s="20" t="s">
        <v>450</v>
      </c>
      <c r="T7" s="20" t="s">
        <v>451</v>
      </c>
      <c r="U7" s="20" t="s">
        <v>485</v>
      </c>
      <c r="V7" s="20" t="s">
        <v>486</v>
      </c>
      <c r="W7" s="20" t="s">
        <v>160</v>
      </c>
      <c r="X7" s="20" t="s">
        <v>176</v>
      </c>
      <c r="Y7" s="20" t="s">
        <v>510</v>
      </c>
      <c r="Z7" s="20" t="s">
        <v>39</v>
      </c>
      <c r="AA7" s="20" t="s">
        <v>555</v>
      </c>
      <c r="AB7" s="20" t="s">
        <v>556</v>
      </c>
      <c r="AC7" s="20" t="s">
        <v>60</v>
      </c>
      <c r="AD7" s="20" t="s">
        <v>177</v>
      </c>
      <c r="AE7" s="20" t="s">
        <v>177</v>
      </c>
      <c r="AF7" s="20" t="s">
        <v>178</v>
      </c>
      <c r="AG7" s="20" t="s">
        <v>179</v>
      </c>
      <c r="AH7" s="20" t="s">
        <v>180</v>
      </c>
      <c r="AI7" s="20" t="s">
        <v>181</v>
      </c>
      <c r="AJ7" s="20" t="s">
        <v>182</v>
      </c>
      <c r="AK7" s="20" t="s">
        <v>182</v>
      </c>
      <c r="AL7" s="20" t="s">
        <v>186</v>
      </c>
      <c r="AM7" s="20" t="s">
        <v>38</v>
      </c>
      <c r="AN7" s="20" t="s">
        <v>38</v>
      </c>
      <c r="AO7" s="20" t="s">
        <v>191</v>
      </c>
      <c r="AP7" s="20" t="s">
        <v>53</v>
      </c>
      <c r="AQ7" s="20" t="s">
        <v>420</v>
      </c>
      <c r="AR7" s="20" t="s">
        <v>557</v>
      </c>
      <c r="AS7" s="20" t="s">
        <v>558</v>
      </c>
      <c r="AT7" s="20" t="s">
        <v>559</v>
      </c>
      <c r="AU7" s="20" t="s">
        <v>560</v>
      </c>
      <c r="AV7" s="20" t="s">
        <v>561</v>
      </c>
      <c r="AW7" s="20" t="s">
        <v>562</v>
      </c>
      <c r="AX7" s="20" t="s">
        <v>464</v>
      </c>
      <c r="AY7" s="20" t="s">
        <v>465</v>
      </c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</row>
    <row r="8" spans="1:148" x14ac:dyDescent="0.2">
      <c r="A8" s="22" t="s">
        <v>88</v>
      </c>
      <c r="B8" s="23"/>
    </row>
    <row r="9" spans="1:148" x14ac:dyDescent="0.2">
      <c r="A9" s="24" t="s">
        <v>511</v>
      </c>
      <c r="B9" s="23"/>
      <c r="C9" s="25"/>
      <c r="D9" s="25"/>
      <c r="E9" s="25"/>
      <c r="F9" s="25"/>
      <c r="G9" s="25">
        <v>3.5416666666666666E-2</v>
      </c>
      <c r="H9" s="25"/>
      <c r="I9" s="25"/>
      <c r="J9" s="25">
        <v>7.5</v>
      </c>
      <c r="K9" s="25"/>
      <c r="L9" s="25"/>
      <c r="M9" s="25"/>
      <c r="N9" s="25"/>
      <c r="O9" s="25"/>
      <c r="P9" s="25">
        <v>2.9013782836348725E-2</v>
      </c>
      <c r="Q9" s="25">
        <v>3.2237536484831922E-2</v>
      </c>
      <c r="R9" s="25"/>
      <c r="S9" s="25"/>
      <c r="T9" s="25"/>
      <c r="U9" s="25"/>
      <c r="V9" s="25"/>
      <c r="W9" s="25"/>
      <c r="X9" s="25"/>
      <c r="Y9" s="25">
        <v>0.30296127562642367</v>
      </c>
      <c r="Z9" s="25"/>
      <c r="AA9" s="25">
        <v>6.7333333333333334</v>
      </c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>
        <v>1.205357142857143E-3</v>
      </c>
      <c r="AO9" s="25"/>
      <c r="AP9" s="25">
        <v>9.4866071428571428E-4</v>
      </c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</row>
    <row r="10" spans="1:148" x14ac:dyDescent="0.2">
      <c r="A10" s="24" t="s">
        <v>599</v>
      </c>
      <c r="B10" s="23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</row>
    <row r="11" spans="1:148" x14ac:dyDescent="0.2">
      <c r="A11" s="24" t="s">
        <v>586</v>
      </c>
      <c r="B11" s="28"/>
      <c r="C11" s="25"/>
      <c r="D11" s="25"/>
      <c r="E11" s="25"/>
      <c r="F11" s="25"/>
      <c r="G11" s="25">
        <v>2.125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</row>
    <row r="12" spans="1:148" x14ac:dyDescent="0.2">
      <c r="A12" s="24" t="s">
        <v>590</v>
      </c>
      <c r="B12" s="28"/>
      <c r="C12" s="25"/>
      <c r="D12" s="25"/>
      <c r="E12" s="25"/>
      <c r="F12" s="25">
        <v>7.7083333333333337E-2</v>
      </c>
      <c r="G12" s="25">
        <v>0.14166666666666666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>
        <v>9.1999999999999993</v>
      </c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</row>
    <row r="13" spans="1:148" x14ac:dyDescent="0.2">
      <c r="A13" s="24" t="s">
        <v>591</v>
      </c>
      <c r="B13" s="28"/>
      <c r="C13" s="25"/>
      <c r="D13" s="25"/>
      <c r="E13" s="25"/>
      <c r="F13" s="25">
        <v>0.10625000000000001</v>
      </c>
      <c r="G13" s="25">
        <v>0.17499999999999999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</row>
    <row r="14" spans="1:148" x14ac:dyDescent="0.2">
      <c r="A14" s="24" t="s">
        <v>592</v>
      </c>
      <c r="C14" s="25"/>
      <c r="D14" s="25"/>
      <c r="E14" s="25"/>
      <c r="F14" s="25">
        <v>0.11875000000000001</v>
      </c>
      <c r="G14" s="25">
        <v>0.1875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</row>
    <row r="15" spans="1:148" x14ac:dyDescent="0.2">
      <c r="A15" s="24" t="s">
        <v>590</v>
      </c>
      <c r="C15" s="25"/>
      <c r="D15" s="25"/>
      <c r="E15" s="25"/>
      <c r="F15" s="25"/>
      <c r="G15" s="25">
        <v>0.14166666666666666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</row>
    <row r="16" spans="1:148" x14ac:dyDescent="0.2">
      <c r="A16" s="24" t="s">
        <v>593</v>
      </c>
      <c r="C16" s="25"/>
      <c r="D16" s="25"/>
      <c r="E16" s="25"/>
      <c r="F16" s="25">
        <v>0.1</v>
      </c>
      <c r="G16" s="25">
        <v>0.16250000000000001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</row>
    <row r="17" spans="1:148" x14ac:dyDescent="0.2">
      <c r="A17" s="24" t="s">
        <v>600</v>
      </c>
      <c r="C17" s="25"/>
      <c r="D17" s="25"/>
      <c r="E17" s="25"/>
      <c r="F17" s="25">
        <v>8.3333333333333343E-2</v>
      </c>
      <c r="G17" s="25">
        <v>0.16250000000000001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</row>
    <row r="18" spans="1:148" x14ac:dyDescent="0.2">
      <c r="A18" s="24" t="s">
        <v>601</v>
      </c>
      <c r="C18" s="25"/>
      <c r="D18" s="25"/>
      <c r="E18" s="25"/>
      <c r="F18" s="25"/>
      <c r="G18" s="25">
        <v>0.11249999999999999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</row>
    <row r="19" spans="1:148" x14ac:dyDescent="0.2">
      <c r="A19" s="24" t="s">
        <v>602</v>
      </c>
      <c r="C19" s="25"/>
      <c r="D19" s="25"/>
      <c r="E19" s="25"/>
      <c r="F19" s="25"/>
      <c r="G19" s="25">
        <v>0.11666666666666667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</row>
    <row r="20" spans="1:148" x14ac:dyDescent="0.2">
      <c r="A20" s="24" t="s">
        <v>602</v>
      </c>
      <c r="C20" s="25"/>
      <c r="D20" s="25"/>
      <c r="E20" s="25"/>
      <c r="F20" s="25">
        <v>8.1250000000000003E-2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</row>
    <row r="21" spans="1:148" x14ac:dyDescent="0.2">
      <c r="A21" s="24" t="s">
        <v>495</v>
      </c>
      <c r="C21" s="25">
        <v>0.8</v>
      </c>
      <c r="D21" s="25"/>
      <c r="E21" s="25"/>
      <c r="F21" s="25">
        <v>7.9166666666666663E-2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>
        <v>5.0431034482758621</v>
      </c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>
        <v>7.4999999999999997E-2</v>
      </c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>
        <v>9.7119999688779393E-2</v>
      </c>
      <c r="AY21" s="25">
        <v>4.9356065415609204E-2</v>
      </c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</row>
    <row r="22" spans="1:148" x14ac:dyDescent="0.2">
      <c r="A22" s="24" t="s">
        <v>587</v>
      </c>
      <c r="C22" s="25">
        <v>0.57500000000000007</v>
      </c>
      <c r="D22" s="25"/>
      <c r="E22" s="25"/>
      <c r="F22" s="25">
        <v>5.7291666666666664E-2</v>
      </c>
      <c r="G22" s="25"/>
      <c r="H22" s="25"/>
      <c r="I22" s="25"/>
      <c r="J22" s="25"/>
      <c r="K22" s="25">
        <v>1.7690348146051516E-2</v>
      </c>
      <c r="L22" s="25"/>
      <c r="M22" s="25"/>
      <c r="N22" s="25"/>
      <c r="O22" s="25"/>
      <c r="P22" s="25"/>
      <c r="Q22" s="25"/>
      <c r="R22" s="25"/>
      <c r="S22" s="25"/>
      <c r="T22" s="25"/>
      <c r="U22" s="25">
        <v>2.323732171727106E-2</v>
      </c>
      <c r="V22" s="25">
        <v>2.0988548647857729E-2</v>
      </c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>
        <v>6.1363636363636363E-2</v>
      </c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>
        <v>0.10714285714285714</v>
      </c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</row>
    <row r="23" spans="1:148" x14ac:dyDescent="0.2">
      <c r="A23" s="24" t="s">
        <v>462</v>
      </c>
      <c r="C23" s="25">
        <v>0.44225870365128783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>
        <v>2.0587905169973744E-2</v>
      </c>
      <c r="S23" s="25"/>
      <c r="T23" s="25">
        <v>2.745054022663166E-2</v>
      </c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>
        <v>3.6600720302175545E-2</v>
      </c>
      <c r="AY23" s="25">
        <v>4.1175810339947487E-2</v>
      </c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148" x14ac:dyDescent="0.2">
      <c r="A24" s="24" t="s">
        <v>460</v>
      </c>
      <c r="C24" s="25">
        <v>0.86843527262434705</v>
      </c>
      <c r="D24" s="25"/>
      <c r="E24" s="25"/>
      <c r="F24" s="25">
        <v>0.05</v>
      </c>
      <c r="G24" s="25"/>
      <c r="H24" s="25"/>
      <c r="I24" s="25"/>
      <c r="J24" s="25"/>
      <c r="K24" s="25">
        <v>2.4525255384298689E-2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>
        <v>4.1175810339947487E-2</v>
      </c>
      <c r="AV24" s="25"/>
      <c r="AW24" s="25"/>
      <c r="AX24" s="25">
        <v>4.1175810339947487E-2</v>
      </c>
      <c r="AY24" s="25">
        <v>7.0151380579169795E-2</v>
      </c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</row>
    <row r="25" spans="1:148" x14ac:dyDescent="0.2">
      <c r="A25" s="24" t="s">
        <v>455</v>
      </c>
      <c r="C25" s="25">
        <v>0.51666666666666672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</row>
    <row r="26" spans="1:148" x14ac:dyDescent="0.2">
      <c r="A26" s="24" t="s">
        <v>603</v>
      </c>
      <c r="C26" s="25">
        <v>0.35000000000000003</v>
      </c>
      <c r="D26" s="25"/>
      <c r="E26" s="25"/>
      <c r="F26" s="25">
        <v>5.5208333333333331E-2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</row>
    <row r="27" spans="1:148" x14ac:dyDescent="0.2">
      <c r="A27" s="24" t="s">
        <v>576</v>
      </c>
      <c r="C27" s="25">
        <v>0.33124999999999999</v>
      </c>
      <c r="D27" s="25"/>
      <c r="E27" s="25"/>
      <c r="F27" s="25">
        <v>5.1562499999999997E-2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>
        <v>1.6964285714285713E-2</v>
      </c>
      <c r="S27" s="25"/>
      <c r="T27" s="25">
        <v>1.3392857142857142E-2</v>
      </c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</row>
    <row r="28" spans="1:148" x14ac:dyDescent="0.2">
      <c r="A28" s="24" t="s">
        <v>604</v>
      </c>
      <c r="C28" s="25">
        <v>0.46666666666666667</v>
      </c>
      <c r="D28" s="25"/>
      <c r="E28" s="25"/>
      <c r="F28" s="25">
        <v>7.5000000000000011E-2</v>
      </c>
      <c r="G28" s="25"/>
      <c r="H28" s="25"/>
      <c r="I28" s="25"/>
      <c r="J28" s="25"/>
      <c r="K28" s="25"/>
      <c r="L28" s="25">
        <v>3.125E-2</v>
      </c>
      <c r="M28" s="25">
        <v>2.5000000000000001E-2</v>
      </c>
      <c r="N28" s="25">
        <v>1.7708333333333333E-2</v>
      </c>
      <c r="O28" s="25">
        <v>1.4583333333333334E-2</v>
      </c>
      <c r="P28" s="25"/>
      <c r="Q28" s="25"/>
      <c r="R28" s="25">
        <v>1.4285714285714287E-2</v>
      </c>
      <c r="S28" s="25"/>
      <c r="T28" s="25">
        <v>1.0267857142857143E-2</v>
      </c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>
        <v>2.9062499999999995E-3</v>
      </c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</row>
    <row r="29" spans="1:148" x14ac:dyDescent="0.2">
      <c r="A29" s="24" t="s">
        <v>436</v>
      </c>
      <c r="C29" s="25"/>
      <c r="D29" s="25"/>
      <c r="E29" s="25"/>
      <c r="F29" s="25"/>
      <c r="G29" s="25"/>
      <c r="H29" s="25"/>
      <c r="I29" s="25">
        <v>0.5083333333333333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</row>
    <row r="30" spans="1:148" x14ac:dyDescent="0.2">
      <c r="A30" s="24" t="s">
        <v>605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>
        <v>2.1093750000000001E-2</v>
      </c>
      <c r="AS30" s="25">
        <v>2.1354166666666667E-2</v>
      </c>
      <c r="AT30" s="25">
        <v>2.1874999999999999E-2</v>
      </c>
      <c r="AU30" s="25">
        <v>2.3177083333333334E-2</v>
      </c>
      <c r="AV30" s="25">
        <v>2.5000000000000001E-2</v>
      </c>
      <c r="AW30" s="25">
        <v>2.3177083333333334E-2</v>
      </c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</row>
    <row r="31" spans="1:148" x14ac:dyDescent="0.2">
      <c r="A31" s="24" t="s">
        <v>606</v>
      </c>
      <c r="C31" s="25"/>
      <c r="D31" s="25"/>
      <c r="E31" s="25"/>
      <c r="F31" s="25"/>
      <c r="G31" s="25"/>
      <c r="H31" s="25"/>
      <c r="I31" s="25">
        <v>0.85000000000000009</v>
      </c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</row>
    <row r="32" spans="1:148" x14ac:dyDescent="0.2">
      <c r="A32" s="24" t="s">
        <v>596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>
        <v>1.5000000000000001E-2</v>
      </c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</row>
    <row r="33" spans="1:68" x14ac:dyDescent="0.2">
      <c r="A33" s="24" t="s">
        <v>597</v>
      </c>
      <c r="C33" s="25">
        <v>0.91249999999999998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</row>
    <row r="34" spans="1:68" x14ac:dyDescent="0.2">
      <c r="A34" s="24" t="s">
        <v>607</v>
      </c>
      <c r="C34" s="25"/>
      <c r="D34" s="25"/>
      <c r="E34" s="25">
        <v>4.9030172413793097E-3</v>
      </c>
      <c r="F34" s="25">
        <v>6.5625000000000003E-2</v>
      </c>
      <c r="G34" s="25">
        <v>7.6041666666666674E-2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>
        <v>2.5082236842105263E-3</v>
      </c>
      <c r="X34" s="25"/>
      <c r="Y34" s="25"/>
      <c r="Z34" s="25">
        <v>3.3333333333333335E-3</v>
      </c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>
        <v>3.6249999999999998E-3</v>
      </c>
      <c r="AN34" s="25">
        <v>3.2812499999999999E-3</v>
      </c>
      <c r="AO34" s="25">
        <v>6.0096153846153849E-3</v>
      </c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</row>
    <row r="35" spans="1:68" x14ac:dyDescent="0.2">
      <c r="A35" s="24" t="s">
        <v>581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</row>
    <row r="36" spans="1:68" x14ac:dyDescent="0.2">
      <c r="A36" s="24" t="s">
        <v>190</v>
      </c>
      <c r="C36" s="25"/>
      <c r="D36" s="25"/>
      <c r="E36" s="25">
        <v>4.9299568965517244E-3</v>
      </c>
      <c r="F36" s="25">
        <v>6.7708333333333343E-2</v>
      </c>
      <c r="G36" s="25">
        <v>7.8125E-2</v>
      </c>
      <c r="H36" s="25">
        <v>0.625</v>
      </c>
      <c r="I36" s="25">
        <v>0.47499999999999998</v>
      </c>
      <c r="J36" s="25"/>
      <c r="K36" s="25">
        <v>2.5000000000000001E-2</v>
      </c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>
        <v>2.7549342105263157E-3</v>
      </c>
      <c r="X36" s="25">
        <v>2.6562499999999998E-3</v>
      </c>
      <c r="Y36" s="25"/>
      <c r="Z36" s="25">
        <v>3.3072916666666663E-3</v>
      </c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>
        <v>0.13958333333333334</v>
      </c>
      <c r="AM36" s="25"/>
      <c r="AN36" s="25">
        <v>3.2656249999999999E-3</v>
      </c>
      <c r="AO36" s="25">
        <v>7.6322115384615382E-3</v>
      </c>
      <c r="AP36" s="25">
        <v>2.9687499999999996E-3</v>
      </c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</row>
    <row r="37" spans="1:68" x14ac:dyDescent="0.2">
      <c r="A37" s="24" t="s">
        <v>183</v>
      </c>
      <c r="C37" s="25">
        <v>0.97499999999999998</v>
      </c>
      <c r="D37" s="25"/>
      <c r="E37" s="25">
        <v>6.0344827586206896E-3</v>
      </c>
      <c r="F37" s="25">
        <v>6.0416666666666667E-2</v>
      </c>
      <c r="G37" s="25">
        <v>7.0833333333333331E-2</v>
      </c>
      <c r="H37" s="25">
        <v>0.8</v>
      </c>
      <c r="I37" s="25">
        <v>0.6</v>
      </c>
      <c r="J37" s="25"/>
      <c r="K37" s="25">
        <v>2.6041666666666668E-2</v>
      </c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>
        <v>3.1249999999999997E-3</v>
      </c>
      <c r="X37" s="25">
        <v>2.9687499999999996E-3</v>
      </c>
      <c r="Y37" s="25"/>
      <c r="Z37" s="25">
        <v>3.7500000000000003E-3</v>
      </c>
      <c r="AA37" s="25">
        <v>2.2000000000000002</v>
      </c>
      <c r="AB37" s="25">
        <v>2.0499999999999998</v>
      </c>
      <c r="AC37" s="25"/>
      <c r="AD37" s="25"/>
      <c r="AE37" s="25">
        <v>2.7464467441358515E-2</v>
      </c>
      <c r="AF37" s="25">
        <v>4.2004479616195377E-2</v>
      </c>
      <c r="AG37" s="25">
        <v>4.5235593432825787E-2</v>
      </c>
      <c r="AH37" s="25">
        <v>1.7771125991467275E-2</v>
      </c>
      <c r="AI37" s="25">
        <v>3.554225198293455E-2</v>
      </c>
      <c r="AJ37" s="25"/>
      <c r="AK37" s="25">
        <v>6.1391162515977857E-2</v>
      </c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</row>
    <row r="38" spans="1:68" x14ac:dyDescent="0.2">
      <c r="A38" s="24" t="s">
        <v>608</v>
      </c>
      <c r="C38" s="25">
        <v>0.67083333333333339</v>
      </c>
      <c r="D38" s="25">
        <v>100</v>
      </c>
      <c r="F38" s="25">
        <v>5.8854166666666666E-2</v>
      </c>
      <c r="G38" s="25">
        <v>6.7187500000000011E-2</v>
      </c>
      <c r="H38" s="25">
        <v>1</v>
      </c>
      <c r="I38" s="25">
        <v>0.77500000000000002</v>
      </c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10"/>
  <sheetViews>
    <sheetView zoomScale="110" zoomScaleNormal="110" zoomScaleSheetLayoutView="110" workbookViewId="0">
      <pane xSplit="2" ySplit="8" topLeftCell="C9" activePane="bottomRight" state="frozenSplit"/>
      <selection activeCell="C34" sqref="C34"/>
      <selection pane="topRight" activeCell="C34" sqref="C34"/>
      <selection pane="bottomLeft" activeCell="C34" sqref="C34"/>
      <selection pane="bottomRight" activeCell="A7" sqref="A7:XFD7"/>
    </sheetView>
  </sheetViews>
  <sheetFormatPr defaultColWidth="9.6640625" defaultRowHeight="12" x14ac:dyDescent="0.2"/>
  <cols>
    <col min="1" max="1" width="6.44140625" style="10" customWidth="1"/>
    <col min="2" max="2" width="13.88671875" style="9" customWidth="1"/>
    <col min="3" max="3" width="11.88671875" style="9" customWidth="1"/>
    <col min="4" max="4" width="12.77734375" style="9" bestFit="1" customWidth="1"/>
    <col min="5" max="8" width="9.6640625" style="9"/>
    <col min="9" max="9" width="10.33203125" style="9" customWidth="1"/>
    <col min="10" max="10" width="16.21875" style="9" customWidth="1"/>
    <col min="11" max="11" width="11.33203125" style="9" bestFit="1" customWidth="1"/>
    <col min="12" max="12" width="13.44140625" style="9" customWidth="1"/>
    <col min="13" max="13" width="9.6640625" style="9"/>
    <col min="14" max="14" width="11.6640625" style="9" bestFit="1" customWidth="1"/>
    <col min="15" max="15" width="9.6640625" style="9"/>
    <col min="16" max="16" width="11.77734375" style="9" customWidth="1"/>
    <col min="17" max="17" width="12.44140625" style="9" bestFit="1" customWidth="1"/>
    <col min="18" max="21" width="9.6640625" style="9"/>
    <col min="22" max="22" width="13.44140625" style="9" customWidth="1"/>
    <col min="23" max="23" width="9.6640625" style="9"/>
    <col min="24" max="24" width="10.6640625" style="9" customWidth="1"/>
    <col min="25" max="25" width="11.21875" style="9" customWidth="1"/>
    <col min="26" max="26" width="10.21875" style="9" customWidth="1"/>
    <col min="27" max="27" width="10.6640625" style="9" customWidth="1"/>
    <col min="28" max="28" width="10.21875" style="9" bestFit="1" customWidth="1"/>
    <col min="29" max="32" width="8.5546875" style="9" bestFit="1" customWidth="1"/>
    <col min="33" max="38" width="13.21875" style="9" customWidth="1"/>
    <col min="39" max="40" width="10.88671875" style="9" customWidth="1"/>
    <col min="41" max="41" width="11.109375" style="9" customWidth="1"/>
    <col min="42" max="64" width="9.6640625" style="9"/>
    <col min="65" max="65" width="11.6640625" style="9" bestFit="1" customWidth="1"/>
    <col min="66" max="66" width="11.109375" style="9" bestFit="1" customWidth="1"/>
    <col min="67" max="199" width="9.6640625" style="9"/>
    <col min="200" max="200" width="6.44140625" style="9" customWidth="1"/>
    <col min="201" max="201" width="13.88671875" style="9" customWidth="1"/>
    <col min="202" max="202" width="11.88671875" style="9" customWidth="1"/>
    <col min="203" max="205" width="9.6640625" style="9"/>
    <col min="206" max="206" width="15.44140625" style="9" customWidth="1"/>
    <col min="207" max="207" width="16.21875" style="9" customWidth="1"/>
    <col min="208" max="219" width="9.6640625" style="9"/>
    <col min="220" max="220" width="12" style="9" customWidth="1"/>
    <col min="221" max="221" width="12.77734375" style="9" customWidth="1"/>
    <col min="222" max="222" width="11.109375" style="9" customWidth="1"/>
    <col min="223" max="223" width="12" style="9" customWidth="1"/>
    <col min="224" max="224" width="9.6640625" style="9"/>
    <col min="225" max="225" width="15.33203125" style="9" customWidth="1"/>
    <col min="226" max="226" width="15.21875" style="9" customWidth="1"/>
    <col min="227" max="227" width="21.44140625" style="9" customWidth="1"/>
    <col min="228" max="243" width="9.6640625" style="9"/>
    <col min="244" max="245" width="13.44140625" style="9" customWidth="1"/>
    <col min="246" max="246" width="9.6640625" style="9"/>
    <col min="247" max="247" width="13.88671875" style="9" customWidth="1"/>
    <col min="248" max="248" width="10.6640625" style="9" customWidth="1"/>
    <col min="249" max="249" width="17.33203125" style="9" customWidth="1"/>
    <col min="250" max="251" width="12.6640625" style="9" customWidth="1"/>
    <col min="252" max="252" width="11.21875" style="9" customWidth="1"/>
    <col min="253" max="253" width="18.33203125" style="9" customWidth="1"/>
    <col min="254" max="254" width="12.88671875" style="9" customWidth="1"/>
    <col min="255" max="256" width="13.21875" style="9" customWidth="1"/>
    <col min="257" max="257" width="10.88671875" style="9" customWidth="1"/>
    <col min="258" max="258" width="11.109375" style="9" customWidth="1"/>
    <col min="259" max="259" width="15.21875" style="9" customWidth="1"/>
    <col min="260" max="260" width="9.6640625" style="9"/>
    <col min="261" max="261" width="11" style="9" customWidth="1"/>
    <col min="262" max="262" width="10.77734375" style="9" customWidth="1"/>
    <col min="263" max="263" width="11.44140625" style="9" customWidth="1"/>
    <col min="264" max="264" width="4" style="9" customWidth="1"/>
    <col min="265" max="455" width="9.6640625" style="9"/>
    <col min="456" max="456" width="6.44140625" style="9" customWidth="1"/>
    <col min="457" max="457" width="13.88671875" style="9" customWidth="1"/>
    <col min="458" max="458" width="11.88671875" style="9" customWidth="1"/>
    <col min="459" max="461" width="9.6640625" style="9"/>
    <col min="462" max="462" width="15.44140625" style="9" customWidth="1"/>
    <col min="463" max="463" width="16.21875" style="9" customWidth="1"/>
    <col min="464" max="475" width="9.6640625" style="9"/>
    <col min="476" max="476" width="12" style="9" customWidth="1"/>
    <col min="477" max="477" width="12.77734375" style="9" customWidth="1"/>
    <col min="478" max="478" width="11.109375" style="9" customWidth="1"/>
    <col min="479" max="479" width="12" style="9" customWidth="1"/>
    <col min="480" max="480" width="9.6640625" style="9"/>
    <col min="481" max="481" width="15.33203125" style="9" customWidth="1"/>
    <col min="482" max="482" width="15.21875" style="9" customWidth="1"/>
    <col min="483" max="483" width="21.44140625" style="9" customWidth="1"/>
    <col min="484" max="499" width="9.6640625" style="9"/>
    <col min="500" max="501" width="13.44140625" style="9" customWidth="1"/>
    <col min="502" max="502" width="9.6640625" style="9"/>
    <col min="503" max="503" width="13.88671875" style="9" customWidth="1"/>
    <col min="504" max="504" width="10.6640625" style="9" customWidth="1"/>
    <col min="505" max="505" width="17.33203125" style="9" customWidth="1"/>
    <col min="506" max="507" width="12.6640625" style="9" customWidth="1"/>
    <col min="508" max="508" width="11.21875" style="9" customWidth="1"/>
    <col min="509" max="509" width="18.33203125" style="9" customWidth="1"/>
    <col min="510" max="510" width="12.88671875" style="9" customWidth="1"/>
    <col min="511" max="512" width="13.21875" style="9" customWidth="1"/>
    <col min="513" max="513" width="10.88671875" style="9" customWidth="1"/>
    <col min="514" max="514" width="11.109375" style="9" customWidth="1"/>
    <col min="515" max="515" width="15.21875" style="9" customWidth="1"/>
    <col min="516" max="516" width="9.6640625" style="9"/>
    <col min="517" max="517" width="11" style="9" customWidth="1"/>
    <col min="518" max="518" width="10.77734375" style="9" customWidth="1"/>
    <col min="519" max="519" width="11.44140625" style="9" customWidth="1"/>
    <col min="520" max="520" width="4" style="9" customWidth="1"/>
    <col min="521" max="711" width="9.6640625" style="9"/>
    <col min="712" max="712" width="6.44140625" style="9" customWidth="1"/>
    <col min="713" max="713" width="13.88671875" style="9" customWidth="1"/>
    <col min="714" max="714" width="11.88671875" style="9" customWidth="1"/>
    <col min="715" max="717" width="9.6640625" style="9"/>
    <col min="718" max="718" width="15.44140625" style="9" customWidth="1"/>
    <col min="719" max="719" width="16.21875" style="9" customWidth="1"/>
    <col min="720" max="731" width="9.6640625" style="9"/>
    <col min="732" max="732" width="12" style="9" customWidth="1"/>
    <col min="733" max="733" width="12.77734375" style="9" customWidth="1"/>
    <col min="734" max="734" width="11.109375" style="9" customWidth="1"/>
    <col min="735" max="735" width="12" style="9" customWidth="1"/>
    <col min="736" max="736" width="9.6640625" style="9"/>
    <col min="737" max="737" width="15.33203125" style="9" customWidth="1"/>
    <col min="738" max="738" width="15.21875" style="9" customWidth="1"/>
    <col min="739" max="739" width="21.44140625" style="9" customWidth="1"/>
    <col min="740" max="755" width="9.6640625" style="9"/>
    <col min="756" max="757" width="13.44140625" style="9" customWidth="1"/>
    <col min="758" max="758" width="9.6640625" style="9"/>
    <col min="759" max="759" width="13.88671875" style="9" customWidth="1"/>
    <col min="760" max="760" width="10.6640625" style="9" customWidth="1"/>
    <col min="761" max="761" width="17.33203125" style="9" customWidth="1"/>
    <col min="762" max="763" width="12.6640625" style="9" customWidth="1"/>
    <col min="764" max="764" width="11.21875" style="9" customWidth="1"/>
    <col min="765" max="765" width="18.33203125" style="9" customWidth="1"/>
    <col min="766" max="766" width="12.88671875" style="9" customWidth="1"/>
    <col min="767" max="768" width="13.21875" style="9" customWidth="1"/>
    <col min="769" max="769" width="10.88671875" style="9" customWidth="1"/>
    <col min="770" max="770" width="11.109375" style="9" customWidth="1"/>
    <col min="771" max="771" width="15.21875" style="9" customWidth="1"/>
    <col min="772" max="772" width="9.6640625" style="9"/>
    <col min="773" max="773" width="11" style="9" customWidth="1"/>
    <col min="774" max="774" width="10.77734375" style="9" customWidth="1"/>
    <col min="775" max="775" width="11.44140625" style="9" customWidth="1"/>
    <col min="776" max="776" width="4" style="9" customWidth="1"/>
    <col min="777" max="967" width="9.6640625" style="9"/>
    <col min="968" max="968" width="6.44140625" style="9" customWidth="1"/>
    <col min="969" max="969" width="13.88671875" style="9" customWidth="1"/>
    <col min="970" max="970" width="11.88671875" style="9" customWidth="1"/>
    <col min="971" max="973" width="9.6640625" style="9"/>
    <col min="974" max="974" width="15.44140625" style="9" customWidth="1"/>
    <col min="975" max="975" width="16.21875" style="9" customWidth="1"/>
    <col min="976" max="987" width="9.6640625" style="9"/>
    <col min="988" max="988" width="12" style="9" customWidth="1"/>
    <col min="989" max="989" width="12.77734375" style="9" customWidth="1"/>
    <col min="990" max="990" width="11.109375" style="9" customWidth="1"/>
    <col min="991" max="991" width="12" style="9" customWidth="1"/>
    <col min="992" max="992" width="9.6640625" style="9"/>
    <col min="993" max="993" width="15.33203125" style="9" customWidth="1"/>
    <col min="994" max="994" width="15.21875" style="9" customWidth="1"/>
    <col min="995" max="995" width="21.44140625" style="9" customWidth="1"/>
    <col min="996" max="1011" width="9.6640625" style="9"/>
    <col min="1012" max="1013" width="13.44140625" style="9" customWidth="1"/>
    <col min="1014" max="1014" width="9.6640625" style="9"/>
    <col min="1015" max="1015" width="13.88671875" style="9" customWidth="1"/>
    <col min="1016" max="1016" width="10.6640625" style="9" customWidth="1"/>
    <col min="1017" max="1017" width="17.33203125" style="9" customWidth="1"/>
    <col min="1018" max="1019" width="12.6640625" style="9" customWidth="1"/>
    <col min="1020" max="1020" width="11.21875" style="9" customWidth="1"/>
    <col min="1021" max="1021" width="18.33203125" style="9" customWidth="1"/>
    <col min="1022" max="1022" width="12.88671875" style="9" customWidth="1"/>
    <col min="1023" max="1024" width="13.21875" style="9" customWidth="1"/>
    <col min="1025" max="1025" width="10.88671875" style="9" customWidth="1"/>
    <col min="1026" max="1026" width="11.109375" style="9" customWidth="1"/>
    <col min="1027" max="1027" width="15.21875" style="9" customWidth="1"/>
    <col min="1028" max="1028" width="9.6640625" style="9"/>
    <col min="1029" max="1029" width="11" style="9" customWidth="1"/>
    <col min="1030" max="1030" width="10.77734375" style="9" customWidth="1"/>
    <col min="1031" max="1031" width="11.44140625" style="9" customWidth="1"/>
    <col min="1032" max="1032" width="4" style="9" customWidth="1"/>
    <col min="1033" max="1223" width="9.6640625" style="9"/>
    <col min="1224" max="1224" width="6.44140625" style="9" customWidth="1"/>
    <col min="1225" max="1225" width="13.88671875" style="9" customWidth="1"/>
    <col min="1226" max="1226" width="11.88671875" style="9" customWidth="1"/>
    <col min="1227" max="1229" width="9.6640625" style="9"/>
    <col min="1230" max="1230" width="15.44140625" style="9" customWidth="1"/>
    <col min="1231" max="1231" width="16.21875" style="9" customWidth="1"/>
    <col min="1232" max="1243" width="9.6640625" style="9"/>
    <col min="1244" max="1244" width="12" style="9" customWidth="1"/>
    <col min="1245" max="1245" width="12.77734375" style="9" customWidth="1"/>
    <col min="1246" max="1246" width="11.109375" style="9" customWidth="1"/>
    <col min="1247" max="1247" width="12" style="9" customWidth="1"/>
    <col min="1248" max="1248" width="9.6640625" style="9"/>
    <col min="1249" max="1249" width="15.33203125" style="9" customWidth="1"/>
    <col min="1250" max="1250" width="15.21875" style="9" customWidth="1"/>
    <col min="1251" max="1251" width="21.44140625" style="9" customWidth="1"/>
    <col min="1252" max="1267" width="9.6640625" style="9"/>
    <col min="1268" max="1269" width="13.44140625" style="9" customWidth="1"/>
    <col min="1270" max="1270" width="9.6640625" style="9"/>
    <col min="1271" max="1271" width="13.88671875" style="9" customWidth="1"/>
    <col min="1272" max="1272" width="10.6640625" style="9" customWidth="1"/>
    <col min="1273" max="1273" width="17.33203125" style="9" customWidth="1"/>
    <col min="1274" max="1275" width="12.6640625" style="9" customWidth="1"/>
    <col min="1276" max="1276" width="11.21875" style="9" customWidth="1"/>
    <col min="1277" max="1277" width="18.33203125" style="9" customWidth="1"/>
    <col min="1278" max="1278" width="12.88671875" style="9" customWidth="1"/>
    <col min="1279" max="1280" width="13.21875" style="9" customWidth="1"/>
    <col min="1281" max="1281" width="10.88671875" style="9" customWidth="1"/>
    <col min="1282" max="1282" width="11.109375" style="9" customWidth="1"/>
    <col min="1283" max="1283" width="15.21875" style="9" customWidth="1"/>
    <col min="1284" max="1284" width="9.6640625" style="9"/>
    <col min="1285" max="1285" width="11" style="9" customWidth="1"/>
    <col min="1286" max="1286" width="10.77734375" style="9" customWidth="1"/>
    <col min="1287" max="1287" width="11.44140625" style="9" customWidth="1"/>
    <col min="1288" max="1288" width="4" style="9" customWidth="1"/>
    <col min="1289" max="1479" width="9.6640625" style="9"/>
    <col min="1480" max="1480" width="6.44140625" style="9" customWidth="1"/>
    <col min="1481" max="1481" width="13.88671875" style="9" customWidth="1"/>
    <col min="1482" max="1482" width="11.88671875" style="9" customWidth="1"/>
    <col min="1483" max="1485" width="9.6640625" style="9"/>
    <col min="1486" max="1486" width="15.44140625" style="9" customWidth="1"/>
    <col min="1487" max="1487" width="16.21875" style="9" customWidth="1"/>
    <col min="1488" max="1499" width="9.6640625" style="9"/>
    <col min="1500" max="1500" width="12" style="9" customWidth="1"/>
    <col min="1501" max="1501" width="12.77734375" style="9" customWidth="1"/>
    <col min="1502" max="1502" width="11.109375" style="9" customWidth="1"/>
    <col min="1503" max="1503" width="12" style="9" customWidth="1"/>
    <col min="1504" max="1504" width="9.6640625" style="9"/>
    <col min="1505" max="1505" width="15.33203125" style="9" customWidth="1"/>
    <col min="1506" max="1506" width="15.21875" style="9" customWidth="1"/>
    <col min="1507" max="1507" width="21.44140625" style="9" customWidth="1"/>
    <col min="1508" max="1523" width="9.6640625" style="9"/>
    <col min="1524" max="1525" width="13.44140625" style="9" customWidth="1"/>
    <col min="1526" max="1526" width="9.6640625" style="9"/>
    <col min="1527" max="1527" width="13.88671875" style="9" customWidth="1"/>
    <col min="1528" max="1528" width="10.6640625" style="9" customWidth="1"/>
    <col min="1529" max="1529" width="17.33203125" style="9" customWidth="1"/>
    <col min="1530" max="1531" width="12.6640625" style="9" customWidth="1"/>
    <col min="1532" max="1532" width="11.21875" style="9" customWidth="1"/>
    <col min="1533" max="1533" width="18.33203125" style="9" customWidth="1"/>
    <col min="1534" max="1534" width="12.88671875" style="9" customWidth="1"/>
    <col min="1535" max="1536" width="13.21875" style="9" customWidth="1"/>
    <col min="1537" max="1537" width="10.88671875" style="9" customWidth="1"/>
    <col min="1538" max="1538" width="11.109375" style="9" customWidth="1"/>
    <col min="1539" max="1539" width="15.21875" style="9" customWidth="1"/>
    <col min="1540" max="1540" width="9.6640625" style="9"/>
    <col min="1541" max="1541" width="11" style="9" customWidth="1"/>
    <col min="1542" max="1542" width="10.77734375" style="9" customWidth="1"/>
    <col min="1543" max="1543" width="11.44140625" style="9" customWidth="1"/>
    <col min="1544" max="1544" width="4" style="9" customWidth="1"/>
    <col min="1545" max="1735" width="9.6640625" style="9"/>
    <col min="1736" max="1736" width="6.44140625" style="9" customWidth="1"/>
    <col min="1737" max="1737" width="13.88671875" style="9" customWidth="1"/>
    <col min="1738" max="1738" width="11.88671875" style="9" customWidth="1"/>
    <col min="1739" max="1741" width="9.6640625" style="9"/>
    <col min="1742" max="1742" width="15.44140625" style="9" customWidth="1"/>
    <col min="1743" max="1743" width="16.21875" style="9" customWidth="1"/>
    <col min="1744" max="1755" width="9.6640625" style="9"/>
    <col min="1756" max="1756" width="12" style="9" customWidth="1"/>
    <col min="1757" max="1757" width="12.77734375" style="9" customWidth="1"/>
    <col min="1758" max="1758" width="11.109375" style="9" customWidth="1"/>
    <col min="1759" max="1759" width="12" style="9" customWidth="1"/>
    <col min="1760" max="1760" width="9.6640625" style="9"/>
    <col min="1761" max="1761" width="15.33203125" style="9" customWidth="1"/>
    <col min="1762" max="1762" width="15.21875" style="9" customWidth="1"/>
    <col min="1763" max="1763" width="21.44140625" style="9" customWidth="1"/>
    <col min="1764" max="1779" width="9.6640625" style="9"/>
    <col min="1780" max="1781" width="13.44140625" style="9" customWidth="1"/>
    <col min="1782" max="1782" width="9.6640625" style="9"/>
    <col min="1783" max="1783" width="13.88671875" style="9" customWidth="1"/>
    <col min="1784" max="1784" width="10.6640625" style="9" customWidth="1"/>
    <col min="1785" max="1785" width="17.33203125" style="9" customWidth="1"/>
    <col min="1786" max="1787" width="12.6640625" style="9" customWidth="1"/>
    <col min="1788" max="1788" width="11.21875" style="9" customWidth="1"/>
    <col min="1789" max="1789" width="18.33203125" style="9" customWidth="1"/>
    <col min="1790" max="1790" width="12.88671875" style="9" customWidth="1"/>
    <col min="1791" max="1792" width="13.21875" style="9" customWidth="1"/>
    <col min="1793" max="1793" width="10.88671875" style="9" customWidth="1"/>
    <col min="1794" max="1794" width="11.109375" style="9" customWidth="1"/>
    <col min="1795" max="1795" width="15.21875" style="9" customWidth="1"/>
    <col min="1796" max="1796" width="9.6640625" style="9"/>
    <col min="1797" max="1797" width="11" style="9" customWidth="1"/>
    <col min="1798" max="1798" width="10.77734375" style="9" customWidth="1"/>
    <col min="1799" max="1799" width="11.44140625" style="9" customWidth="1"/>
    <col min="1800" max="1800" width="4" style="9" customWidth="1"/>
    <col min="1801" max="1991" width="9.6640625" style="9"/>
    <col min="1992" max="1992" width="6.44140625" style="9" customWidth="1"/>
    <col min="1993" max="1993" width="13.88671875" style="9" customWidth="1"/>
    <col min="1994" max="1994" width="11.88671875" style="9" customWidth="1"/>
    <col min="1995" max="1997" width="9.6640625" style="9"/>
    <col min="1998" max="1998" width="15.44140625" style="9" customWidth="1"/>
    <col min="1999" max="1999" width="16.21875" style="9" customWidth="1"/>
    <col min="2000" max="2011" width="9.6640625" style="9"/>
    <col min="2012" max="2012" width="12" style="9" customWidth="1"/>
    <col min="2013" max="2013" width="12.77734375" style="9" customWidth="1"/>
    <col min="2014" max="2014" width="11.109375" style="9" customWidth="1"/>
    <col min="2015" max="2015" width="12" style="9" customWidth="1"/>
    <col min="2016" max="2016" width="9.6640625" style="9"/>
    <col min="2017" max="2017" width="15.33203125" style="9" customWidth="1"/>
    <col min="2018" max="2018" width="15.21875" style="9" customWidth="1"/>
    <col min="2019" max="2019" width="21.44140625" style="9" customWidth="1"/>
    <col min="2020" max="2035" width="9.6640625" style="9"/>
    <col min="2036" max="2037" width="13.44140625" style="9" customWidth="1"/>
    <col min="2038" max="2038" width="9.6640625" style="9"/>
    <col min="2039" max="2039" width="13.88671875" style="9" customWidth="1"/>
    <col min="2040" max="2040" width="10.6640625" style="9" customWidth="1"/>
    <col min="2041" max="2041" width="17.33203125" style="9" customWidth="1"/>
    <col min="2042" max="2043" width="12.6640625" style="9" customWidth="1"/>
    <col min="2044" max="2044" width="11.21875" style="9" customWidth="1"/>
    <col min="2045" max="2045" width="18.33203125" style="9" customWidth="1"/>
    <col min="2046" max="2046" width="12.88671875" style="9" customWidth="1"/>
    <col min="2047" max="2048" width="13.21875" style="9" customWidth="1"/>
    <col min="2049" max="2049" width="10.88671875" style="9" customWidth="1"/>
    <col min="2050" max="2050" width="11.109375" style="9" customWidth="1"/>
    <col min="2051" max="2051" width="15.21875" style="9" customWidth="1"/>
    <col min="2052" max="2052" width="9.6640625" style="9"/>
    <col min="2053" max="2053" width="11" style="9" customWidth="1"/>
    <col min="2054" max="2054" width="10.77734375" style="9" customWidth="1"/>
    <col min="2055" max="2055" width="11.44140625" style="9" customWidth="1"/>
    <col min="2056" max="2056" width="4" style="9" customWidth="1"/>
    <col min="2057" max="2247" width="9.6640625" style="9"/>
    <col min="2248" max="2248" width="6.44140625" style="9" customWidth="1"/>
    <col min="2249" max="2249" width="13.88671875" style="9" customWidth="1"/>
    <col min="2250" max="2250" width="11.88671875" style="9" customWidth="1"/>
    <col min="2251" max="2253" width="9.6640625" style="9"/>
    <col min="2254" max="2254" width="15.44140625" style="9" customWidth="1"/>
    <col min="2255" max="2255" width="16.21875" style="9" customWidth="1"/>
    <col min="2256" max="2267" width="9.6640625" style="9"/>
    <col min="2268" max="2268" width="12" style="9" customWidth="1"/>
    <col min="2269" max="2269" width="12.77734375" style="9" customWidth="1"/>
    <col min="2270" max="2270" width="11.109375" style="9" customWidth="1"/>
    <col min="2271" max="2271" width="12" style="9" customWidth="1"/>
    <col min="2272" max="2272" width="9.6640625" style="9"/>
    <col min="2273" max="2273" width="15.33203125" style="9" customWidth="1"/>
    <col min="2274" max="2274" width="15.21875" style="9" customWidth="1"/>
    <col min="2275" max="2275" width="21.44140625" style="9" customWidth="1"/>
    <col min="2276" max="2291" width="9.6640625" style="9"/>
    <col min="2292" max="2293" width="13.44140625" style="9" customWidth="1"/>
    <col min="2294" max="2294" width="9.6640625" style="9"/>
    <col min="2295" max="2295" width="13.88671875" style="9" customWidth="1"/>
    <col min="2296" max="2296" width="10.6640625" style="9" customWidth="1"/>
    <col min="2297" max="2297" width="17.33203125" style="9" customWidth="1"/>
    <col min="2298" max="2299" width="12.6640625" style="9" customWidth="1"/>
    <col min="2300" max="2300" width="11.21875" style="9" customWidth="1"/>
    <col min="2301" max="2301" width="18.33203125" style="9" customWidth="1"/>
    <col min="2302" max="2302" width="12.88671875" style="9" customWidth="1"/>
    <col min="2303" max="2304" width="13.21875" style="9" customWidth="1"/>
    <col min="2305" max="2305" width="10.88671875" style="9" customWidth="1"/>
    <col min="2306" max="2306" width="11.109375" style="9" customWidth="1"/>
    <col min="2307" max="2307" width="15.21875" style="9" customWidth="1"/>
    <col min="2308" max="2308" width="9.6640625" style="9"/>
    <col min="2309" max="2309" width="11" style="9" customWidth="1"/>
    <col min="2310" max="2310" width="10.77734375" style="9" customWidth="1"/>
    <col min="2311" max="2311" width="11.44140625" style="9" customWidth="1"/>
    <col min="2312" max="2312" width="4" style="9" customWidth="1"/>
    <col min="2313" max="2503" width="9.6640625" style="9"/>
    <col min="2504" max="2504" width="6.44140625" style="9" customWidth="1"/>
    <col min="2505" max="2505" width="13.88671875" style="9" customWidth="1"/>
    <col min="2506" max="2506" width="11.88671875" style="9" customWidth="1"/>
    <col min="2507" max="2509" width="9.6640625" style="9"/>
    <col min="2510" max="2510" width="15.44140625" style="9" customWidth="1"/>
    <col min="2511" max="2511" width="16.21875" style="9" customWidth="1"/>
    <col min="2512" max="2523" width="9.6640625" style="9"/>
    <col min="2524" max="2524" width="12" style="9" customWidth="1"/>
    <col min="2525" max="2525" width="12.77734375" style="9" customWidth="1"/>
    <col min="2526" max="2526" width="11.109375" style="9" customWidth="1"/>
    <col min="2527" max="2527" width="12" style="9" customWidth="1"/>
    <col min="2528" max="2528" width="9.6640625" style="9"/>
    <col min="2529" max="2529" width="15.33203125" style="9" customWidth="1"/>
    <col min="2530" max="2530" width="15.21875" style="9" customWidth="1"/>
    <col min="2531" max="2531" width="21.44140625" style="9" customWidth="1"/>
    <col min="2532" max="2547" width="9.6640625" style="9"/>
    <col min="2548" max="2549" width="13.44140625" style="9" customWidth="1"/>
    <col min="2550" max="2550" width="9.6640625" style="9"/>
    <col min="2551" max="2551" width="13.88671875" style="9" customWidth="1"/>
    <col min="2552" max="2552" width="10.6640625" style="9" customWidth="1"/>
    <col min="2553" max="2553" width="17.33203125" style="9" customWidth="1"/>
    <col min="2554" max="2555" width="12.6640625" style="9" customWidth="1"/>
    <col min="2556" max="2556" width="11.21875" style="9" customWidth="1"/>
    <col min="2557" max="2557" width="18.33203125" style="9" customWidth="1"/>
    <col min="2558" max="2558" width="12.88671875" style="9" customWidth="1"/>
    <col min="2559" max="2560" width="13.21875" style="9" customWidth="1"/>
    <col min="2561" max="2561" width="10.88671875" style="9" customWidth="1"/>
    <col min="2562" max="2562" width="11.109375" style="9" customWidth="1"/>
    <col min="2563" max="2563" width="15.21875" style="9" customWidth="1"/>
    <col min="2564" max="2564" width="9.6640625" style="9"/>
    <col min="2565" max="2565" width="11" style="9" customWidth="1"/>
    <col min="2566" max="2566" width="10.77734375" style="9" customWidth="1"/>
    <col min="2567" max="2567" width="11.44140625" style="9" customWidth="1"/>
    <col min="2568" max="2568" width="4" style="9" customWidth="1"/>
    <col min="2569" max="2759" width="9.6640625" style="9"/>
    <col min="2760" max="2760" width="6.44140625" style="9" customWidth="1"/>
    <col min="2761" max="2761" width="13.88671875" style="9" customWidth="1"/>
    <col min="2762" max="2762" width="11.88671875" style="9" customWidth="1"/>
    <col min="2763" max="2765" width="9.6640625" style="9"/>
    <col min="2766" max="2766" width="15.44140625" style="9" customWidth="1"/>
    <col min="2767" max="2767" width="16.21875" style="9" customWidth="1"/>
    <col min="2768" max="2779" width="9.6640625" style="9"/>
    <col min="2780" max="2780" width="12" style="9" customWidth="1"/>
    <col min="2781" max="2781" width="12.77734375" style="9" customWidth="1"/>
    <col min="2782" max="2782" width="11.109375" style="9" customWidth="1"/>
    <col min="2783" max="2783" width="12" style="9" customWidth="1"/>
    <col min="2784" max="2784" width="9.6640625" style="9"/>
    <col min="2785" max="2785" width="15.33203125" style="9" customWidth="1"/>
    <col min="2786" max="2786" width="15.21875" style="9" customWidth="1"/>
    <col min="2787" max="2787" width="21.44140625" style="9" customWidth="1"/>
    <col min="2788" max="2803" width="9.6640625" style="9"/>
    <col min="2804" max="2805" width="13.44140625" style="9" customWidth="1"/>
    <col min="2806" max="2806" width="9.6640625" style="9"/>
    <col min="2807" max="2807" width="13.88671875" style="9" customWidth="1"/>
    <col min="2808" max="2808" width="10.6640625" style="9" customWidth="1"/>
    <col min="2809" max="2809" width="17.33203125" style="9" customWidth="1"/>
    <col min="2810" max="2811" width="12.6640625" style="9" customWidth="1"/>
    <col min="2812" max="2812" width="11.21875" style="9" customWidth="1"/>
    <col min="2813" max="2813" width="18.33203125" style="9" customWidth="1"/>
    <col min="2814" max="2814" width="12.88671875" style="9" customWidth="1"/>
    <col min="2815" max="2816" width="13.21875" style="9" customWidth="1"/>
    <col min="2817" max="2817" width="10.88671875" style="9" customWidth="1"/>
    <col min="2818" max="2818" width="11.109375" style="9" customWidth="1"/>
    <col min="2819" max="2819" width="15.21875" style="9" customWidth="1"/>
    <col min="2820" max="2820" width="9.6640625" style="9"/>
    <col min="2821" max="2821" width="11" style="9" customWidth="1"/>
    <col min="2822" max="2822" width="10.77734375" style="9" customWidth="1"/>
    <col min="2823" max="2823" width="11.44140625" style="9" customWidth="1"/>
    <col min="2824" max="2824" width="4" style="9" customWidth="1"/>
    <col min="2825" max="3015" width="9.6640625" style="9"/>
    <col min="3016" max="3016" width="6.44140625" style="9" customWidth="1"/>
    <col min="3017" max="3017" width="13.88671875" style="9" customWidth="1"/>
    <col min="3018" max="3018" width="11.88671875" style="9" customWidth="1"/>
    <col min="3019" max="3021" width="9.6640625" style="9"/>
    <col min="3022" max="3022" width="15.44140625" style="9" customWidth="1"/>
    <col min="3023" max="3023" width="16.21875" style="9" customWidth="1"/>
    <col min="3024" max="3035" width="9.6640625" style="9"/>
    <col min="3036" max="3036" width="12" style="9" customWidth="1"/>
    <col min="3037" max="3037" width="12.77734375" style="9" customWidth="1"/>
    <col min="3038" max="3038" width="11.109375" style="9" customWidth="1"/>
    <col min="3039" max="3039" width="12" style="9" customWidth="1"/>
    <col min="3040" max="3040" width="9.6640625" style="9"/>
    <col min="3041" max="3041" width="15.33203125" style="9" customWidth="1"/>
    <col min="3042" max="3042" width="15.21875" style="9" customWidth="1"/>
    <col min="3043" max="3043" width="21.44140625" style="9" customWidth="1"/>
    <col min="3044" max="3059" width="9.6640625" style="9"/>
    <col min="3060" max="3061" width="13.44140625" style="9" customWidth="1"/>
    <col min="3062" max="3062" width="9.6640625" style="9"/>
    <col min="3063" max="3063" width="13.88671875" style="9" customWidth="1"/>
    <col min="3064" max="3064" width="10.6640625" style="9" customWidth="1"/>
    <col min="3065" max="3065" width="17.33203125" style="9" customWidth="1"/>
    <col min="3066" max="3067" width="12.6640625" style="9" customWidth="1"/>
    <col min="3068" max="3068" width="11.21875" style="9" customWidth="1"/>
    <col min="3069" max="3069" width="18.33203125" style="9" customWidth="1"/>
    <col min="3070" max="3070" width="12.88671875" style="9" customWidth="1"/>
    <col min="3071" max="3072" width="13.21875" style="9" customWidth="1"/>
    <col min="3073" max="3073" width="10.88671875" style="9" customWidth="1"/>
    <col min="3074" max="3074" width="11.109375" style="9" customWidth="1"/>
    <col min="3075" max="3075" width="15.21875" style="9" customWidth="1"/>
    <col min="3076" max="3076" width="9.6640625" style="9"/>
    <col min="3077" max="3077" width="11" style="9" customWidth="1"/>
    <col min="3078" max="3078" width="10.77734375" style="9" customWidth="1"/>
    <col min="3079" max="3079" width="11.44140625" style="9" customWidth="1"/>
    <col min="3080" max="3080" width="4" style="9" customWidth="1"/>
    <col min="3081" max="3271" width="9.6640625" style="9"/>
    <col min="3272" max="3272" width="6.44140625" style="9" customWidth="1"/>
    <col min="3273" max="3273" width="13.88671875" style="9" customWidth="1"/>
    <col min="3274" max="3274" width="11.88671875" style="9" customWidth="1"/>
    <col min="3275" max="3277" width="9.6640625" style="9"/>
    <col min="3278" max="3278" width="15.44140625" style="9" customWidth="1"/>
    <col min="3279" max="3279" width="16.21875" style="9" customWidth="1"/>
    <col min="3280" max="3291" width="9.6640625" style="9"/>
    <col min="3292" max="3292" width="12" style="9" customWidth="1"/>
    <col min="3293" max="3293" width="12.77734375" style="9" customWidth="1"/>
    <col min="3294" max="3294" width="11.109375" style="9" customWidth="1"/>
    <col min="3295" max="3295" width="12" style="9" customWidth="1"/>
    <col min="3296" max="3296" width="9.6640625" style="9"/>
    <col min="3297" max="3297" width="15.33203125" style="9" customWidth="1"/>
    <col min="3298" max="3298" width="15.21875" style="9" customWidth="1"/>
    <col min="3299" max="3299" width="21.44140625" style="9" customWidth="1"/>
    <col min="3300" max="3315" width="9.6640625" style="9"/>
    <col min="3316" max="3317" width="13.44140625" style="9" customWidth="1"/>
    <col min="3318" max="3318" width="9.6640625" style="9"/>
    <col min="3319" max="3319" width="13.88671875" style="9" customWidth="1"/>
    <col min="3320" max="3320" width="10.6640625" style="9" customWidth="1"/>
    <col min="3321" max="3321" width="17.33203125" style="9" customWidth="1"/>
    <col min="3322" max="3323" width="12.6640625" style="9" customWidth="1"/>
    <col min="3324" max="3324" width="11.21875" style="9" customWidth="1"/>
    <col min="3325" max="3325" width="18.33203125" style="9" customWidth="1"/>
    <col min="3326" max="3326" width="12.88671875" style="9" customWidth="1"/>
    <col min="3327" max="3328" width="13.21875" style="9" customWidth="1"/>
    <col min="3329" max="3329" width="10.88671875" style="9" customWidth="1"/>
    <col min="3330" max="3330" width="11.109375" style="9" customWidth="1"/>
    <col min="3331" max="3331" width="15.21875" style="9" customWidth="1"/>
    <col min="3332" max="3332" width="9.6640625" style="9"/>
    <col min="3333" max="3333" width="11" style="9" customWidth="1"/>
    <col min="3334" max="3334" width="10.77734375" style="9" customWidth="1"/>
    <col min="3335" max="3335" width="11.44140625" style="9" customWidth="1"/>
    <col min="3336" max="3336" width="4" style="9" customWidth="1"/>
    <col min="3337" max="3527" width="9.6640625" style="9"/>
    <col min="3528" max="3528" width="6.44140625" style="9" customWidth="1"/>
    <col min="3529" max="3529" width="13.88671875" style="9" customWidth="1"/>
    <col min="3530" max="3530" width="11.88671875" style="9" customWidth="1"/>
    <col min="3531" max="3533" width="9.6640625" style="9"/>
    <col min="3534" max="3534" width="15.44140625" style="9" customWidth="1"/>
    <col min="3535" max="3535" width="16.21875" style="9" customWidth="1"/>
    <col min="3536" max="3547" width="9.6640625" style="9"/>
    <col min="3548" max="3548" width="12" style="9" customWidth="1"/>
    <col min="3549" max="3549" width="12.77734375" style="9" customWidth="1"/>
    <col min="3550" max="3550" width="11.109375" style="9" customWidth="1"/>
    <col min="3551" max="3551" width="12" style="9" customWidth="1"/>
    <col min="3552" max="3552" width="9.6640625" style="9"/>
    <col min="3553" max="3553" width="15.33203125" style="9" customWidth="1"/>
    <col min="3554" max="3554" width="15.21875" style="9" customWidth="1"/>
    <col min="3555" max="3555" width="21.44140625" style="9" customWidth="1"/>
    <col min="3556" max="3571" width="9.6640625" style="9"/>
    <col min="3572" max="3573" width="13.44140625" style="9" customWidth="1"/>
    <col min="3574" max="3574" width="9.6640625" style="9"/>
    <col min="3575" max="3575" width="13.88671875" style="9" customWidth="1"/>
    <col min="3576" max="3576" width="10.6640625" style="9" customWidth="1"/>
    <col min="3577" max="3577" width="17.33203125" style="9" customWidth="1"/>
    <col min="3578" max="3579" width="12.6640625" style="9" customWidth="1"/>
    <col min="3580" max="3580" width="11.21875" style="9" customWidth="1"/>
    <col min="3581" max="3581" width="18.33203125" style="9" customWidth="1"/>
    <col min="3582" max="3582" width="12.88671875" style="9" customWidth="1"/>
    <col min="3583" max="3584" width="13.21875" style="9" customWidth="1"/>
    <col min="3585" max="3585" width="10.88671875" style="9" customWidth="1"/>
    <col min="3586" max="3586" width="11.109375" style="9" customWidth="1"/>
    <col min="3587" max="3587" width="15.21875" style="9" customWidth="1"/>
    <col min="3588" max="3588" width="9.6640625" style="9"/>
    <col min="3589" max="3589" width="11" style="9" customWidth="1"/>
    <col min="3590" max="3590" width="10.77734375" style="9" customWidth="1"/>
    <col min="3591" max="3591" width="11.44140625" style="9" customWidth="1"/>
    <col min="3592" max="3592" width="4" style="9" customWidth="1"/>
    <col min="3593" max="3783" width="9.6640625" style="9"/>
    <col min="3784" max="3784" width="6.44140625" style="9" customWidth="1"/>
    <col min="3785" max="3785" width="13.88671875" style="9" customWidth="1"/>
    <col min="3786" max="3786" width="11.88671875" style="9" customWidth="1"/>
    <col min="3787" max="3789" width="9.6640625" style="9"/>
    <col min="3790" max="3790" width="15.44140625" style="9" customWidth="1"/>
    <col min="3791" max="3791" width="16.21875" style="9" customWidth="1"/>
    <col min="3792" max="3803" width="9.6640625" style="9"/>
    <col min="3804" max="3804" width="12" style="9" customWidth="1"/>
    <col min="3805" max="3805" width="12.77734375" style="9" customWidth="1"/>
    <col min="3806" max="3806" width="11.109375" style="9" customWidth="1"/>
    <col min="3807" max="3807" width="12" style="9" customWidth="1"/>
    <col min="3808" max="3808" width="9.6640625" style="9"/>
    <col min="3809" max="3809" width="15.33203125" style="9" customWidth="1"/>
    <col min="3810" max="3810" width="15.21875" style="9" customWidth="1"/>
    <col min="3811" max="3811" width="21.44140625" style="9" customWidth="1"/>
    <col min="3812" max="3827" width="9.6640625" style="9"/>
    <col min="3828" max="3829" width="13.44140625" style="9" customWidth="1"/>
    <col min="3830" max="3830" width="9.6640625" style="9"/>
    <col min="3831" max="3831" width="13.88671875" style="9" customWidth="1"/>
    <col min="3832" max="3832" width="10.6640625" style="9" customWidth="1"/>
    <col min="3833" max="3833" width="17.33203125" style="9" customWidth="1"/>
    <col min="3834" max="3835" width="12.6640625" style="9" customWidth="1"/>
    <col min="3836" max="3836" width="11.21875" style="9" customWidth="1"/>
    <col min="3837" max="3837" width="18.33203125" style="9" customWidth="1"/>
    <col min="3838" max="3838" width="12.88671875" style="9" customWidth="1"/>
    <col min="3839" max="3840" width="13.21875" style="9" customWidth="1"/>
    <col min="3841" max="3841" width="10.88671875" style="9" customWidth="1"/>
    <col min="3842" max="3842" width="11.109375" style="9" customWidth="1"/>
    <col min="3843" max="3843" width="15.21875" style="9" customWidth="1"/>
    <col min="3844" max="3844" width="9.6640625" style="9"/>
    <col min="3845" max="3845" width="11" style="9" customWidth="1"/>
    <col min="3846" max="3846" width="10.77734375" style="9" customWidth="1"/>
    <col min="3847" max="3847" width="11.44140625" style="9" customWidth="1"/>
    <col min="3848" max="3848" width="4" style="9" customWidth="1"/>
    <col min="3849" max="4039" width="9.6640625" style="9"/>
    <col min="4040" max="4040" width="6.44140625" style="9" customWidth="1"/>
    <col min="4041" max="4041" width="13.88671875" style="9" customWidth="1"/>
    <col min="4042" max="4042" width="11.88671875" style="9" customWidth="1"/>
    <col min="4043" max="4045" width="9.6640625" style="9"/>
    <col min="4046" max="4046" width="15.44140625" style="9" customWidth="1"/>
    <col min="4047" max="4047" width="16.21875" style="9" customWidth="1"/>
    <col min="4048" max="4059" width="9.6640625" style="9"/>
    <col min="4060" max="4060" width="12" style="9" customWidth="1"/>
    <col min="4061" max="4061" width="12.77734375" style="9" customWidth="1"/>
    <col min="4062" max="4062" width="11.109375" style="9" customWidth="1"/>
    <col min="4063" max="4063" width="12" style="9" customWidth="1"/>
    <col min="4064" max="4064" width="9.6640625" style="9"/>
    <col min="4065" max="4065" width="15.33203125" style="9" customWidth="1"/>
    <col min="4066" max="4066" width="15.21875" style="9" customWidth="1"/>
    <col min="4067" max="4067" width="21.44140625" style="9" customWidth="1"/>
    <col min="4068" max="4083" width="9.6640625" style="9"/>
    <col min="4084" max="4085" width="13.44140625" style="9" customWidth="1"/>
    <col min="4086" max="4086" width="9.6640625" style="9"/>
    <col min="4087" max="4087" width="13.88671875" style="9" customWidth="1"/>
    <col min="4088" max="4088" width="10.6640625" style="9" customWidth="1"/>
    <col min="4089" max="4089" width="17.33203125" style="9" customWidth="1"/>
    <col min="4090" max="4091" width="12.6640625" style="9" customWidth="1"/>
    <col min="4092" max="4092" width="11.21875" style="9" customWidth="1"/>
    <col min="4093" max="4093" width="18.33203125" style="9" customWidth="1"/>
    <col min="4094" max="4094" width="12.88671875" style="9" customWidth="1"/>
    <col min="4095" max="4096" width="13.21875" style="9" customWidth="1"/>
    <col min="4097" max="4097" width="10.88671875" style="9" customWidth="1"/>
    <col min="4098" max="4098" width="11.109375" style="9" customWidth="1"/>
    <col min="4099" max="4099" width="15.21875" style="9" customWidth="1"/>
    <col min="4100" max="4100" width="9.6640625" style="9"/>
    <col min="4101" max="4101" width="11" style="9" customWidth="1"/>
    <col min="4102" max="4102" width="10.77734375" style="9" customWidth="1"/>
    <col min="4103" max="4103" width="11.44140625" style="9" customWidth="1"/>
    <col min="4104" max="4104" width="4" style="9" customWidth="1"/>
    <col min="4105" max="4295" width="9.6640625" style="9"/>
    <col min="4296" max="4296" width="6.44140625" style="9" customWidth="1"/>
    <col min="4297" max="4297" width="13.88671875" style="9" customWidth="1"/>
    <col min="4298" max="4298" width="11.88671875" style="9" customWidth="1"/>
    <col min="4299" max="4301" width="9.6640625" style="9"/>
    <col min="4302" max="4302" width="15.44140625" style="9" customWidth="1"/>
    <col min="4303" max="4303" width="16.21875" style="9" customWidth="1"/>
    <col min="4304" max="4315" width="9.6640625" style="9"/>
    <col min="4316" max="4316" width="12" style="9" customWidth="1"/>
    <col min="4317" max="4317" width="12.77734375" style="9" customWidth="1"/>
    <col min="4318" max="4318" width="11.109375" style="9" customWidth="1"/>
    <col min="4319" max="4319" width="12" style="9" customWidth="1"/>
    <col min="4320" max="4320" width="9.6640625" style="9"/>
    <col min="4321" max="4321" width="15.33203125" style="9" customWidth="1"/>
    <col min="4322" max="4322" width="15.21875" style="9" customWidth="1"/>
    <col min="4323" max="4323" width="21.44140625" style="9" customWidth="1"/>
    <col min="4324" max="4339" width="9.6640625" style="9"/>
    <col min="4340" max="4341" width="13.44140625" style="9" customWidth="1"/>
    <col min="4342" max="4342" width="9.6640625" style="9"/>
    <col min="4343" max="4343" width="13.88671875" style="9" customWidth="1"/>
    <col min="4344" max="4344" width="10.6640625" style="9" customWidth="1"/>
    <col min="4345" max="4345" width="17.33203125" style="9" customWidth="1"/>
    <col min="4346" max="4347" width="12.6640625" style="9" customWidth="1"/>
    <col min="4348" max="4348" width="11.21875" style="9" customWidth="1"/>
    <col min="4349" max="4349" width="18.33203125" style="9" customWidth="1"/>
    <col min="4350" max="4350" width="12.88671875" style="9" customWidth="1"/>
    <col min="4351" max="4352" width="13.21875" style="9" customWidth="1"/>
    <col min="4353" max="4353" width="10.88671875" style="9" customWidth="1"/>
    <col min="4354" max="4354" width="11.109375" style="9" customWidth="1"/>
    <col min="4355" max="4355" width="15.21875" style="9" customWidth="1"/>
    <col min="4356" max="4356" width="9.6640625" style="9"/>
    <col min="4357" max="4357" width="11" style="9" customWidth="1"/>
    <col min="4358" max="4358" width="10.77734375" style="9" customWidth="1"/>
    <col min="4359" max="4359" width="11.44140625" style="9" customWidth="1"/>
    <col min="4360" max="4360" width="4" style="9" customWidth="1"/>
    <col min="4361" max="4551" width="9.6640625" style="9"/>
    <col min="4552" max="4552" width="6.44140625" style="9" customWidth="1"/>
    <col min="4553" max="4553" width="13.88671875" style="9" customWidth="1"/>
    <col min="4554" max="4554" width="11.88671875" style="9" customWidth="1"/>
    <col min="4555" max="4557" width="9.6640625" style="9"/>
    <col min="4558" max="4558" width="15.44140625" style="9" customWidth="1"/>
    <col min="4559" max="4559" width="16.21875" style="9" customWidth="1"/>
    <col min="4560" max="4571" width="9.6640625" style="9"/>
    <col min="4572" max="4572" width="12" style="9" customWidth="1"/>
    <col min="4573" max="4573" width="12.77734375" style="9" customWidth="1"/>
    <col min="4574" max="4574" width="11.109375" style="9" customWidth="1"/>
    <col min="4575" max="4575" width="12" style="9" customWidth="1"/>
    <col min="4576" max="4576" width="9.6640625" style="9"/>
    <col min="4577" max="4577" width="15.33203125" style="9" customWidth="1"/>
    <col min="4578" max="4578" width="15.21875" style="9" customWidth="1"/>
    <col min="4579" max="4579" width="21.44140625" style="9" customWidth="1"/>
    <col min="4580" max="4595" width="9.6640625" style="9"/>
    <col min="4596" max="4597" width="13.44140625" style="9" customWidth="1"/>
    <col min="4598" max="4598" width="9.6640625" style="9"/>
    <col min="4599" max="4599" width="13.88671875" style="9" customWidth="1"/>
    <col min="4600" max="4600" width="10.6640625" style="9" customWidth="1"/>
    <col min="4601" max="4601" width="17.33203125" style="9" customWidth="1"/>
    <col min="4602" max="4603" width="12.6640625" style="9" customWidth="1"/>
    <col min="4604" max="4604" width="11.21875" style="9" customWidth="1"/>
    <col min="4605" max="4605" width="18.33203125" style="9" customWidth="1"/>
    <col min="4606" max="4606" width="12.88671875" style="9" customWidth="1"/>
    <col min="4607" max="4608" width="13.21875" style="9" customWidth="1"/>
    <col min="4609" max="4609" width="10.88671875" style="9" customWidth="1"/>
    <col min="4610" max="4610" width="11.109375" style="9" customWidth="1"/>
    <col min="4611" max="4611" width="15.21875" style="9" customWidth="1"/>
    <col min="4612" max="4612" width="9.6640625" style="9"/>
    <col min="4613" max="4613" width="11" style="9" customWidth="1"/>
    <col min="4614" max="4614" width="10.77734375" style="9" customWidth="1"/>
    <col min="4615" max="4615" width="11.44140625" style="9" customWidth="1"/>
    <col min="4616" max="4616" width="4" style="9" customWidth="1"/>
    <col min="4617" max="4807" width="9.6640625" style="9"/>
    <col min="4808" max="4808" width="6.44140625" style="9" customWidth="1"/>
    <col min="4809" max="4809" width="13.88671875" style="9" customWidth="1"/>
    <col min="4810" max="4810" width="11.88671875" style="9" customWidth="1"/>
    <col min="4811" max="4813" width="9.6640625" style="9"/>
    <col min="4814" max="4814" width="15.44140625" style="9" customWidth="1"/>
    <col min="4815" max="4815" width="16.21875" style="9" customWidth="1"/>
    <col min="4816" max="4827" width="9.6640625" style="9"/>
    <col min="4828" max="4828" width="12" style="9" customWidth="1"/>
    <col min="4829" max="4829" width="12.77734375" style="9" customWidth="1"/>
    <col min="4830" max="4830" width="11.109375" style="9" customWidth="1"/>
    <col min="4831" max="4831" width="12" style="9" customWidth="1"/>
    <col min="4832" max="4832" width="9.6640625" style="9"/>
    <col min="4833" max="4833" width="15.33203125" style="9" customWidth="1"/>
    <col min="4834" max="4834" width="15.21875" style="9" customWidth="1"/>
    <col min="4835" max="4835" width="21.44140625" style="9" customWidth="1"/>
    <col min="4836" max="4851" width="9.6640625" style="9"/>
    <col min="4852" max="4853" width="13.44140625" style="9" customWidth="1"/>
    <col min="4854" max="4854" width="9.6640625" style="9"/>
    <col min="4855" max="4855" width="13.88671875" style="9" customWidth="1"/>
    <col min="4856" max="4856" width="10.6640625" style="9" customWidth="1"/>
    <col min="4857" max="4857" width="17.33203125" style="9" customWidth="1"/>
    <col min="4858" max="4859" width="12.6640625" style="9" customWidth="1"/>
    <col min="4860" max="4860" width="11.21875" style="9" customWidth="1"/>
    <col min="4861" max="4861" width="18.33203125" style="9" customWidth="1"/>
    <col min="4862" max="4862" width="12.88671875" style="9" customWidth="1"/>
    <col min="4863" max="4864" width="13.21875" style="9" customWidth="1"/>
    <col min="4865" max="4865" width="10.88671875" style="9" customWidth="1"/>
    <col min="4866" max="4866" width="11.109375" style="9" customWidth="1"/>
    <col min="4867" max="4867" width="15.21875" style="9" customWidth="1"/>
    <col min="4868" max="4868" width="9.6640625" style="9"/>
    <col min="4869" max="4869" width="11" style="9" customWidth="1"/>
    <col min="4870" max="4870" width="10.77734375" style="9" customWidth="1"/>
    <col min="4871" max="4871" width="11.44140625" style="9" customWidth="1"/>
    <col min="4872" max="4872" width="4" style="9" customWidth="1"/>
    <col min="4873" max="5063" width="9.6640625" style="9"/>
    <col min="5064" max="5064" width="6.44140625" style="9" customWidth="1"/>
    <col min="5065" max="5065" width="13.88671875" style="9" customWidth="1"/>
    <col min="5066" max="5066" width="11.88671875" style="9" customWidth="1"/>
    <col min="5067" max="5069" width="9.6640625" style="9"/>
    <col min="5070" max="5070" width="15.44140625" style="9" customWidth="1"/>
    <col min="5071" max="5071" width="16.21875" style="9" customWidth="1"/>
    <col min="5072" max="5083" width="9.6640625" style="9"/>
    <col min="5084" max="5084" width="12" style="9" customWidth="1"/>
    <col min="5085" max="5085" width="12.77734375" style="9" customWidth="1"/>
    <col min="5086" max="5086" width="11.109375" style="9" customWidth="1"/>
    <col min="5087" max="5087" width="12" style="9" customWidth="1"/>
    <col min="5088" max="5088" width="9.6640625" style="9"/>
    <col min="5089" max="5089" width="15.33203125" style="9" customWidth="1"/>
    <col min="5090" max="5090" width="15.21875" style="9" customWidth="1"/>
    <col min="5091" max="5091" width="21.44140625" style="9" customWidth="1"/>
    <col min="5092" max="5107" width="9.6640625" style="9"/>
    <col min="5108" max="5109" width="13.44140625" style="9" customWidth="1"/>
    <col min="5110" max="5110" width="9.6640625" style="9"/>
    <col min="5111" max="5111" width="13.88671875" style="9" customWidth="1"/>
    <col min="5112" max="5112" width="10.6640625" style="9" customWidth="1"/>
    <col min="5113" max="5113" width="17.33203125" style="9" customWidth="1"/>
    <col min="5114" max="5115" width="12.6640625" style="9" customWidth="1"/>
    <col min="5116" max="5116" width="11.21875" style="9" customWidth="1"/>
    <col min="5117" max="5117" width="18.33203125" style="9" customWidth="1"/>
    <col min="5118" max="5118" width="12.88671875" style="9" customWidth="1"/>
    <col min="5119" max="5120" width="13.21875" style="9" customWidth="1"/>
    <col min="5121" max="5121" width="10.88671875" style="9" customWidth="1"/>
    <col min="5122" max="5122" width="11.109375" style="9" customWidth="1"/>
    <col min="5123" max="5123" width="15.21875" style="9" customWidth="1"/>
    <col min="5124" max="5124" width="9.6640625" style="9"/>
    <col min="5125" max="5125" width="11" style="9" customWidth="1"/>
    <col min="5126" max="5126" width="10.77734375" style="9" customWidth="1"/>
    <col min="5127" max="5127" width="11.44140625" style="9" customWidth="1"/>
    <col min="5128" max="5128" width="4" style="9" customWidth="1"/>
    <col min="5129" max="5319" width="9.6640625" style="9"/>
    <col min="5320" max="5320" width="6.44140625" style="9" customWidth="1"/>
    <col min="5321" max="5321" width="13.88671875" style="9" customWidth="1"/>
    <col min="5322" max="5322" width="11.88671875" style="9" customWidth="1"/>
    <col min="5323" max="5325" width="9.6640625" style="9"/>
    <col min="5326" max="5326" width="15.44140625" style="9" customWidth="1"/>
    <col min="5327" max="5327" width="16.21875" style="9" customWidth="1"/>
    <col min="5328" max="5339" width="9.6640625" style="9"/>
    <col min="5340" max="5340" width="12" style="9" customWidth="1"/>
    <col min="5341" max="5341" width="12.77734375" style="9" customWidth="1"/>
    <col min="5342" max="5342" width="11.109375" style="9" customWidth="1"/>
    <col min="5343" max="5343" width="12" style="9" customWidth="1"/>
    <col min="5344" max="5344" width="9.6640625" style="9"/>
    <col min="5345" max="5345" width="15.33203125" style="9" customWidth="1"/>
    <col min="5346" max="5346" width="15.21875" style="9" customWidth="1"/>
    <col min="5347" max="5347" width="21.44140625" style="9" customWidth="1"/>
    <col min="5348" max="5363" width="9.6640625" style="9"/>
    <col min="5364" max="5365" width="13.44140625" style="9" customWidth="1"/>
    <col min="5366" max="5366" width="9.6640625" style="9"/>
    <col min="5367" max="5367" width="13.88671875" style="9" customWidth="1"/>
    <col min="5368" max="5368" width="10.6640625" style="9" customWidth="1"/>
    <col min="5369" max="5369" width="17.33203125" style="9" customWidth="1"/>
    <col min="5370" max="5371" width="12.6640625" style="9" customWidth="1"/>
    <col min="5372" max="5372" width="11.21875" style="9" customWidth="1"/>
    <col min="5373" max="5373" width="18.33203125" style="9" customWidth="1"/>
    <col min="5374" max="5374" width="12.88671875" style="9" customWidth="1"/>
    <col min="5375" max="5376" width="13.21875" style="9" customWidth="1"/>
    <col min="5377" max="5377" width="10.88671875" style="9" customWidth="1"/>
    <col min="5378" max="5378" width="11.109375" style="9" customWidth="1"/>
    <col min="5379" max="5379" width="15.21875" style="9" customWidth="1"/>
    <col min="5380" max="5380" width="9.6640625" style="9"/>
    <col min="5381" max="5381" width="11" style="9" customWidth="1"/>
    <col min="5382" max="5382" width="10.77734375" style="9" customWidth="1"/>
    <col min="5383" max="5383" width="11.44140625" style="9" customWidth="1"/>
    <col min="5384" max="5384" width="4" style="9" customWidth="1"/>
    <col min="5385" max="5575" width="9.6640625" style="9"/>
    <col min="5576" max="5576" width="6.44140625" style="9" customWidth="1"/>
    <col min="5577" max="5577" width="13.88671875" style="9" customWidth="1"/>
    <col min="5578" max="5578" width="11.88671875" style="9" customWidth="1"/>
    <col min="5579" max="5581" width="9.6640625" style="9"/>
    <col min="5582" max="5582" width="15.44140625" style="9" customWidth="1"/>
    <col min="5583" max="5583" width="16.21875" style="9" customWidth="1"/>
    <col min="5584" max="5595" width="9.6640625" style="9"/>
    <col min="5596" max="5596" width="12" style="9" customWidth="1"/>
    <col min="5597" max="5597" width="12.77734375" style="9" customWidth="1"/>
    <col min="5598" max="5598" width="11.109375" style="9" customWidth="1"/>
    <col min="5599" max="5599" width="12" style="9" customWidth="1"/>
    <col min="5600" max="5600" width="9.6640625" style="9"/>
    <col min="5601" max="5601" width="15.33203125" style="9" customWidth="1"/>
    <col min="5602" max="5602" width="15.21875" style="9" customWidth="1"/>
    <col min="5603" max="5603" width="21.44140625" style="9" customWidth="1"/>
    <col min="5604" max="5619" width="9.6640625" style="9"/>
    <col min="5620" max="5621" width="13.44140625" style="9" customWidth="1"/>
    <col min="5622" max="5622" width="9.6640625" style="9"/>
    <col min="5623" max="5623" width="13.88671875" style="9" customWidth="1"/>
    <col min="5624" max="5624" width="10.6640625" style="9" customWidth="1"/>
    <col min="5625" max="5625" width="17.33203125" style="9" customWidth="1"/>
    <col min="5626" max="5627" width="12.6640625" style="9" customWidth="1"/>
    <col min="5628" max="5628" width="11.21875" style="9" customWidth="1"/>
    <col min="5629" max="5629" width="18.33203125" style="9" customWidth="1"/>
    <col min="5630" max="5630" width="12.88671875" style="9" customWidth="1"/>
    <col min="5631" max="5632" width="13.21875" style="9" customWidth="1"/>
    <col min="5633" max="5633" width="10.88671875" style="9" customWidth="1"/>
    <col min="5634" max="5634" width="11.109375" style="9" customWidth="1"/>
    <col min="5635" max="5635" width="15.21875" style="9" customWidth="1"/>
    <col min="5636" max="5636" width="9.6640625" style="9"/>
    <col min="5637" max="5637" width="11" style="9" customWidth="1"/>
    <col min="5638" max="5638" width="10.77734375" style="9" customWidth="1"/>
    <col min="5639" max="5639" width="11.44140625" style="9" customWidth="1"/>
    <col min="5640" max="5640" width="4" style="9" customWidth="1"/>
    <col min="5641" max="5831" width="9.6640625" style="9"/>
    <col min="5832" max="5832" width="6.44140625" style="9" customWidth="1"/>
    <col min="5833" max="5833" width="13.88671875" style="9" customWidth="1"/>
    <col min="5834" max="5834" width="11.88671875" style="9" customWidth="1"/>
    <col min="5835" max="5837" width="9.6640625" style="9"/>
    <col min="5838" max="5838" width="15.44140625" style="9" customWidth="1"/>
    <col min="5839" max="5839" width="16.21875" style="9" customWidth="1"/>
    <col min="5840" max="5851" width="9.6640625" style="9"/>
    <col min="5852" max="5852" width="12" style="9" customWidth="1"/>
    <col min="5853" max="5853" width="12.77734375" style="9" customWidth="1"/>
    <col min="5854" max="5854" width="11.109375" style="9" customWidth="1"/>
    <col min="5855" max="5855" width="12" style="9" customWidth="1"/>
    <col min="5856" max="5856" width="9.6640625" style="9"/>
    <col min="5857" max="5857" width="15.33203125" style="9" customWidth="1"/>
    <col min="5858" max="5858" width="15.21875" style="9" customWidth="1"/>
    <col min="5859" max="5859" width="21.44140625" style="9" customWidth="1"/>
    <col min="5860" max="5875" width="9.6640625" style="9"/>
    <col min="5876" max="5877" width="13.44140625" style="9" customWidth="1"/>
    <col min="5878" max="5878" width="9.6640625" style="9"/>
    <col min="5879" max="5879" width="13.88671875" style="9" customWidth="1"/>
    <col min="5880" max="5880" width="10.6640625" style="9" customWidth="1"/>
    <col min="5881" max="5881" width="17.33203125" style="9" customWidth="1"/>
    <col min="5882" max="5883" width="12.6640625" style="9" customWidth="1"/>
    <col min="5884" max="5884" width="11.21875" style="9" customWidth="1"/>
    <col min="5885" max="5885" width="18.33203125" style="9" customWidth="1"/>
    <col min="5886" max="5886" width="12.88671875" style="9" customWidth="1"/>
    <col min="5887" max="5888" width="13.21875" style="9" customWidth="1"/>
    <col min="5889" max="5889" width="10.88671875" style="9" customWidth="1"/>
    <col min="5890" max="5890" width="11.109375" style="9" customWidth="1"/>
    <col min="5891" max="5891" width="15.21875" style="9" customWidth="1"/>
    <col min="5892" max="5892" width="9.6640625" style="9"/>
    <col min="5893" max="5893" width="11" style="9" customWidth="1"/>
    <col min="5894" max="5894" width="10.77734375" style="9" customWidth="1"/>
    <col min="5895" max="5895" width="11.44140625" style="9" customWidth="1"/>
    <col min="5896" max="5896" width="4" style="9" customWidth="1"/>
    <col min="5897" max="6087" width="9.6640625" style="9"/>
    <col min="6088" max="6088" width="6.44140625" style="9" customWidth="1"/>
    <col min="6089" max="6089" width="13.88671875" style="9" customWidth="1"/>
    <col min="6090" max="6090" width="11.88671875" style="9" customWidth="1"/>
    <col min="6091" max="6093" width="9.6640625" style="9"/>
    <col min="6094" max="6094" width="15.44140625" style="9" customWidth="1"/>
    <col min="6095" max="6095" width="16.21875" style="9" customWidth="1"/>
    <col min="6096" max="6107" width="9.6640625" style="9"/>
    <col min="6108" max="6108" width="12" style="9" customWidth="1"/>
    <col min="6109" max="6109" width="12.77734375" style="9" customWidth="1"/>
    <col min="6110" max="6110" width="11.109375" style="9" customWidth="1"/>
    <col min="6111" max="6111" width="12" style="9" customWidth="1"/>
    <col min="6112" max="6112" width="9.6640625" style="9"/>
    <col min="6113" max="6113" width="15.33203125" style="9" customWidth="1"/>
    <col min="6114" max="6114" width="15.21875" style="9" customWidth="1"/>
    <col min="6115" max="6115" width="21.44140625" style="9" customWidth="1"/>
    <col min="6116" max="6131" width="9.6640625" style="9"/>
    <col min="6132" max="6133" width="13.44140625" style="9" customWidth="1"/>
    <col min="6134" max="6134" width="9.6640625" style="9"/>
    <col min="6135" max="6135" width="13.88671875" style="9" customWidth="1"/>
    <col min="6136" max="6136" width="10.6640625" style="9" customWidth="1"/>
    <col min="6137" max="6137" width="17.33203125" style="9" customWidth="1"/>
    <col min="6138" max="6139" width="12.6640625" style="9" customWidth="1"/>
    <col min="6140" max="6140" width="11.21875" style="9" customWidth="1"/>
    <col min="6141" max="6141" width="18.33203125" style="9" customWidth="1"/>
    <col min="6142" max="6142" width="12.88671875" style="9" customWidth="1"/>
    <col min="6143" max="6144" width="13.21875" style="9" customWidth="1"/>
    <col min="6145" max="6145" width="10.88671875" style="9" customWidth="1"/>
    <col min="6146" max="6146" width="11.109375" style="9" customWidth="1"/>
    <col min="6147" max="6147" width="15.21875" style="9" customWidth="1"/>
    <col min="6148" max="6148" width="9.6640625" style="9"/>
    <col min="6149" max="6149" width="11" style="9" customWidth="1"/>
    <col min="6150" max="6150" width="10.77734375" style="9" customWidth="1"/>
    <col min="6151" max="6151" width="11.44140625" style="9" customWidth="1"/>
    <col min="6152" max="6152" width="4" style="9" customWidth="1"/>
    <col min="6153" max="6343" width="9.6640625" style="9"/>
    <col min="6344" max="6344" width="6.44140625" style="9" customWidth="1"/>
    <col min="6345" max="6345" width="13.88671875" style="9" customWidth="1"/>
    <col min="6346" max="6346" width="11.88671875" style="9" customWidth="1"/>
    <col min="6347" max="6349" width="9.6640625" style="9"/>
    <col min="6350" max="6350" width="15.44140625" style="9" customWidth="1"/>
    <col min="6351" max="6351" width="16.21875" style="9" customWidth="1"/>
    <col min="6352" max="6363" width="9.6640625" style="9"/>
    <col min="6364" max="6364" width="12" style="9" customWidth="1"/>
    <col min="6365" max="6365" width="12.77734375" style="9" customWidth="1"/>
    <col min="6366" max="6366" width="11.109375" style="9" customWidth="1"/>
    <col min="6367" max="6367" width="12" style="9" customWidth="1"/>
    <col min="6368" max="6368" width="9.6640625" style="9"/>
    <col min="6369" max="6369" width="15.33203125" style="9" customWidth="1"/>
    <col min="6370" max="6370" width="15.21875" style="9" customWidth="1"/>
    <col min="6371" max="6371" width="21.44140625" style="9" customWidth="1"/>
    <col min="6372" max="6387" width="9.6640625" style="9"/>
    <col min="6388" max="6389" width="13.44140625" style="9" customWidth="1"/>
    <col min="6390" max="6390" width="9.6640625" style="9"/>
    <col min="6391" max="6391" width="13.88671875" style="9" customWidth="1"/>
    <col min="6392" max="6392" width="10.6640625" style="9" customWidth="1"/>
    <col min="6393" max="6393" width="17.33203125" style="9" customWidth="1"/>
    <col min="6394" max="6395" width="12.6640625" style="9" customWidth="1"/>
    <col min="6396" max="6396" width="11.21875" style="9" customWidth="1"/>
    <col min="6397" max="6397" width="18.33203125" style="9" customWidth="1"/>
    <col min="6398" max="6398" width="12.88671875" style="9" customWidth="1"/>
    <col min="6399" max="6400" width="13.21875" style="9" customWidth="1"/>
    <col min="6401" max="6401" width="10.88671875" style="9" customWidth="1"/>
    <col min="6402" max="6402" width="11.109375" style="9" customWidth="1"/>
    <col min="6403" max="6403" width="15.21875" style="9" customWidth="1"/>
    <col min="6404" max="6404" width="9.6640625" style="9"/>
    <col min="6405" max="6405" width="11" style="9" customWidth="1"/>
    <col min="6406" max="6406" width="10.77734375" style="9" customWidth="1"/>
    <col min="6407" max="6407" width="11.44140625" style="9" customWidth="1"/>
    <col min="6408" max="6408" width="4" style="9" customWidth="1"/>
    <col min="6409" max="6599" width="9.6640625" style="9"/>
    <col min="6600" max="6600" width="6.44140625" style="9" customWidth="1"/>
    <col min="6601" max="6601" width="13.88671875" style="9" customWidth="1"/>
    <col min="6602" max="6602" width="11.88671875" style="9" customWidth="1"/>
    <col min="6603" max="6605" width="9.6640625" style="9"/>
    <col min="6606" max="6606" width="15.44140625" style="9" customWidth="1"/>
    <col min="6607" max="6607" width="16.21875" style="9" customWidth="1"/>
    <col min="6608" max="6619" width="9.6640625" style="9"/>
    <col min="6620" max="6620" width="12" style="9" customWidth="1"/>
    <col min="6621" max="6621" width="12.77734375" style="9" customWidth="1"/>
    <col min="6622" max="6622" width="11.109375" style="9" customWidth="1"/>
    <col min="6623" max="6623" width="12" style="9" customWidth="1"/>
    <col min="6624" max="6624" width="9.6640625" style="9"/>
    <col min="6625" max="6625" width="15.33203125" style="9" customWidth="1"/>
    <col min="6626" max="6626" width="15.21875" style="9" customWidth="1"/>
    <col min="6627" max="6627" width="21.44140625" style="9" customWidth="1"/>
    <col min="6628" max="6643" width="9.6640625" style="9"/>
    <col min="6644" max="6645" width="13.44140625" style="9" customWidth="1"/>
    <col min="6646" max="6646" width="9.6640625" style="9"/>
    <col min="6647" max="6647" width="13.88671875" style="9" customWidth="1"/>
    <col min="6648" max="6648" width="10.6640625" style="9" customWidth="1"/>
    <col min="6649" max="6649" width="17.33203125" style="9" customWidth="1"/>
    <col min="6650" max="6651" width="12.6640625" style="9" customWidth="1"/>
    <col min="6652" max="6652" width="11.21875" style="9" customWidth="1"/>
    <col min="6653" max="6653" width="18.33203125" style="9" customWidth="1"/>
    <col min="6654" max="6654" width="12.88671875" style="9" customWidth="1"/>
    <col min="6655" max="6656" width="13.21875" style="9" customWidth="1"/>
    <col min="6657" max="6657" width="10.88671875" style="9" customWidth="1"/>
    <col min="6658" max="6658" width="11.109375" style="9" customWidth="1"/>
    <col min="6659" max="6659" width="15.21875" style="9" customWidth="1"/>
    <col min="6660" max="6660" width="9.6640625" style="9"/>
    <col min="6661" max="6661" width="11" style="9" customWidth="1"/>
    <col min="6662" max="6662" width="10.77734375" style="9" customWidth="1"/>
    <col min="6663" max="6663" width="11.44140625" style="9" customWidth="1"/>
    <col min="6664" max="6664" width="4" style="9" customWidth="1"/>
    <col min="6665" max="6855" width="9.6640625" style="9"/>
    <col min="6856" max="6856" width="6.44140625" style="9" customWidth="1"/>
    <col min="6857" max="6857" width="13.88671875" style="9" customWidth="1"/>
    <col min="6858" max="6858" width="11.88671875" style="9" customWidth="1"/>
    <col min="6859" max="6861" width="9.6640625" style="9"/>
    <col min="6862" max="6862" width="15.44140625" style="9" customWidth="1"/>
    <col min="6863" max="6863" width="16.21875" style="9" customWidth="1"/>
    <col min="6864" max="6875" width="9.6640625" style="9"/>
    <col min="6876" max="6876" width="12" style="9" customWidth="1"/>
    <col min="6877" max="6877" width="12.77734375" style="9" customWidth="1"/>
    <col min="6878" max="6878" width="11.109375" style="9" customWidth="1"/>
    <col min="6879" max="6879" width="12" style="9" customWidth="1"/>
    <col min="6880" max="6880" width="9.6640625" style="9"/>
    <col min="6881" max="6881" width="15.33203125" style="9" customWidth="1"/>
    <col min="6882" max="6882" width="15.21875" style="9" customWidth="1"/>
    <col min="6883" max="6883" width="21.44140625" style="9" customWidth="1"/>
    <col min="6884" max="6899" width="9.6640625" style="9"/>
    <col min="6900" max="6901" width="13.44140625" style="9" customWidth="1"/>
    <col min="6902" max="6902" width="9.6640625" style="9"/>
    <col min="6903" max="6903" width="13.88671875" style="9" customWidth="1"/>
    <col min="6904" max="6904" width="10.6640625" style="9" customWidth="1"/>
    <col min="6905" max="6905" width="17.33203125" style="9" customWidth="1"/>
    <col min="6906" max="6907" width="12.6640625" style="9" customWidth="1"/>
    <col min="6908" max="6908" width="11.21875" style="9" customWidth="1"/>
    <col min="6909" max="6909" width="18.33203125" style="9" customWidth="1"/>
    <col min="6910" max="6910" width="12.88671875" style="9" customWidth="1"/>
    <col min="6911" max="6912" width="13.21875" style="9" customWidth="1"/>
    <col min="6913" max="6913" width="10.88671875" style="9" customWidth="1"/>
    <col min="6914" max="6914" width="11.109375" style="9" customWidth="1"/>
    <col min="6915" max="6915" width="15.21875" style="9" customWidth="1"/>
    <col min="6916" max="6916" width="9.6640625" style="9"/>
    <col min="6917" max="6917" width="11" style="9" customWidth="1"/>
    <col min="6918" max="6918" width="10.77734375" style="9" customWidth="1"/>
    <col min="6919" max="6919" width="11.44140625" style="9" customWidth="1"/>
    <col min="6920" max="6920" width="4" style="9" customWidth="1"/>
    <col min="6921" max="7111" width="9.6640625" style="9"/>
    <col min="7112" max="7112" width="6.44140625" style="9" customWidth="1"/>
    <col min="7113" max="7113" width="13.88671875" style="9" customWidth="1"/>
    <col min="7114" max="7114" width="11.88671875" style="9" customWidth="1"/>
    <col min="7115" max="7117" width="9.6640625" style="9"/>
    <col min="7118" max="7118" width="15.44140625" style="9" customWidth="1"/>
    <col min="7119" max="7119" width="16.21875" style="9" customWidth="1"/>
    <col min="7120" max="7131" width="9.6640625" style="9"/>
    <col min="7132" max="7132" width="12" style="9" customWidth="1"/>
    <col min="7133" max="7133" width="12.77734375" style="9" customWidth="1"/>
    <col min="7134" max="7134" width="11.109375" style="9" customWidth="1"/>
    <col min="7135" max="7135" width="12" style="9" customWidth="1"/>
    <col min="7136" max="7136" width="9.6640625" style="9"/>
    <col min="7137" max="7137" width="15.33203125" style="9" customWidth="1"/>
    <col min="7138" max="7138" width="15.21875" style="9" customWidth="1"/>
    <col min="7139" max="7139" width="21.44140625" style="9" customWidth="1"/>
    <col min="7140" max="7155" width="9.6640625" style="9"/>
    <col min="7156" max="7157" width="13.44140625" style="9" customWidth="1"/>
    <col min="7158" max="7158" width="9.6640625" style="9"/>
    <col min="7159" max="7159" width="13.88671875" style="9" customWidth="1"/>
    <col min="7160" max="7160" width="10.6640625" style="9" customWidth="1"/>
    <col min="7161" max="7161" width="17.33203125" style="9" customWidth="1"/>
    <col min="7162" max="7163" width="12.6640625" style="9" customWidth="1"/>
    <col min="7164" max="7164" width="11.21875" style="9" customWidth="1"/>
    <col min="7165" max="7165" width="18.33203125" style="9" customWidth="1"/>
    <col min="7166" max="7166" width="12.88671875" style="9" customWidth="1"/>
    <col min="7167" max="7168" width="13.21875" style="9" customWidth="1"/>
    <col min="7169" max="7169" width="10.88671875" style="9" customWidth="1"/>
    <col min="7170" max="7170" width="11.109375" style="9" customWidth="1"/>
    <col min="7171" max="7171" width="15.21875" style="9" customWidth="1"/>
    <col min="7172" max="7172" width="9.6640625" style="9"/>
    <col min="7173" max="7173" width="11" style="9" customWidth="1"/>
    <col min="7174" max="7174" width="10.77734375" style="9" customWidth="1"/>
    <col min="7175" max="7175" width="11.44140625" style="9" customWidth="1"/>
    <col min="7176" max="7176" width="4" style="9" customWidth="1"/>
    <col min="7177" max="7367" width="9.6640625" style="9"/>
    <col min="7368" max="7368" width="6.44140625" style="9" customWidth="1"/>
    <col min="7369" max="7369" width="13.88671875" style="9" customWidth="1"/>
    <col min="7370" max="7370" width="11.88671875" style="9" customWidth="1"/>
    <col min="7371" max="7373" width="9.6640625" style="9"/>
    <col min="7374" max="7374" width="15.44140625" style="9" customWidth="1"/>
    <col min="7375" max="7375" width="16.21875" style="9" customWidth="1"/>
    <col min="7376" max="7387" width="9.6640625" style="9"/>
    <col min="7388" max="7388" width="12" style="9" customWidth="1"/>
    <col min="7389" max="7389" width="12.77734375" style="9" customWidth="1"/>
    <col min="7390" max="7390" width="11.109375" style="9" customWidth="1"/>
    <col min="7391" max="7391" width="12" style="9" customWidth="1"/>
    <col min="7392" max="7392" width="9.6640625" style="9"/>
    <col min="7393" max="7393" width="15.33203125" style="9" customWidth="1"/>
    <col min="7394" max="7394" width="15.21875" style="9" customWidth="1"/>
    <col min="7395" max="7395" width="21.44140625" style="9" customWidth="1"/>
    <col min="7396" max="7411" width="9.6640625" style="9"/>
    <col min="7412" max="7413" width="13.44140625" style="9" customWidth="1"/>
    <col min="7414" max="7414" width="9.6640625" style="9"/>
    <col min="7415" max="7415" width="13.88671875" style="9" customWidth="1"/>
    <col min="7416" max="7416" width="10.6640625" style="9" customWidth="1"/>
    <col min="7417" max="7417" width="17.33203125" style="9" customWidth="1"/>
    <col min="7418" max="7419" width="12.6640625" style="9" customWidth="1"/>
    <col min="7420" max="7420" width="11.21875" style="9" customWidth="1"/>
    <col min="7421" max="7421" width="18.33203125" style="9" customWidth="1"/>
    <col min="7422" max="7422" width="12.88671875" style="9" customWidth="1"/>
    <col min="7423" max="7424" width="13.21875" style="9" customWidth="1"/>
    <col min="7425" max="7425" width="10.88671875" style="9" customWidth="1"/>
    <col min="7426" max="7426" width="11.109375" style="9" customWidth="1"/>
    <col min="7427" max="7427" width="15.21875" style="9" customWidth="1"/>
    <col min="7428" max="7428" width="9.6640625" style="9"/>
    <col min="7429" max="7429" width="11" style="9" customWidth="1"/>
    <col min="7430" max="7430" width="10.77734375" style="9" customWidth="1"/>
    <col min="7431" max="7431" width="11.44140625" style="9" customWidth="1"/>
    <col min="7432" max="7432" width="4" style="9" customWidth="1"/>
    <col min="7433" max="7623" width="9.6640625" style="9"/>
    <col min="7624" max="7624" width="6.44140625" style="9" customWidth="1"/>
    <col min="7625" max="7625" width="13.88671875" style="9" customWidth="1"/>
    <col min="7626" max="7626" width="11.88671875" style="9" customWidth="1"/>
    <col min="7627" max="7629" width="9.6640625" style="9"/>
    <col min="7630" max="7630" width="15.44140625" style="9" customWidth="1"/>
    <col min="7631" max="7631" width="16.21875" style="9" customWidth="1"/>
    <col min="7632" max="7643" width="9.6640625" style="9"/>
    <col min="7644" max="7644" width="12" style="9" customWidth="1"/>
    <col min="7645" max="7645" width="12.77734375" style="9" customWidth="1"/>
    <col min="7646" max="7646" width="11.109375" style="9" customWidth="1"/>
    <col min="7647" max="7647" width="12" style="9" customWidth="1"/>
    <col min="7648" max="7648" width="9.6640625" style="9"/>
    <col min="7649" max="7649" width="15.33203125" style="9" customWidth="1"/>
    <col min="7650" max="7650" width="15.21875" style="9" customWidth="1"/>
    <col min="7651" max="7651" width="21.44140625" style="9" customWidth="1"/>
    <col min="7652" max="7667" width="9.6640625" style="9"/>
    <col min="7668" max="7669" width="13.44140625" style="9" customWidth="1"/>
    <col min="7670" max="7670" width="9.6640625" style="9"/>
    <col min="7671" max="7671" width="13.88671875" style="9" customWidth="1"/>
    <col min="7672" max="7672" width="10.6640625" style="9" customWidth="1"/>
    <col min="7673" max="7673" width="17.33203125" style="9" customWidth="1"/>
    <col min="7674" max="7675" width="12.6640625" style="9" customWidth="1"/>
    <col min="7676" max="7676" width="11.21875" style="9" customWidth="1"/>
    <col min="7677" max="7677" width="18.33203125" style="9" customWidth="1"/>
    <col min="7678" max="7678" width="12.88671875" style="9" customWidth="1"/>
    <col min="7679" max="7680" width="13.21875" style="9" customWidth="1"/>
    <col min="7681" max="7681" width="10.88671875" style="9" customWidth="1"/>
    <col min="7682" max="7682" width="11.109375" style="9" customWidth="1"/>
    <col min="7683" max="7683" width="15.21875" style="9" customWidth="1"/>
    <col min="7684" max="7684" width="9.6640625" style="9"/>
    <col min="7685" max="7685" width="11" style="9" customWidth="1"/>
    <col min="7686" max="7686" width="10.77734375" style="9" customWidth="1"/>
    <col min="7687" max="7687" width="11.44140625" style="9" customWidth="1"/>
    <col min="7688" max="7688" width="4" style="9" customWidth="1"/>
    <col min="7689" max="7879" width="9.6640625" style="9"/>
    <col min="7880" max="7880" width="6.44140625" style="9" customWidth="1"/>
    <col min="7881" max="7881" width="13.88671875" style="9" customWidth="1"/>
    <col min="7882" max="7882" width="11.88671875" style="9" customWidth="1"/>
    <col min="7883" max="7885" width="9.6640625" style="9"/>
    <col min="7886" max="7886" width="15.44140625" style="9" customWidth="1"/>
    <col min="7887" max="7887" width="16.21875" style="9" customWidth="1"/>
    <col min="7888" max="7899" width="9.6640625" style="9"/>
    <col min="7900" max="7900" width="12" style="9" customWidth="1"/>
    <col min="7901" max="7901" width="12.77734375" style="9" customWidth="1"/>
    <col min="7902" max="7902" width="11.109375" style="9" customWidth="1"/>
    <col min="7903" max="7903" width="12" style="9" customWidth="1"/>
    <col min="7904" max="7904" width="9.6640625" style="9"/>
    <col min="7905" max="7905" width="15.33203125" style="9" customWidth="1"/>
    <col min="7906" max="7906" width="15.21875" style="9" customWidth="1"/>
    <col min="7907" max="7907" width="21.44140625" style="9" customWidth="1"/>
    <col min="7908" max="7923" width="9.6640625" style="9"/>
    <col min="7924" max="7925" width="13.44140625" style="9" customWidth="1"/>
    <col min="7926" max="7926" width="9.6640625" style="9"/>
    <col min="7927" max="7927" width="13.88671875" style="9" customWidth="1"/>
    <col min="7928" max="7928" width="10.6640625" style="9" customWidth="1"/>
    <col min="7929" max="7929" width="17.33203125" style="9" customWidth="1"/>
    <col min="7930" max="7931" width="12.6640625" style="9" customWidth="1"/>
    <col min="7932" max="7932" width="11.21875" style="9" customWidth="1"/>
    <col min="7933" max="7933" width="18.33203125" style="9" customWidth="1"/>
    <col min="7934" max="7934" width="12.88671875" style="9" customWidth="1"/>
    <col min="7935" max="7936" width="13.21875" style="9" customWidth="1"/>
    <col min="7937" max="7937" width="10.88671875" style="9" customWidth="1"/>
    <col min="7938" max="7938" width="11.109375" style="9" customWidth="1"/>
    <col min="7939" max="7939" width="15.21875" style="9" customWidth="1"/>
    <col min="7940" max="7940" width="9.6640625" style="9"/>
    <col min="7941" max="7941" width="11" style="9" customWidth="1"/>
    <col min="7942" max="7942" width="10.77734375" style="9" customWidth="1"/>
    <col min="7943" max="7943" width="11.44140625" style="9" customWidth="1"/>
    <col min="7944" max="7944" width="4" style="9" customWidth="1"/>
    <col min="7945" max="8135" width="9.6640625" style="9"/>
    <col min="8136" max="8136" width="6.44140625" style="9" customWidth="1"/>
    <col min="8137" max="8137" width="13.88671875" style="9" customWidth="1"/>
    <col min="8138" max="8138" width="11.88671875" style="9" customWidth="1"/>
    <col min="8139" max="8141" width="9.6640625" style="9"/>
    <col min="8142" max="8142" width="15.44140625" style="9" customWidth="1"/>
    <col min="8143" max="8143" width="16.21875" style="9" customWidth="1"/>
    <col min="8144" max="8155" width="9.6640625" style="9"/>
    <col min="8156" max="8156" width="12" style="9" customWidth="1"/>
    <col min="8157" max="8157" width="12.77734375" style="9" customWidth="1"/>
    <col min="8158" max="8158" width="11.109375" style="9" customWidth="1"/>
    <col min="8159" max="8159" width="12" style="9" customWidth="1"/>
    <col min="8160" max="8160" width="9.6640625" style="9"/>
    <col min="8161" max="8161" width="15.33203125" style="9" customWidth="1"/>
    <col min="8162" max="8162" width="15.21875" style="9" customWidth="1"/>
    <col min="8163" max="8163" width="21.44140625" style="9" customWidth="1"/>
    <col min="8164" max="8179" width="9.6640625" style="9"/>
    <col min="8180" max="8181" width="13.44140625" style="9" customWidth="1"/>
    <col min="8182" max="8182" width="9.6640625" style="9"/>
    <col min="8183" max="8183" width="13.88671875" style="9" customWidth="1"/>
    <col min="8184" max="8184" width="10.6640625" style="9" customWidth="1"/>
    <col min="8185" max="8185" width="17.33203125" style="9" customWidth="1"/>
    <col min="8186" max="8187" width="12.6640625" style="9" customWidth="1"/>
    <col min="8188" max="8188" width="11.21875" style="9" customWidth="1"/>
    <col min="8189" max="8189" width="18.33203125" style="9" customWidth="1"/>
    <col min="8190" max="8190" width="12.88671875" style="9" customWidth="1"/>
    <col min="8191" max="8192" width="13.21875" style="9" customWidth="1"/>
    <col min="8193" max="8193" width="10.88671875" style="9" customWidth="1"/>
    <col min="8194" max="8194" width="11.109375" style="9" customWidth="1"/>
    <col min="8195" max="8195" width="15.21875" style="9" customWidth="1"/>
    <col min="8196" max="8196" width="9.6640625" style="9"/>
    <col min="8197" max="8197" width="11" style="9" customWidth="1"/>
    <col min="8198" max="8198" width="10.77734375" style="9" customWidth="1"/>
    <col min="8199" max="8199" width="11.44140625" style="9" customWidth="1"/>
    <col min="8200" max="8200" width="4" style="9" customWidth="1"/>
    <col min="8201" max="8391" width="9.6640625" style="9"/>
    <col min="8392" max="8392" width="6.44140625" style="9" customWidth="1"/>
    <col min="8393" max="8393" width="13.88671875" style="9" customWidth="1"/>
    <col min="8394" max="8394" width="11.88671875" style="9" customWidth="1"/>
    <col min="8395" max="8397" width="9.6640625" style="9"/>
    <col min="8398" max="8398" width="15.44140625" style="9" customWidth="1"/>
    <col min="8399" max="8399" width="16.21875" style="9" customWidth="1"/>
    <col min="8400" max="8411" width="9.6640625" style="9"/>
    <col min="8412" max="8412" width="12" style="9" customWidth="1"/>
    <col min="8413" max="8413" width="12.77734375" style="9" customWidth="1"/>
    <col min="8414" max="8414" width="11.109375" style="9" customWidth="1"/>
    <col min="8415" max="8415" width="12" style="9" customWidth="1"/>
    <col min="8416" max="8416" width="9.6640625" style="9"/>
    <col min="8417" max="8417" width="15.33203125" style="9" customWidth="1"/>
    <col min="8418" max="8418" width="15.21875" style="9" customWidth="1"/>
    <col min="8419" max="8419" width="21.44140625" style="9" customWidth="1"/>
    <col min="8420" max="8435" width="9.6640625" style="9"/>
    <col min="8436" max="8437" width="13.44140625" style="9" customWidth="1"/>
    <col min="8438" max="8438" width="9.6640625" style="9"/>
    <col min="8439" max="8439" width="13.88671875" style="9" customWidth="1"/>
    <col min="8440" max="8440" width="10.6640625" style="9" customWidth="1"/>
    <col min="8441" max="8441" width="17.33203125" style="9" customWidth="1"/>
    <col min="8442" max="8443" width="12.6640625" style="9" customWidth="1"/>
    <col min="8444" max="8444" width="11.21875" style="9" customWidth="1"/>
    <col min="8445" max="8445" width="18.33203125" style="9" customWidth="1"/>
    <col min="8446" max="8446" width="12.88671875" style="9" customWidth="1"/>
    <col min="8447" max="8448" width="13.21875" style="9" customWidth="1"/>
    <col min="8449" max="8449" width="10.88671875" style="9" customWidth="1"/>
    <col min="8450" max="8450" width="11.109375" style="9" customWidth="1"/>
    <col min="8451" max="8451" width="15.21875" style="9" customWidth="1"/>
    <col min="8452" max="8452" width="9.6640625" style="9"/>
    <col min="8453" max="8453" width="11" style="9" customWidth="1"/>
    <col min="8454" max="8454" width="10.77734375" style="9" customWidth="1"/>
    <col min="8455" max="8455" width="11.44140625" style="9" customWidth="1"/>
    <col min="8456" max="8456" width="4" style="9" customWidth="1"/>
    <col min="8457" max="8647" width="9.6640625" style="9"/>
    <col min="8648" max="8648" width="6.44140625" style="9" customWidth="1"/>
    <col min="8649" max="8649" width="13.88671875" style="9" customWidth="1"/>
    <col min="8650" max="8650" width="11.88671875" style="9" customWidth="1"/>
    <col min="8651" max="8653" width="9.6640625" style="9"/>
    <col min="8654" max="8654" width="15.44140625" style="9" customWidth="1"/>
    <col min="8655" max="8655" width="16.21875" style="9" customWidth="1"/>
    <col min="8656" max="8667" width="9.6640625" style="9"/>
    <col min="8668" max="8668" width="12" style="9" customWidth="1"/>
    <col min="8669" max="8669" width="12.77734375" style="9" customWidth="1"/>
    <col min="8670" max="8670" width="11.109375" style="9" customWidth="1"/>
    <col min="8671" max="8671" width="12" style="9" customWidth="1"/>
    <col min="8672" max="8672" width="9.6640625" style="9"/>
    <col min="8673" max="8673" width="15.33203125" style="9" customWidth="1"/>
    <col min="8674" max="8674" width="15.21875" style="9" customWidth="1"/>
    <col min="8675" max="8675" width="21.44140625" style="9" customWidth="1"/>
    <col min="8676" max="8691" width="9.6640625" style="9"/>
    <col min="8692" max="8693" width="13.44140625" style="9" customWidth="1"/>
    <col min="8694" max="8694" width="9.6640625" style="9"/>
    <col min="8695" max="8695" width="13.88671875" style="9" customWidth="1"/>
    <col min="8696" max="8696" width="10.6640625" style="9" customWidth="1"/>
    <col min="8697" max="8697" width="17.33203125" style="9" customWidth="1"/>
    <col min="8698" max="8699" width="12.6640625" style="9" customWidth="1"/>
    <col min="8700" max="8700" width="11.21875" style="9" customWidth="1"/>
    <col min="8701" max="8701" width="18.33203125" style="9" customWidth="1"/>
    <col min="8702" max="8702" width="12.88671875" style="9" customWidth="1"/>
    <col min="8703" max="8704" width="13.21875" style="9" customWidth="1"/>
    <col min="8705" max="8705" width="10.88671875" style="9" customWidth="1"/>
    <col min="8706" max="8706" width="11.109375" style="9" customWidth="1"/>
    <col min="8707" max="8707" width="15.21875" style="9" customWidth="1"/>
    <col min="8708" max="8708" width="9.6640625" style="9"/>
    <col min="8709" max="8709" width="11" style="9" customWidth="1"/>
    <col min="8710" max="8710" width="10.77734375" style="9" customWidth="1"/>
    <col min="8711" max="8711" width="11.44140625" style="9" customWidth="1"/>
    <col min="8712" max="8712" width="4" style="9" customWidth="1"/>
    <col min="8713" max="8903" width="9.6640625" style="9"/>
    <col min="8904" max="8904" width="6.44140625" style="9" customWidth="1"/>
    <col min="8905" max="8905" width="13.88671875" style="9" customWidth="1"/>
    <col min="8906" max="8906" width="11.88671875" style="9" customWidth="1"/>
    <col min="8907" max="8909" width="9.6640625" style="9"/>
    <col min="8910" max="8910" width="15.44140625" style="9" customWidth="1"/>
    <col min="8911" max="8911" width="16.21875" style="9" customWidth="1"/>
    <col min="8912" max="8923" width="9.6640625" style="9"/>
    <col min="8924" max="8924" width="12" style="9" customWidth="1"/>
    <col min="8925" max="8925" width="12.77734375" style="9" customWidth="1"/>
    <col min="8926" max="8926" width="11.109375" style="9" customWidth="1"/>
    <col min="8927" max="8927" width="12" style="9" customWidth="1"/>
    <col min="8928" max="8928" width="9.6640625" style="9"/>
    <col min="8929" max="8929" width="15.33203125" style="9" customWidth="1"/>
    <col min="8930" max="8930" width="15.21875" style="9" customWidth="1"/>
    <col min="8931" max="8931" width="21.44140625" style="9" customWidth="1"/>
    <col min="8932" max="8947" width="9.6640625" style="9"/>
    <col min="8948" max="8949" width="13.44140625" style="9" customWidth="1"/>
    <col min="8950" max="8950" width="9.6640625" style="9"/>
    <col min="8951" max="8951" width="13.88671875" style="9" customWidth="1"/>
    <col min="8952" max="8952" width="10.6640625" style="9" customWidth="1"/>
    <col min="8953" max="8953" width="17.33203125" style="9" customWidth="1"/>
    <col min="8954" max="8955" width="12.6640625" style="9" customWidth="1"/>
    <col min="8956" max="8956" width="11.21875" style="9" customWidth="1"/>
    <col min="8957" max="8957" width="18.33203125" style="9" customWidth="1"/>
    <col min="8958" max="8958" width="12.88671875" style="9" customWidth="1"/>
    <col min="8959" max="8960" width="13.21875" style="9" customWidth="1"/>
    <col min="8961" max="8961" width="10.88671875" style="9" customWidth="1"/>
    <col min="8962" max="8962" width="11.109375" style="9" customWidth="1"/>
    <col min="8963" max="8963" width="15.21875" style="9" customWidth="1"/>
    <col min="8964" max="8964" width="9.6640625" style="9"/>
    <col min="8965" max="8965" width="11" style="9" customWidth="1"/>
    <col min="8966" max="8966" width="10.77734375" style="9" customWidth="1"/>
    <col min="8967" max="8967" width="11.44140625" style="9" customWidth="1"/>
    <col min="8968" max="8968" width="4" style="9" customWidth="1"/>
    <col min="8969" max="9159" width="9.6640625" style="9"/>
    <col min="9160" max="9160" width="6.44140625" style="9" customWidth="1"/>
    <col min="9161" max="9161" width="13.88671875" style="9" customWidth="1"/>
    <col min="9162" max="9162" width="11.88671875" style="9" customWidth="1"/>
    <col min="9163" max="9165" width="9.6640625" style="9"/>
    <col min="9166" max="9166" width="15.44140625" style="9" customWidth="1"/>
    <col min="9167" max="9167" width="16.21875" style="9" customWidth="1"/>
    <col min="9168" max="9179" width="9.6640625" style="9"/>
    <col min="9180" max="9180" width="12" style="9" customWidth="1"/>
    <col min="9181" max="9181" width="12.77734375" style="9" customWidth="1"/>
    <col min="9182" max="9182" width="11.109375" style="9" customWidth="1"/>
    <col min="9183" max="9183" width="12" style="9" customWidth="1"/>
    <col min="9184" max="9184" width="9.6640625" style="9"/>
    <col min="9185" max="9185" width="15.33203125" style="9" customWidth="1"/>
    <col min="9186" max="9186" width="15.21875" style="9" customWidth="1"/>
    <col min="9187" max="9187" width="21.44140625" style="9" customWidth="1"/>
    <col min="9188" max="9203" width="9.6640625" style="9"/>
    <col min="9204" max="9205" width="13.44140625" style="9" customWidth="1"/>
    <col min="9206" max="9206" width="9.6640625" style="9"/>
    <col min="9207" max="9207" width="13.88671875" style="9" customWidth="1"/>
    <col min="9208" max="9208" width="10.6640625" style="9" customWidth="1"/>
    <col min="9209" max="9209" width="17.33203125" style="9" customWidth="1"/>
    <col min="9210" max="9211" width="12.6640625" style="9" customWidth="1"/>
    <col min="9212" max="9212" width="11.21875" style="9" customWidth="1"/>
    <col min="9213" max="9213" width="18.33203125" style="9" customWidth="1"/>
    <col min="9214" max="9214" width="12.88671875" style="9" customWidth="1"/>
    <col min="9215" max="9216" width="13.21875" style="9" customWidth="1"/>
    <col min="9217" max="9217" width="10.88671875" style="9" customWidth="1"/>
    <col min="9218" max="9218" width="11.109375" style="9" customWidth="1"/>
    <col min="9219" max="9219" width="15.21875" style="9" customWidth="1"/>
    <col min="9220" max="9220" width="9.6640625" style="9"/>
    <col min="9221" max="9221" width="11" style="9" customWidth="1"/>
    <col min="9222" max="9222" width="10.77734375" style="9" customWidth="1"/>
    <col min="9223" max="9223" width="11.44140625" style="9" customWidth="1"/>
    <col min="9224" max="9224" width="4" style="9" customWidth="1"/>
    <col min="9225" max="9415" width="9.6640625" style="9"/>
    <col min="9416" max="9416" width="6.44140625" style="9" customWidth="1"/>
    <col min="9417" max="9417" width="13.88671875" style="9" customWidth="1"/>
    <col min="9418" max="9418" width="11.88671875" style="9" customWidth="1"/>
    <col min="9419" max="9421" width="9.6640625" style="9"/>
    <col min="9422" max="9422" width="15.44140625" style="9" customWidth="1"/>
    <col min="9423" max="9423" width="16.21875" style="9" customWidth="1"/>
    <col min="9424" max="9435" width="9.6640625" style="9"/>
    <col min="9436" max="9436" width="12" style="9" customWidth="1"/>
    <col min="9437" max="9437" width="12.77734375" style="9" customWidth="1"/>
    <col min="9438" max="9438" width="11.109375" style="9" customWidth="1"/>
    <col min="9439" max="9439" width="12" style="9" customWidth="1"/>
    <col min="9440" max="9440" width="9.6640625" style="9"/>
    <col min="9441" max="9441" width="15.33203125" style="9" customWidth="1"/>
    <col min="9442" max="9442" width="15.21875" style="9" customWidth="1"/>
    <col min="9443" max="9443" width="21.44140625" style="9" customWidth="1"/>
    <col min="9444" max="9459" width="9.6640625" style="9"/>
    <col min="9460" max="9461" width="13.44140625" style="9" customWidth="1"/>
    <col min="9462" max="9462" width="9.6640625" style="9"/>
    <col min="9463" max="9463" width="13.88671875" style="9" customWidth="1"/>
    <col min="9464" max="9464" width="10.6640625" style="9" customWidth="1"/>
    <col min="9465" max="9465" width="17.33203125" style="9" customWidth="1"/>
    <col min="9466" max="9467" width="12.6640625" style="9" customWidth="1"/>
    <col min="9468" max="9468" width="11.21875" style="9" customWidth="1"/>
    <col min="9469" max="9469" width="18.33203125" style="9" customWidth="1"/>
    <col min="9470" max="9470" width="12.88671875" style="9" customWidth="1"/>
    <col min="9471" max="9472" width="13.21875" style="9" customWidth="1"/>
    <col min="9473" max="9473" width="10.88671875" style="9" customWidth="1"/>
    <col min="9474" max="9474" width="11.109375" style="9" customWidth="1"/>
    <col min="9475" max="9475" width="15.21875" style="9" customWidth="1"/>
    <col min="9476" max="9476" width="9.6640625" style="9"/>
    <col min="9477" max="9477" width="11" style="9" customWidth="1"/>
    <col min="9478" max="9478" width="10.77734375" style="9" customWidth="1"/>
    <col min="9479" max="9479" width="11.44140625" style="9" customWidth="1"/>
    <col min="9480" max="9480" width="4" style="9" customWidth="1"/>
    <col min="9481" max="9671" width="9.6640625" style="9"/>
    <col min="9672" max="9672" width="6.44140625" style="9" customWidth="1"/>
    <col min="9673" max="9673" width="13.88671875" style="9" customWidth="1"/>
    <col min="9674" max="9674" width="11.88671875" style="9" customWidth="1"/>
    <col min="9675" max="9677" width="9.6640625" style="9"/>
    <col min="9678" max="9678" width="15.44140625" style="9" customWidth="1"/>
    <col min="9679" max="9679" width="16.21875" style="9" customWidth="1"/>
    <col min="9680" max="9691" width="9.6640625" style="9"/>
    <col min="9692" max="9692" width="12" style="9" customWidth="1"/>
    <col min="9693" max="9693" width="12.77734375" style="9" customWidth="1"/>
    <col min="9694" max="9694" width="11.109375" style="9" customWidth="1"/>
    <col min="9695" max="9695" width="12" style="9" customWidth="1"/>
    <col min="9696" max="9696" width="9.6640625" style="9"/>
    <col min="9697" max="9697" width="15.33203125" style="9" customWidth="1"/>
    <col min="9698" max="9698" width="15.21875" style="9" customWidth="1"/>
    <col min="9699" max="9699" width="21.44140625" style="9" customWidth="1"/>
    <col min="9700" max="9715" width="9.6640625" style="9"/>
    <col min="9716" max="9717" width="13.44140625" style="9" customWidth="1"/>
    <col min="9718" max="9718" width="9.6640625" style="9"/>
    <col min="9719" max="9719" width="13.88671875" style="9" customWidth="1"/>
    <col min="9720" max="9720" width="10.6640625" style="9" customWidth="1"/>
    <col min="9721" max="9721" width="17.33203125" style="9" customWidth="1"/>
    <col min="9722" max="9723" width="12.6640625" style="9" customWidth="1"/>
    <col min="9724" max="9724" width="11.21875" style="9" customWidth="1"/>
    <col min="9725" max="9725" width="18.33203125" style="9" customWidth="1"/>
    <col min="9726" max="9726" width="12.88671875" style="9" customWidth="1"/>
    <col min="9727" max="9728" width="13.21875" style="9" customWidth="1"/>
    <col min="9729" max="9729" width="10.88671875" style="9" customWidth="1"/>
    <col min="9730" max="9730" width="11.109375" style="9" customWidth="1"/>
    <col min="9731" max="9731" width="15.21875" style="9" customWidth="1"/>
    <col min="9732" max="9732" width="9.6640625" style="9"/>
    <col min="9733" max="9733" width="11" style="9" customWidth="1"/>
    <col min="9734" max="9734" width="10.77734375" style="9" customWidth="1"/>
    <col min="9735" max="9735" width="11.44140625" style="9" customWidth="1"/>
    <col min="9736" max="9736" width="4" style="9" customWidth="1"/>
    <col min="9737" max="9927" width="9.6640625" style="9"/>
    <col min="9928" max="9928" width="6.44140625" style="9" customWidth="1"/>
    <col min="9929" max="9929" width="13.88671875" style="9" customWidth="1"/>
    <col min="9930" max="9930" width="11.88671875" style="9" customWidth="1"/>
    <col min="9931" max="9933" width="9.6640625" style="9"/>
    <col min="9934" max="9934" width="15.44140625" style="9" customWidth="1"/>
    <col min="9935" max="9935" width="16.21875" style="9" customWidth="1"/>
    <col min="9936" max="9947" width="9.6640625" style="9"/>
    <col min="9948" max="9948" width="12" style="9" customWidth="1"/>
    <col min="9949" max="9949" width="12.77734375" style="9" customWidth="1"/>
    <col min="9950" max="9950" width="11.109375" style="9" customWidth="1"/>
    <col min="9951" max="9951" width="12" style="9" customWidth="1"/>
    <col min="9952" max="9952" width="9.6640625" style="9"/>
    <col min="9953" max="9953" width="15.33203125" style="9" customWidth="1"/>
    <col min="9954" max="9954" width="15.21875" style="9" customWidth="1"/>
    <col min="9955" max="9955" width="21.44140625" style="9" customWidth="1"/>
    <col min="9956" max="9971" width="9.6640625" style="9"/>
    <col min="9972" max="9973" width="13.44140625" style="9" customWidth="1"/>
    <col min="9974" max="9974" width="9.6640625" style="9"/>
    <col min="9975" max="9975" width="13.88671875" style="9" customWidth="1"/>
    <col min="9976" max="9976" width="10.6640625" style="9" customWidth="1"/>
    <col min="9977" max="9977" width="17.33203125" style="9" customWidth="1"/>
    <col min="9978" max="9979" width="12.6640625" style="9" customWidth="1"/>
    <col min="9980" max="9980" width="11.21875" style="9" customWidth="1"/>
    <col min="9981" max="9981" width="18.33203125" style="9" customWidth="1"/>
    <col min="9982" max="9982" width="12.88671875" style="9" customWidth="1"/>
    <col min="9983" max="9984" width="13.21875" style="9" customWidth="1"/>
    <col min="9985" max="9985" width="10.88671875" style="9" customWidth="1"/>
    <col min="9986" max="9986" width="11.109375" style="9" customWidth="1"/>
    <col min="9987" max="9987" width="15.21875" style="9" customWidth="1"/>
    <col min="9988" max="9988" width="9.6640625" style="9"/>
    <col min="9989" max="9989" width="11" style="9" customWidth="1"/>
    <col min="9990" max="9990" width="10.77734375" style="9" customWidth="1"/>
    <col min="9991" max="9991" width="11.44140625" style="9" customWidth="1"/>
    <col min="9992" max="9992" width="4" style="9" customWidth="1"/>
    <col min="9993" max="10183" width="9.6640625" style="9"/>
    <col min="10184" max="10184" width="6.44140625" style="9" customWidth="1"/>
    <col min="10185" max="10185" width="13.88671875" style="9" customWidth="1"/>
    <col min="10186" max="10186" width="11.88671875" style="9" customWidth="1"/>
    <col min="10187" max="10189" width="9.6640625" style="9"/>
    <col min="10190" max="10190" width="15.44140625" style="9" customWidth="1"/>
    <col min="10191" max="10191" width="16.21875" style="9" customWidth="1"/>
    <col min="10192" max="10203" width="9.6640625" style="9"/>
    <col min="10204" max="10204" width="12" style="9" customWidth="1"/>
    <col min="10205" max="10205" width="12.77734375" style="9" customWidth="1"/>
    <col min="10206" max="10206" width="11.109375" style="9" customWidth="1"/>
    <col min="10207" max="10207" width="12" style="9" customWidth="1"/>
    <col min="10208" max="10208" width="9.6640625" style="9"/>
    <col min="10209" max="10209" width="15.33203125" style="9" customWidth="1"/>
    <col min="10210" max="10210" width="15.21875" style="9" customWidth="1"/>
    <col min="10211" max="10211" width="21.44140625" style="9" customWidth="1"/>
    <col min="10212" max="10227" width="9.6640625" style="9"/>
    <col min="10228" max="10229" width="13.44140625" style="9" customWidth="1"/>
    <col min="10230" max="10230" width="9.6640625" style="9"/>
    <col min="10231" max="10231" width="13.88671875" style="9" customWidth="1"/>
    <col min="10232" max="10232" width="10.6640625" style="9" customWidth="1"/>
    <col min="10233" max="10233" width="17.33203125" style="9" customWidth="1"/>
    <col min="10234" max="10235" width="12.6640625" style="9" customWidth="1"/>
    <col min="10236" max="10236" width="11.21875" style="9" customWidth="1"/>
    <col min="10237" max="10237" width="18.33203125" style="9" customWidth="1"/>
    <col min="10238" max="10238" width="12.88671875" style="9" customWidth="1"/>
    <col min="10239" max="10240" width="13.21875" style="9" customWidth="1"/>
    <col min="10241" max="10241" width="10.88671875" style="9" customWidth="1"/>
    <col min="10242" max="10242" width="11.109375" style="9" customWidth="1"/>
    <col min="10243" max="10243" width="15.21875" style="9" customWidth="1"/>
    <col min="10244" max="10244" width="9.6640625" style="9"/>
    <col min="10245" max="10245" width="11" style="9" customWidth="1"/>
    <col min="10246" max="10246" width="10.77734375" style="9" customWidth="1"/>
    <col min="10247" max="10247" width="11.44140625" style="9" customWidth="1"/>
    <col min="10248" max="10248" width="4" style="9" customWidth="1"/>
    <col min="10249" max="10439" width="9.6640625" style="9"/>
    <col min="10440" max="10440" width="6.44140625" style="9" customWidth="1"/>
    <col min="10441" max="10441" width="13.88671875" style="9" customWidth="1"/>
    <col min="10442" max="10442" width="11.88671875" style="9" customWidth="1"/>
    <col min="10443" max="10445" width="9.6640625" style="9"/>
    <col min="10446" max="10446" width="15.44140625" style="9" customWidth="1"/>
    <col min="10447" max="10447" width="16.21875" style="9" customWidth="1"/>
    <col min="10448" max="10459" width="9.6640625" style="9"/>
    <col min="10460" max="10460" width="12" style="9" customWidth="1"/>
    <col min="10461" max="10461" width="12.77734375" style="9" customWidth="1"/>
    <col min="10462" max="10462" width="11.109375" style="9" customWidth="1"/>
    <col min="10463" max="10463" width="12" style="9" customWidth="1"/>
    <col min="10464" max="10464" width="9.6640625" style="9"/>
    <col min="10465" max="10465" width="15.33203125" style="9" customWidth="1"/>
    <col min="10466" max="10466" width="15.21875" style="9" customWidth="1"/>
    <col min="10467" max="10467" width="21.44140625" style="9" customWidth="1"/>
    <col min="10468" max="10483" width="9.6640625" style="9"/>
    <col min="10484" max="10485" width="13.44140625" style="9" customWidth="1"/>
    <col min="10486" max="10486" width="9.6640625" style="9"/>
    <col min="10487" max="10487" width="13.88671875" style="9" customWidth="1"/>
    <col min="10488" max="10488" width="10.6640625" style="9" customWidth="1"/>
    <col min="10489" max="10489" width="17.33203125" style="9" customWidth="1"/>
    <col min="10490" max="10491" width="12.6640625" style="9" customWidth="1"/>
    <col min="10492" max="10492" width="11.21875" style="9" customWidth="1"/>
    <col min="10493" max="10493" width="18.33203125" style="9" customWidth="1"/>
    <col min="10494" max="10494" width="12.88671875" style="9" customWidth="1"/>
    <col min="10495" max="10496" width="13.21875" style="9" customWidth="1"/>
    <col min="10497" max="10497" width="10.88671875" style="9" customWidth="1"/>
    <col min="10498" max="10498" width="11.109375" style="9" customWidth="1"/>
    <col min="10499" max="10499" width="15.21875" style="9" customWidth="1"/>
    <col min="10500" max="10500" width="9.6640625" style="9"/>
    <col min="10501" max="10501" width="11" style="9" customWidth="1"/>
    <col min="10502" max="10502" width="10.77734375" style="9" customWidth="1"/>
    <col min="10503" max="10503" width="11.44140625" style="9" customWidth="1"/>
    <col min="10504" max="10504" width="4" style="9" customWidth="1"/>
    <col min="10505" max="10695" width="9.6640625" style="9"/>
    <col min="10696" max="10696" width="6.44140625" style="9" customWidth="1"/>
    <col min="10697" max="10697" width="13.88671875" style="9" customWidth="1"/>
    <col min="10698" max="10698" width="11.88671875" style="9" customWidth="1"/>
    <col min="10699" max="10701" width="9.6640625" style="9"/>
    <col min="10702" max="10702" width="15.44140625" style="9" customWidth="1"/>
    <col min="10703" max="10703" width="16.21875" style="9" customWidth="1"/>
    <col min="10704" max="10715" width="9.6640625" style="9"/>
    <col min="10716" max="10716" width="12" style="9" customWidth="1"/>
    <col min="10717" max="10717" width="12.77734375" style="9" customWidth="1"/>
    <col min="10718" max="10718" width="11.109375" style="9" customWidth="1"/>
    <col min="10719" max="10719" width="12" style="9" customWidth="1"/>
    <col min="10720" max="10720" width="9.6640625" style="9"/>
    <col min="10721" max="10721" width="15.33203125" style="9" customWidth="1"/>
    <col min="10722" max="10722" width="15.21875" style="9" customWidth="1"/>
    <col min="10723" max="10723" width="21.44140625" style="9" customWidth="1"/>
    <col min="10724" max="10739" width="9.6640625" style="9"/>
    <col min="10740" max="10741" width="13.44140625" style="9" customWidth="1"/>
    <col min="10742" max="10742" width="9.6640625" style="9"/>
    <col min="10743" max="10743" width="13.88671875" style="9" customWidth="1"/>
    <col min="10744" max="10744" width="10.6640625" style="9" customWidth="1"/>
    <col min="10745" max="10745" width="17.33203125" style="9" customWidth="1"/>
    <col min="10746" max="10747" width="12.6640625" style="9" customWidth="1"/>
    <col min="10748" max="10748" width="11.21875" style="9" customWidth="1"/>
    <col min="10749" max="10749" width="18.33203125" style="9" customWidth="1"/>
    <col min="10750" max="10750" width="12.88671875" style="9" customWidth="1"/>
    <col min="10751" max="10752" width="13.21875" style="9" customWidth="1"/>
    <col min="10753" max="10753" width="10.88671875" style="9" customWidth="1"/>
    <col min="10754" max="10754" width="11.109375" style="9" customWidth="1"/>
    <col min="10755" max="10755" width="15.21875" style="9" customWidth="1"/>
    <col min="10756" max="10756" width="9.6640625" style="9"/>
    <col min="10757" max="10757" width="11" style="9" customWidth="1"/>
    <col min="10758" max="10758" width="10.77734375" style="9" customWidth="1"/>
    <col min="10759" max="10759" width="11.44140625" style="9" customWidth="1"/>
    <col min="10760" max="10760" width="4" style="9" customWidth="1"/>
    <col min="10761" max="10951" width="9.6640625" style="9"/>
    <col min="10952" max="10952" width="6.44140625" style="9" customWidth="1"/>
    <col min="10953" max="10953" width="13.88671875" style="9" customWidth="1"/>
    <col min="10954" max="10954" width="11.88671875" style="9" customWidth="1"/>
    <col min="10955" max="10957" width="9.6640625" style="9"/>
    <col min="10958" max="10958" width="15.44140625" style="9" customWidth="1"/>
    <col min="10959" max="10959" width="16.21875" style="9" customWidth="1"/>
    <col min="10960" max="10971" width="9.6640625" style="9"/>
    <col min="10972" max="10972" width="12" style="9" customWidth="1"/>
    <col min="10973" max="10973" width="12.77734375" style="9" customWidth="1"/>
    <col min="10974" max="10974" width="11.109375" style="9" customWidth="1"/>
    <col min="10975" max="10975" width="12" style="9" customWidth="1"/>
    <col min="10976" max="10976" width="9.6640625" style="9"/>
    <col min="10977" max="10977" width="15.33203125" style="9" customWidth="1"/>
    <col min="10978" max="10978" width="15.21875" style="9" customWidth="1"/>
    <col min="10979" max="10979" width="21.44140625" style="9" customWidth="1"/>
    <col min="10980" max="10995" width="9.6640625" style="9"/>
    <col min="10996" max="10997" width="13.44140625" style="9" customWidth="1"/>
    <col min="10998" max="10998" width="9.6640625" style="9"/>
    <col min="10999" max="10999" width="13.88671875" style="9" customWidth="1"/>
    <col min="11000" max="11000" width="10.6640625" style="9" customWidth="1"/>
    <col min="11001" max="11001" width="17.33203125" style="9" customWidth="1"/>
    <col min="11002" max="11003" width="12.6640625" style="9" customWidth="1"/>
    <col min="11004" max="11004" width="11.21875" style="9" customWidth="1"/>
    <col min="11005" max="11005" width="18.33203125" style="9" customWidth="1"/>
    <col min="11006" max="11006" width="12.88671875" style="9" customWidth="1"/>
    <col min="11007" max="11008" width="13.21875" style="9" customWidth="1"/>
    <col min="11009" max="11009" width="10.88671875" style="9" customWidth="1"/>
    <col min="11010" max="11010" width="11.109375" style="9" customWidth="1"/>
    <col min="11011" max="11011" width="15.21875" style="9" customWidth="1"/>
    <col min="11012" max="11012" width="9.6640625" style="9"/>
    <col min="11013" max="11013" width="11" style="9" customWidth="1"/>
    <col min="11014" max="11014" width="10.77734375" style="9" customWidth="1"/>
    <col min="11015" max="11015" width="11.44140625" style="9" customWidth="1"/>
    <col min="11016" max="11016" width="4" style="9" customWidth="1"/>
    <col min="11017" max="11207" width="9.6640625" style="9"/>
    <col min="11208" max="11208" width="6.44140625" style="9" customWidth="1"/>
    <col min="11209" max="11209" width="13.88671875" style="9" customWidth="1"/>
    <col min="11210" max="11210" width="11.88671875" style="9" customWidth="1"/>
    <col min="11211" max="11213" width="9.6640625" style="9"/>
    <col min="11214" max="11214" width="15.44140625" style="9" customWidth="1"/>
    <col min="11215" max="11215" width="16.21875" style="9" customWidth="1"/>
    <col min="11216" max="11227" width="9.6640625" style="9"/>
    <col min="11228" max="11228" width="12" style="9" customWidth="1"/>
    <col min="11229" max="11229" width="12.77734375" style="9" customWidth="1"/>
    <col min="11230" max="11230" width="11.109375" style="9" customWidth="1"/>
    <col min="11231" max="11231" width="12" style="9" customWidth="1"/>
    <col min="11232" max="11232" width="9.6640625" style="9"/>
    <col min="11233" max="11233" width="15.33203125" style="9" customWidth="1"/>
    <col min="11234" max="11234" width="15.21875" style="9" customWidth="1"/>
    <col min="11235" max="11235" width="21.44140625" style="9" customWidth="1"/>
    <col min="11236" max="11251" width="9.6640625" style="9"/>
    <col min="11252" max="11253" width="13.44140625" style="9" customWidth="1"/>
    <col min="11254" max="11254" width="9.6640625" style="9"/>
    <col min="11255" max="11255" width="13.88671875" style="9" customWidth="1"/>
    <col min="11256" max="11256" width="10.6640625" style="9" customWidth="1"/>
    <col min="11257" max="11257" width="17.33203125" style="9" customWidth="1"/>
    <col min="11258" max="11259" width="12.6640625" style="9" customWidth="1"/>
    <col min="11260" max="11260" width="11.21875" style="9" customWidth="1"/>
    <col min="11261" max="11261" width="18.33203125" style="9" customWidth="1"/>
    <col min="11262" max="11262" width="12.88671875" style="9" customWidth="1"/>
    <col min="11263" max="11264" width="13.21875" style="9" customWidth="1"/>
    <col min="11265" max="11265" width="10.88671875" style="9" customWidth="1"/>
    <col min="11266" max="11266" width="11.109375" style="9" customWidth="1"/>
    <col min="11267" max="11267" width="15.21875" style="9" customWidth="1"/>
    <col min="11268" max="11268" width="9.6640625" style="9"/>
    <col min="11269" max="11269" width="11" style="9" customWidth="1"/>
    <col min="11270" max="11270" width="10.77734375" style="9" customWidth="1"/>
    <col min="11271" max="11271" width="11.44140625" style="9" customWidth="1"/>
    <col min="11272" max="11272" width="4" style="9" customWidth="1"/>
    <col min="11273" max="11463" width="9.6640625" style="9"/>
    <col min="11464" max="11464" width="6.44140625" style="9" customWidth="1"/>
    <col min="11465" max="11465" width="13.88671875" style="9" customWidth="1"/>
    <col min="11466" max="11466" width="11.88671875" style="9" customWidth="1"/>
    <col min="11467" max="11469" width="9.6640625" style="9"/>
    <col min="11470" max="11470" width="15.44140625" style="9" customWidth="1"/>
    <col min="11471" max="11471" width="16.21875" style="9" customWidth="1"/>
    <col min="11472" max="11483" width="9.6640625" style="9"/>
    <col min="11484" max="11484" width="12" style="9" customWidth="1"/>
    <col min="11485" max="11485" width="12.77734375" style="9" customWidth="1"/>
    <col min="11486" max="11486" width="11.109375" style="9" customWidth="1"/>
    <col min="11487" max="11487" width="12" style="9" customWidth="1"/>
    <col min="11488" max="11488" width="9.6640625" style="9"/>
    <col min="11489" max="11489" width="15.33203125" style="9" customWidth="1"/>
    <col min="11490" max="11490" width="15.21875" style="9" customWidth="1"/>
    <col min="11491" max="11491" width="21.44140625" style="9" customWidth="1"/>
    <col min="11492" max="11507" width="9.6640625" style="9"/>
    <col min="11508" max="11509" width="13.44140625" style="9" customWidth="1"/>
    <col min="11510" max="11510" width="9.6640625" style="9"/>
    <col min="11511" max="11511" width="13.88671875" style="9" customWidth="1"/>
    <col min="11512" max="11512" width="10.6640625" style="9" customWidth="1"/>
    <col min="11513" max="11513" width="17.33203125" style="9" customWidth="1"/>
    <col min="11514" max="11515" width="12.6640625" style="9" customWidth="1"/>
    <col min="11516" max="11516" width="11.21875" style="9" customWidth="1"/>
    <col min="11517" max="11517" width="18.33203125" style="9" customWidth="1"/>
    <col min="11518" max="11518" width="12.88671875" style="9" customWidth="1"/>
    <col min="11519" max="11520" width="13.21875" style="9" customWidth="1"/>
    <col min="11521" max="11521" width="10.88671875" style="9" customWidth="1"/>
    <col min="11522" max="11522" width="11.109375" style="9" customWidth="1"/>
    <col min="11523" max="11523" width="15.21875" style="9" customWidth="1"/>
    <col min="11524" max="11524" width="9.6640625" style="9"/>
    <col min="11525" max="11525" width="11" style="9" customWidth="1"/>
    <col min="11526" max="11526" width="10.77734375" style="9" customWidth="1"/>
    <col min="11527" max="11527" width="11.44140625" style="9" customWidth="1"/>
    <col min="11528" max="11528" width="4" style="9" customWidth="1"/>
    <col min="11529" max="11719" width="9.6640625" style="9"/>
    <col min="11720" max="11720" width="6.44140625" style="9" customWidth="1"/>
    <col min="11721" max="11721" width="13.88671875" style="9" customWidth="1"/>
    <col min="11722" max="11722" width="11.88671875" style="9" customWidth="1"/>
    <col min="11723" max="11725" width="9.6640625" style="9"/>
    <col min="11726" max="11726" width="15.44140625" style="9" customWidth="1"/>
    <col min="11727" max="11727" width="16.21875" style="9" customWidth="1"/>
    <col min="11728" max="11739" width="9.6640625" style="9"/>
    <col min="11740" max="11740" width="12" style="9" customWidth="1"/>
    <col min="11741" max="11741" width="12.77734375" style="9" customWidth="1"/>
    <col min="11742" max="11742" width="11.109375" style="9" customWidth="1"/>
    <col min="11743" max="11743" width="12" style="9" customWidth="1"/>
    <col min="11744" max="11744" width="9.6640625" style="9"/>
    <col min="11745" max="11745" width="15.33203125" style="9" customWidth="1"/>
    <col min="11746" max="11746" width="15.21875" style="9" customWidth="1"/>
    <col min="11747" max="11747" width="21.44140625" style="9" customWidth="1"/>
    <col min="11748" max="11763" width="9.6640625" style="9"/>
    <col min="11764" max="11765" width="13.44140625" style="9" customWidth="1"/>
    <col min="11766" max="11766" width="9.6640625" style="9"/>
    <col min="11767" max="11767" width="13.88671875" style="9" customWidth="1"/>
    <col min="11768" max="11768" width="10.6640625" style="9" customWidth="1"/>
    <col min="11769" max="11769" width="17.33203125" style="9" customWidth="1"/>
    <col min="11770" max="11771" width="12.6640625" style="9" customWidth="1"/>
    <col min="11772" max="11772" width="11.21875" style="9" customWidth="1"/>
    <col min="11773" max="11773" width="18.33203125" style="9" customWidth="1"/>
    <col min="11774" max="11774" width="12.88671875" style="9" customWidth="1"/>
    <col min="11775" max="11776" width="13.21875" style="9" customWidth="1"/>
    <col min="11777" max="11777" width="10.88671875" style="9" customWidth="1"/>
    <col min="11778" max="11778" width="11.109375" style="9" customWidth="1"/>
    <col min="11779" max="11779" width="15.21875" style="9" customWidth="1"/>
    <col min="11780" max="11780" width="9.6640625" style="9"/>
    <col min="11781" max="11781" width="11" style="9" customWidth="1"/>
    <col min="11782" max="11782" width="10.77734375" style="9" customWidth="1"/>
    <col min="11783" max="11783" width="11.44140625" style="9" customWidth="1"/>
    <col min="11784" max="11784" width="4" style="9" customWidth="1"/>
    <col min="11785" max="11975" width="9.6640625" style="9"/>
    <col min="11976" max="11976" width="6.44140625" style="9" customWidth="1"/>
    <col min="11977" max="11977" width="13.88671875" style="9" customWidth="1"/>
    <col min="11978" max="11978" width="11.88671875" style="9" customWidth="1"/>
    <col min="11979" max="11981" width="9.6640625" style="9"/>
    <col min="11982" max="11982" width="15.44140625" style="9" customWidth="1"/>
    <col min="11983" max="11983" width="16.21875" style="9" customWidth="1"/>
    <col min="11984" max="11995" width="9.6640625" style="9"/>
    <col min="11996" max="11996" width="12" style="9" customWidth="1"/>
    <col min="11997" max="11997" width="12.77734375" style="9" customWidth="1"/>
    <col min="11998" max="11998" width="11.109375" style="9" customWidth="1"/>
    <col min="11999" max="11999" width="12" style="9" customWidth="1"/>
    <col min="12000" max="12000" width="9.6640625" style="9"/>
    <col min="12001" max="12001" width="15.33203125" style="9" customWidth="1"/>
    <col min="12002" max="12002" width="15.21875" style="9" customWidth="1"/>
    <col min="12003" max="12003" width="21.44140625" style="9" customWidth="1"/>
    <col min="12004" max="12019" width="9.6640625" style="9"/>
    <col min="12020" max="12021" width="13.44140625" style="9" customWidth="1"/>
    <col min="12022" max="12022" width="9.6640625" style="9"/>
    <col min="12023" max="12023" width="13.88671875" style="9" customWidth="1"/>
    <col min="12024" max="12024" width="10.6640625" style="9" customWidth="1"/>
    <col min="12025" max="12025" width="17.33203125" style="9" customWidth="1"/>
    <col min="12026" max="12027" width="12.6640625" style="9" customWidth="1"/>
    <col min="12028" max="12028" width="11.21875" style="9" customWidth="1"/>
    <col min="12029" max="12029" width="18.33203125" style="9" customWidth="1"/>
    <col min="12030" max="12030" width="12.88671875" style="9" customWidth="1"/>
    <col min="12031" max="12032" width="13.21875" style="9" customWidth="1"/>
    <col min="12033" max="12033" width="10.88671875" style="9" customWidth="1"/>
    <col min="12034" max="12034" width="11.109375" style="9" customWidth="1"/>
    <col min="12035" max="12035" width="15.21875" style="9" customWidth="1"/>
    <col min="12036" max="12036" width="9.6640625" style="9"/>
    <col min="12037" max="12037" width="11" style="9" customWidth="1"/>
    <col min="12038" max="12038" width="10.77734375" style="9" customWidth="1"/>
    <col min="12039" max="12039" width="11.44140625" style="9" customWidth="1"/>
    <col min="12040" max="12040" width="4" style="9" customWidth="1"/>
    <col min="12041" max="12231" width="9.6640625" style="9"/>
    <col min="12232" max="12232" width="6.44140625" style="9" customWidth="1"/>
    <col min="12233" max="12233" width="13.88671875" style="9" customWidth="1"/>
    <col min="12234" max="12234" width="11.88671875" style="9" customWidth="1"/>
    <col min="12235" max="12237" width="9.6640625" style="9"/>
    <col min="12238" max="12238" width="15.44140625" style="9" customWidth="1"/>
    <col min="12239" max="12239" width="16.21875" style="9" customWidth="1"/>
    <col min="12240" max="12251" width="9.6640625" style="9"/>
    <col min="12252" max="12252" width="12" style="9" customWidth="1"/>
    <col min="12253" max="12253" width="12.77734375" style="9" customWidth="1"/>
    <col min="12254" max="12254" width="11.109375" style="9" customWidth="1"/>
    <col min="12255" max="12255" width="12" style="9" customWidth="1"/>
    <col min="12256" max="12256" width="9.6640625" style="9"/>
    <col min="12257" max="12257" width="15.33203125" style="9" customWidth="1"/>
    <col min="12258" max="12258" width="15.21875" style="9" customWidth="1"/>
    <col min="12259" max="12259" width="21.44140625" style="9" customWidth="1"/>
    <col min="12260" max="12275" width="9.6640625" style="9"/>
    <col min="12276" max="12277" width="13.44140625" style="9" customWidth="1"/>
    <col min="12278" max="12278" width="9.6640625" style="9"/>
    <col min="12279" max="12279" width="13.88671875" style="9" customWidth="1"/>
    <col min="12280" max="12280" width="10.6640625" style="9" customWidth="1"/>
    <col min="12281" max="12281" width="17.33203125" style="9" customWidth="1"/>
    <col min="12282" max="12283" width="12.6640625" style="9" customWidth="1"/>
    <col min="12284" max="12284" width="11.21875" style="9" customWidth="1"/>
    <col min="12285" max="12285" width="18.33203125" style="9" customWidth="1"/>
    <col min="12286" max="12286" width="12.88671875" style="9" customWidth="1"/>
    <col min="12287" max="12288" width="13.21875" style="9" customWidth="1"/>
    <col min="12289" max="12289" width="10.88671875" style="9" customWidth="1"/>
    <col min="12290" max="12290" width="11.109375" style="9" customWidth="1"/>
    <col min="12291" max="12291" width="15.21875" style="9" customWidth="1"/>
    <col min="12292" max="12292" width="9.6640625" style="9"/>
    <col min="12293" max="12293" width="11" style="9" customWidth="1"/>
    <col min="12294" max="12294" width="10.77734375" style="9" customWidth="1"/>
    <col min="12295" max="12295" width="11.44140625" style="9" customWidth="1"/>
    <col min="12296" max="12296" width="4" style="9" customWidth="1"/>
    <col min="12297" max="12487" width="9.6640625" style="9"/>
    <col min="12488" max="12488" width="6.44140625" style="9" customWidth="1"/>
    <col min="12489" max="12489" width="13.88671875" style="9" customWidth="1"/>
    <col min="12490" max="12490" width="11.88671875" style="9" customWidth="1"/>
    <col min="12491" max="12493" width="9.6640625" style="9"/>
    <col min="12494" max="12494" width="15.44140625" style="9" customWidth="1"/>
    <col min="12495" max="12495" width="16.21875" style="9" customWidth="1"/>
    <col min="12496" max="12507" width="9.6640625" style="9"/>
    <col min="12508" max="12508" width="12" style="9" customWidth="1"/>
    <col min="12509" max="12509" width="12.77734375" style="9" customWidth="1"/>
    <col min="12510" max="12510" width="11.109375" style="9" customWidth="1"/>
    <col min="12511" max="12511" width="12" style="9" customWidth="1"/>
    <col min="12512" max="12512" width="9.6640625" style="9"/>
    <col min="12513" max="12513" width="15.33203125" style="9" customWidth="1"/>
    <col min="12514" max="12514" width="15.21875" style="9" customWidth="1"/>
    <col min="12515" max="12515" width="21.44140625" style="9" customWidth="1"/>
    <col min="12516" max="12531" width="9.6640625" style="9"/>
    <col min="12532" max="12533" width="13.44140625" style="9" customWidth="1"/>
    <col min="12534" max="12534" width="9.6640625" style="9"/>
    <col min="12535" max="12535" width="13.88671875" style="9" customWidth="1"/>
    <col min="12536" max="12536" width="10.6640625" style="9" customWidth="1"/>
    <col min="12537" max="12537" width="17.33203125" style="9" customWidth="1"/>
    <col min="12538" max="12539" width="12.6640625" style="9" customWidth="1"/>
    <col min="12540" max="12540" width="11.21875" style="9" customWidth="1"/>
    <col min="12541" max="12541" width="18.33203125" style="9" customWidth="1"/>
    <col min="12542" max="12542" width="12.88671875" style="9" customWidth="1"/>
    <col min="12543" max="12544" width="13.21875" style="9" customWidth="1"/>
    <col min="12545" max="12545" width="10.88671875" style="9" customWidth="1"/>
    <col min="12546" max="12546" width="11.109375" style="9" customWidth="1"/>
    <col min="12547" max="12547" width="15.21875" style="9" customWidth="1"/>
    <col min="12548" max="12548" width="9.6640625" style="9"/>
    <col min="12549" max="12549" width="11" style="9" customWidth="1"/>
    <col min="12550" max="12550" width="10.77734375" style="9" customWidth="1"/>
    <col min="12551" max="12551" width="11.44140625" style="9" customWidth="1"/>
    <col min="12552" max="12552" width="4" style="9" customWidth="1"/>
    <col min="12553" max="12743" width="9.6640625" style="9"/>
    <col min="12744" max="12744" width="6.44140625" style="9" customWidth="1"/>
    <col min="12745" max="12745" width="13.88671875" style="9" customWidth="1"/>
    <col min="12746" max="12746" width="11.88671875" style="9" customWidth="1"/>
    <col min="12747" max="12749" width="9.6640625" style="9"/>
    <col min="12750" max="12750" width="15.44140625" style="9" customWidth="1"/>
    <col min="12751" max="12751" width="16.21875" style="9" customWidth="1"/>
    <col min="12752" max="12763" width="9.6640625" style="9"/>
    <col min="12764" max="12764" width="12" style="9" customWidth="1"/>
    <col min="12765" max="12765" width="12.77734375" style="9" customWidth="1"/>
    <col min="12766" max="12766" width="11.109375" style="9" customWidth="1"/>
    <col min="12767" max="12767" width="12" style="9" customWidth="1"/>
    <col min="12768" max="12768" width="9.6640625" style="9"/>
    <col min="12769" max="12769" width="15.33203125" style="9" customWidth="1"/>
    <col min="12770" max="12770" width="15.21875" style="9" customWidth="1"/>
    <col min="12771" max="12771" width="21.44140625" style="9" customWidth="1"/>
    <col min="12772" max="12787" width="9.6640625" style="9"/>
    <col min="12788" max="12789" width="13.44140625" style="9" customWidth="1"/>
    <col min="12790" max="12790" width="9.6640625" style="9"/>
    <col min="12791" max="12791" width="13.88671875" style="9" customWidth="1"/>
    <col min="12792" max="12792" width="10.6640625" style="9" customWidth="1"/>
    <col min="12793" max="12793" width="17.33203125" style="9" customWidth="1"/>
    <col min="12794" max="12795" width="12.6640625" style="9" customWidth="1"/>
    <col min="12796" max="12796" width="11.21875" style="9" customWidth="1"/>
    <col min="12797" max="12797" width="18.33203125" style="9" customWidth="1"/>
    <col min="12798" max="12798" width="12.88671875" style="9" customWidth="1"/>
    <col min="12799" max="12800" width="13.21875" style="9" customWidth="1"/>
    <col min="12801" max="12801" width="10.88671875" style="9" customWidth="1"/>
    <col min="12802" max="12802" width="11.109375" style="9" customWidth="1"/>
    <col min="12803" max="12803" width="15.21875" style="9" customWidth="1"/>
    <col min="12804" max="12804" width="9.6640625" style="9"/>
    <col min="12805" max="12805" width="11" style="9" customWidth="1"/>
    <col min="12806" max="12806" width="10.77734375" style="9" customWidth="1"/>
    <col min="12807" max="12807" width="11.44140625" style="9" customWidth="1"/>
    <col min="12808" max="12808" width="4" style="9" customWidth="1"/>
    <col min="12809" max="12999" width="9.6640625" style="9"/>
    <col min="13000" max="13000" width="6.44140625" style="9" customWidth="1"/>
    <col min="13001" max="13001" width="13.88671875" style="9" customWidth="1"/>
    <col min="13002" max="13002" width="11.88671875" style="9" customWidth="1"/>
    <col min="13003" max="13005" width="9.6640625" style="9"/>
    <col min="13006" max="13006" width="15.44140625" style="9" customWidth="1"/>
    <col min="13007" max="13007" width="16.21875" style="9" customWidth="1"/>
    <col min="13008" max="13019" width="9.6640625" style="9"/>
    <col min="13020" max="13020" width="12" style="9" customWidth="1"/>
    <col min="13021" max="13021" width="12.77734375" style="9" customWidth="1"/>
    <col min="13022" max="13022" width="11.109375" style="9" customWidth="1"/>
    <col min="13023" max="13023" width="12" style="9" customWidth="1"/>
    <col min="13024" max="13024" width="9.6640625" style="9"/>
    <col min="13025" max="13025" width="15.33203125" style="9" customWidth="1"/>
    <col min="13026" max="13026" width="15.21875" style="9" customWidth="1"/>
    <col min="13027" max="13027" width="21.44140625" style="9" customWidth="1"/>
    <col min="13028" max="13043" width="9.6640625" style="9"/>
    <col min="13044" max="13045" width="13.44140625" style="9" customWidth="1"/>
    <col min="13046" max="13046" width="9.6640625" style="9"/>
    <col min="13047" max="13047" width="13.88671875" style="9" customWidth="1"/>
    <col min="13048" max="13048" width="10.6640625" style="9" customWidth="1"/>
    <col min="13049" max="13049" width="17.33203125" style="9" customWidth="1"/>
    <col min="13050" max="13051" width="12.6640625" style="9" customWidth="1"/>
    <col min="13052" max="13052" width="11.21875" style="9" customWidth="1"/>
    <col min="13053" max="13053" width="18.33203125" style="9" customWidth="1"/>
    <col min="13054" max="13054" width="12.88671875" style="9" customWidth="1"/>
    <col min="13055" max="13056" width="13.21875" style="9" customWidth="1"/>
    <col min="13057" max="13057" width="10.88671875" style="9" customWidth="1"/>
    <col min="13058" max="13058" width="11.109375" style="9" customWidth="1"/>
    <col min="13059" max="13059" width="15.21875" style="9" customWidth="1"/>
    <col min="13060" max="13060" width="9.6640625" style="9"/>
    <col min="13061" max="13061" width="11" style="9" customWidth="1"/>
    <col min="13062" max="13062" width="10.77734375" style="9" customWidth="1"/>
    <col min="13063" max="13063" width="11.44140625" style="9" customWidth="1"/>
    <col min="13064" max="13064" width="4" style="9" customWidth="1"/>
    <col min="13065" max="13255" width="9.6640625" style="9"/>
    <col min="13256" max="13256" width="6.44140625" style="9" customWidth="1"/>
    <col min="13257" max="13257" width="13.88671875" style="9" customWidth="1"/>
    <col min="13258" max="13258" width="11.88671875" style="9" customWidth="1"/>
    <col min="13259" max="13261" width="9.6640625" style="9"/>
    <col min="13262" max="13262" width="15.44140625" style="9" customWidth="1"/>
    <col min="13263" max="13263" width="16.21875" style="9" customWidth="1"/>
    <col min="13264" max="13275" width="9.6640625" style="9"/>
    <col min="13276" max="13276" width="12" style="9" customWidth="1"/>
    <col min="13277" max="13277" width="12.77734375" style="9" customWidth="1"/>
    <col min="13278" max="13278" width="11.109375" style="9" customWidth="1"/>
    <col min="13279" max="13279" width="12" style="9" customWidth="1"/>
    <col min="13280" max="13280" width="9.6640625" style="9"/>
    <col min="13281" max="13281" width="15.33203125" style="9" customWidth="1"/>
    <col min="13282" max="13282" width="15.21875" style="9" customWidth="1"/>
    <col min="13283" max="13283" width="21.44140625" style="9" customWidth="1"/>
    <col min="13284" max="13299" width="9.6640625" style="9"/>
    <col min="13300" max="13301" width="13.44140625" style="9" customWidth="1"/>
    <col min="13302" max="13302" width="9.6640625" style="9"/>
    <col min="13303" max="13303" width="13.88671875" style="9" customWidth="1"/>
    <col min="13304" max="13304" width="10.6640625" style="9" customWidth="1"/>
    <col min="13305" max="13305" width="17.33203125" style="9" customWidth="1"/>
    <col min="13306" max="13307" width="12.6640625" style="9" customWidth="1"/>
    <col min="13308" max="13308" width="11.21875" style="9" customWidth="1"/>
    <col min="13309" max="13309" width="18.33203125" style="9" customWidth="1"/>
    <col min="13310" max="13310" width="12.88671875" style="9" customWidth="1"/>
    <col min="13311" max="13312" width="13.21875" style="9" customWidth="1"/>
    <col min="13313" max="13313" width="10.88671875" style="9" customWidth="1"/>
    <col min="13314" max="13314" width="11.109375" style="9" customWidth="1"/>
    <col min="13315" max="13315" width="15.21875" style="9" customWidth="1"/>
    <col min="13316" max="13316" width="9.6640625" style="9"/>
    <col min="13317" max="13317" width="11" style="9" customWidth="1"/>
    <col min="13318" max="13318" width="10.77734375" style="9" customWidth="1"/>
    <col min="13319" max="13319" width="11.44140625" style="9" customWidth="1"/>
    <col min="13320" max="13320" width="4" style="9" customWidth="1"/>
    <col min="13321" max="13511" width="9.6640625" style="9"/>
    <col min="13512" max="13512" width="6.44140625" style="9" customWidth="1"/>
    <col min="13513" max="13513" width="13.88671875" style="9" customWidth="1"/>
    <col min="13514" max="13514" width="11.88671875" style="9" customWidth="1"/>
    <col min="13515" max="13517" width="9.6640625" style="9"/>
    <col min="13518" max="13518" width="15.44140625" style="9" customWidth="1"/>
    <col min="13519" max="13519" width="16.21875" style="9" customWidth="1"/>
    <col min="13520" max="13531" width="9.6640625" style="9"/>
    <col min="13532" max="13532" width="12" style="9" customWidth="1"/>
    <col min="13533" max="13533" width="12.77734375" style="9" customWidth="1"/>
    <col min="13534" max="13534" width="11.109375" style="9" customWidth="1"/>
    <col min="13535" max="13535" width="12" style="9" customWidth="1"/>
    <col min="13536" max="13536" width="9.6640625" style="9"/>
    <col min="13537" max="13537" width="15.33203125" style="9" customWidth="1"/>
    <col min="13538" max="13538" width="15.21875" style="9" customWidth="1"/>
    <col min="13539" max="13539" width="21.44140625" style="9" customWidth="1"/>
    <col min="13540" max="13555" width="9.6640625" style="9"/>
    <col min="13556" max="13557" width="13.44140625" style="9" customWidth="1"/>
    <col min="13558" max="13558" width="9.6640625" style="9"/>
    <col min="13559" max="13559" width="13.88671875" style="9" customWidth="1"/>
    <col min="13560" max="13560" width="10.6640625" style="9" customWidth="1"/>
    <col min="13561" max="13561" width="17.33203125" style="9" customWidth="1"/>
    <col min="13562" max="13563" width="12.6640625" style="9" customWidth="1"/>
    <col min="13564" max="13564" width="11.21875" style="9" customWidth="1"/>
    <col min="13565" max="13565" width="18.33203125" style="9" customWidth="1"/>
    <col min="13566" max="13566" width="12.88671875" style="9" customWidth="1"/>
    <col min="13567" max="13568" width="13.21875" style="9" customWidth="1"/>
    <col min="13569" max="13569" width="10.88671875" style="9" customWidth="1"/>
    <col min="13570" max="13570" width="11.109375" style="9" customWidth="1"/>
    <col min="13571" max="13571" width="15.21875" style="9" customWidth="1"/>
    <col min="13572" max="13572" width="9.6640625" style="9"/>
    <col min="13573" max="13573" width="11" style="9" customWidth="1"/>
    <col min="13574" max="13574" width="10.77734375" style="9" customWidth="1"/>
    <col min="13575" max="13575" width="11.44140625" style="9" customWidth="1"/>
    <col min="13576" max="13576" width="4" style="9" customWidth="1"/>
    <col min="13577" max="13767" width="9.6640625" style="9"/>
    <col min="13768" max="13768" width="6.44140625" style="9" customWidth="1"/>
    <col min="13769" max="13769" width="13.88671875" style="9" customWidth="1"/>
    <col min="13770" max="13770" width="11.88671875" style="9" customWidth="1"/>
    <col min="13771" max="13773" width="9.6640625" style="9"/>
    <col min="13774" max="13774" width="15.44140625" style="9" customWidth="1"/>
    <col min="13775" max="13775" width="16.21875" style="9" customWidth="1"/>
    <col min="13776" max="13787" width="9.6640625" style="9"/>
    <col min="13788" max="13788" width="12" style="9" customWidth="1"/>
    <col min="13789" max="13789" width="12.77734375" style="9" customWidth="1"/>
    <col min="13790" max="13790" width="11.109375" style="9" customWidth="1"/>
    <col min="13791" max="13791" width="12" style="9" customWidth="1"/>
    <col min="13792" max="13792" width="9.6640625" style="9"/>
    <col min="13793" max="13793" width="15.33203125" style="9" customWidth="1"/>
    <col min="13794" max="13794" width="15.21875" style="9" customWidth="1"/>
    <col min="13795" max="13795" width="21.44140625" style="9" customWidth="1"/>
    <col min="13796" max="13811" width="9.6640625" style="9"/>
    <col min="13812" max="13813" width="13.44140625" style="9" customWidth="1"/>
    <col min="13814" max="13814" width="9.6640625" style="9"/>
    <col min="13815" max="13815" width="13.88671875" style="9" customWidth="1"/>
    <col min="13816" max="13816" width="10.6640625" style="9" customWidth="1"/>
    <col min="13817" max="13817" width="17.33203125" style="9" customWidth="1"/>
    <col min="13818" max="13819" width="12.6640625" style="9" customWidth="1"/>
    <col min="13820" max="13820" width="11.21875" style="9" customWidth="1"/>
    <col min="13821" max="13821" width="18.33203125" style="9" customWidth="1"/>
    <col min="13822" max="13822" width="12.88671875" style="9" customWidth="1"/>
    <col min="13823" max="13824" width="13.21875" style="9" customWidth="1"/>
    <col min="13825" max="13825" width="10.88671875" style="9" customWidth="1"/>
    <col min="13826" max="13826" width="11.109375" style="9" customWidth="1"/>
    <col min="13827" max="13827" width="15.21875" style="9" customWidth="1"/>
    <col min="13828" max="13828" width="9.6640625" style="9"/>
    <col min="13829" max="13829" width="11" style="9" customWidth="1"/>
    <col min="13830" max="13830" width="10.77734375" style="9" customWidth="1"/>
    <col min="13831" max="13831" width="11.44140625" style="9" customWidth="1"/>
    <col min="13832" max="13832" width="4" style="9" customWidth="1"/>
    <col min="13833" max="14023" width="9.6640625" style="9"/>
    <col min="14024" max="14024" width="6.44140625" style="9" customWidth="1"/>
    <col min="14025" max="14025" width="13.88671875" style="9" customWidth="1"/>
    <col min="14026" max="14026" width="11.88671875" style="9" customWidth="1"/>
    <col min="14027" max="14029" width="9.6640625" style="9"/>
    <col min="14030" max="14030" width="15.44140625" style="9" customWidth="1"/>
    <col min="14031" max="14031" width="16.21875" style="9" customWidth="1"/>
    <col min="14032" max="14043" width="9.6640625" style="9"/>
    <col min="14044" max="14044" width="12" style="9" customWidth="1"/>
    <col min="14045" max="14045" width="12.77734375" style="9" customWidth="1"/>
    <col min="14046" max="14046" width="11.109375" style="9" customWidth="1"/>
    <col min="14047" max="14047" width="12" style="9" customWidth="1"/>
    <col min="14048" max="14048" width="9.6640625" style="9"/>
    <col min="14049" max="14049" width="15.33203125" style="9" customWidth="1"/>
    <col min="14050" max="14050" width="15.21875" style="9" customWidth="1"/>
    <col min="14051" max="14051" width="21.44140625" style="9" customWidth="1"/>
    <col min="14052" max="14067" width="9.6640625" style="9"/>
    <col min="14068" max="14069" width="13.44140625" style="9" customWidth="1"/>
    <col min="14070" max="14070" width="9.6640625" style="9"/>
    <col min="14071" max="14071" width="13.88671875" style="9" customWidth="1"/>
    <col min="14072" max="14072" width="10.6640625" style="9" customWidth="1"/>
    <col min="14073" max="14073" width="17.33203125" style="9" customWidth="1"/>
    <col min="14074" max="14075" width="12.6640625" style="9" customWidth="1"/>
    <col min="14076" max="14076" width="11.21875" style="9" customWidth="1"/>
    <col min="14077" max="14077" width="18.33203125" style="9" customWidth="1"/>
    <col min="14078" max="14078" width="12.88671875" style="9" customWidth="1"/>
    <col min="14079" max="14080" width="13.21875" style="9" customWidth="1"/>
    <col min="14081" max="14081" width="10.88671875" style="9" customWidth="1"/>
    <col min="14082" max="14082" width="11.109375" style="9" customWidth="1"/>
    <col min="14083" max="14083" width="15.21875" style="9" customWidth="1"/>
    <col min="14084" max="14084" width="9.6640625" style="9"/>
    <col min="14085" max="14085" width="11" style="9" customWidth="1"/>
    <col min="14086" max="14086" width="10.77734375" style="9" customWidth="1"/>
    <col min="14087" max="14087" width="11.44140625" style="9" customWidth="1"/>
    <col min="14088" max="14088" width="4" style="9" customWidth="1"/>
    <col min="14089" max="14279" width="9.6640625" style="9"/>
    <col min="14280" max="14280" width="6.44140625" style="9" customWidth="1"/>
    <col min="14281" max="14281" width="13.88671875" style="9" customWidth="1"/>
    <col min="14282" max="14282" width="11.88671875" style="9" customWidth="1"/>
    <col min="14283" max="14285" width="9.6640625" style="9"/>
    <col min="14286" max="14286" width="15.44140625" style="9" customWidth="1"/>
    <col min="14287" max="14287" width="16.21875" style="9" customWidth="1"/>
    <col min="14288" max="14299" width="9.6640625" style="9"/>
    <col min="14300" max="14300" width="12" style="9" customWidth="1"/>
    <col min="14301" max="14301" width="12.77734375" style="9" customWidth="1"/>
    <col min="14302" max="14302" width="11.109375" style="9" customWidth="1"/>
    <col min="14303" max="14303" width="12" style="9" customWidth="1"/>
    <col min="14304" max="14304" width="9.6640625" style="9"/>
    <col min="14305" max="14305" width="15.33203125" style="9" customWidth="1"/>
    <col min="14306" max="14306" width="15.21875" style="9" customWidth="1"/>
    <col min="14307" max="14307" width="21.44140625" style="9" customWidth="1"/>
    <col min="14308" max="14323" width="9.6640625" style="9"/>
    <col min="14324" max="14325" width="13.44140625" style="9" customWidth="1"/>
    <col min="14326" max="14326" width="9.6640625" style="9"/>
    <col min="14327" max="14327" width="13.88671875" style="9" customWidth="1"/>
    <col min="14328" max="14328" width="10.6640625" style="9" customWidth="1"/>
    <col min="14329" max="14329" width="17.33203125" style="9" customWidth="1"/>
    <col min="14330" max="14331" width="12.6640625" style="9" customWidth="1"/>
    <col min="14332" max="14332" width="11.21875" style="9" customWidth="1"/>
    <col min="14333" max="14333" width="18.33203125" style="9" customWidth="1"/>
    <col min="14334" max="14334" width="12.88671875" style="9" customWidth="1"/>
    <col min="14335" max="14336" width="13.21875" style="9" customWidth="1"/>
    <col min="14337" max="14337" width="10.88671875" style="9" customWidth="1"/>
    <col min="14338" max="14338" width="11.109375" style="9" customWidth="1"/>
    <col min="14339" max="14339" width="15.21875" style="9" customWidth="1"/>
    <col min="14340" max="14340" width="9.6640625" style="9"/>
    <col min="14341" max="14341" width="11" style="9" customWidth="1"/>
    <col min="14342" max="14342" width="10.77734375" style="9" customWidth="1"/>
    <col min="14343" max="14343" width="11.44140625" style="9" customWidth="1"/>
    <col min="14344" max="14344" width="4" style="9" customWidth="1"/>
    <col min="14345" max="14535" width="9.6640625" style="9"/>
    <col min="14536" max="14536" width="6.44140625" style="9" customWidth="1"/>
    <col min="14537" max="14537" width="13.88671875" style="9" customWidth="1"/>
    <col min="14538" max="14538" width="11.88671875" style="9" customWidth="1"/>
    <col min="14539" max="14541" width="9.6640625" style="9"/>
    <col min="14542" max="14542" width="15.44140625" style="9" customWidth="1"/>
    <col min="14543" max="14543" width="16.21875" style="9" customWidth="1"/>
    <col min="14544" max="14555" width="9.6640625" style="9"/>
    <col min="14556" max="14556" width="12" style="9" customWidth="1"/>
    <col min="14557" max="14557" width="12.77734375" style="9" customWidth="1"/>
    <col min="14558" max="14558" width="11.109375" style="9" customWidth="1"/>
    <col min="14559" max="14559" width="12" style="9" customWidth="1"/>
    <col min="14560" max="14560" width="9.6640625" style="9"/>
    <col min="14561" max="14561" width="15.33203125" style="9" customWidth="1"/>
    <col min="14562" max="14562" width="15.21875" style="9" customWidth="1"/>
    <col min="14563" max="14563" width="21.44140625" style="9" customWidth="1"/>
    <col min="14564" max="14579" width="9.6640625" style="9"/>
    <col min="14580" max="14581" width="13.44140625" style="9" customWidth="1"/>
    <col min="14582" max="14582" width="9.6640625" style="9"/>
    <col min="14583" max="14583" width="13.88671875" style="9" customWidth="1"/>
    <col min="14584" max="14584" width="10.6640625" style="9" customWidth="1"/>
    <col min="14585" max="14585" width="17.33203125" style="9" customWidth="1"/>
    <col min="14586" max="14587" width="12.6640625" style="9" customWidth="1"/>
    <col min="14588" max="14588" width="11.21875" style="9" customWidth="1"/>
    <col min="14589" max="14589" width="18.33203125" style="9" customWidth="1"/>
    <col min="14590" max="14590" width="12.88671875" style="9" customWidth="1"/>
    <col min="14591" max="14592" width="13.21875" style="9" customWidth="1"/>
    <col min="14593" max="14593" width="10.88671875" style="9" customWidth="1"/>
    <col min="14594" max="14594" width="11.109375" style="9" customWidth="1"/>
    <col min="14595" max="14595" width="15.21875" style="9" customWidth="1"/>
    <col min="14596" max="14596" width="9.6640625" style="9"/>
    <col min="14597" max="14597" width="11" style="9" customWidth="1"/>
    <col min="14598" max="14598" width="10.77734375" style="9" customWidth="1"/>
    <col min="14599" max="14599" width="11.44140625" style="9" customWidth="1"/>
    <col min="14600" max="14600" width="4" style="9" customWidth="1"/>
    <col min="14601" max="14791" width="9.6640625" style="9"/>
    <col min="14792" max="14792" width="6.44140625" style="9" customWidth="1"/>
    <col min="14793" max="14793" width="13.88671875" style="9" customWidth="1"/>
    <col min="14794" max="14794" width="11.88671875" style="9" customWidth="1"/>
    <col min="14795" max="14797" width="9.6640625" style="9"/>
    <col min="14798" max="14798" width="15.44140625" style="9" customWidth="1"/>
    <col min="14799" max="14799" width="16.21875" style="9" customWidth="1"/>
    <col min="14800" max="14811" width="9.6640625" style="9"/>
    <col min="14812" max="14812" width="12" style="9" customWidth="1"/>
    <col min="14813" max="14813" width="12.77734375" style="9" customWidth="1"/>
    <col min="14814" max="14814" width="11.109375" style="9" customWidth="1"/>
    <col min="14815" max="14815" width="12" style="9" customWidth="1"/>
    <col min="14816" max="14816" width="9.6640625" style="9"/>
    <col min="14817" max="14817" width="15.33203125" style="9" customWidth="1"/>
    <col min="14818" max="14818" width="15.21875" style="9" customWidth="1"/>
    <col min="14819" max="14819" width="21.44140625" style="9" customWidth="1"/>
    <col min="14820" max="14835" width="9.6640625" style="9"/>
    <col min="14836" max="14837" width="13.44140625" style="9" customWidth="1"/>
    <col min="14838" max="14838" width="9.6640625" style="9"/>
    <col min="14839" max="14839" width="13.88671875" style="9" customWidth="1"/>
    <col min="14840" max="14840" width="10.6640625" style="9" customWidth="1"/>
    <col min="14841" max="14841" width="17.33203125" style="9" customWidth="1"/>
    <col min="14842" max="14843" width="12.6640625" style="9" customWidth="1"/>
    <col min="14844" max="14844" width="11.21875" style="9" customWidth="1"/>
    <col min="14845" max="14845" width="18.33203125" style="9" customWidth="1"/>
    <col min="14846" max="14846" width="12.88671875" style="9" customWidth="1"/>
    <col min="14847" max="14848" width="13.21875" style="9" customWidth="1"/>
    <col min="14849" max="14849" width="10.88671875" style="9" customWidth="1"/>
    <col min="14850" max="14850" width="11.109375" style="9" customWidth="1"/>
    <col min="14851" max="14851" width="15.21875" style="9" customWidth="1"/>
    <col min="14852" max="14852" width="9.6640625" style="9"/>
    <col min="14853" max="14853" width="11" style="9" customWidth="1"/>
    <col min="14854" max="14854" width="10.77734375" style="9" customWidth="1"/>
    <col min="14855" max="14855" width="11.44140625" style="9" customWidth="1"/>
    <col min="14856" max="14856" width="4" style="9" customWidth="1"/>
    <col min="14857" max="15047" width="9.6640625" style="9"/>
    <col min="15048" max="15048" width="6.44140625" style="9" customWidth="1"/>
    <col min="15049" max="15049" width="13.88671875" style="9" customWidth="1"/>
    <col min="15050" max="15050" width="11.88671875" style="9" customWidth="1"/>
    <col min="15051" max="15053" width="9.6640625" style="9"/>
    <col min="15054" max="15054" width="15.44140625" style="9" customWidth="1"/>
    <col min="15055" max="15055" width="16.21875" style="9" customWidth="1"/>
    <col min="15056" max="15067" width="9.6640625" style="9"/>
    <col min="15068" max="15068" width="12" style="9" customWidth="1"/>
    <col min="15069" max="15069" width="12.77734375" style="9" customWidth="1"/>
    <col min="15070" max="15070" width="11.109375" style="9" customWidth="1"/>
    <col min="15071" max="15071" width="12" style="9" customWidth="1"/>
    <col min="15072" max="15072" width="9.6640625" style="9"/>
    <col min="15073" max="15073" width="15.33203125" style="9" customWidth="1"/>
    <col min="15074" max="15074" width="15.21875" style="9" customWidth="1"/>
    <col min="15075" max="15075" width="21.44140625" style="9" customWidth="1"/>
    <col min="15076" max="15091" width="9.6640625" style="9"/>
    <col min="15092" max="15093" width="13.44140625" style="9" customWidth="1"/>
    <col min="15094" max="15094" width="9.6640625" style="9"/>
    <col min="15095" max="15095" width="13.88671875" style="9" customWidth="1"/>
    <col min="15096" max="15096" width="10.6640625" style="9" customWidth="1"/>
    <col min="15097" max="15097" width="17.33203125" style="9" customWidth="1"/>
    <col min="15098" max="15099" width="12.6640625" style="9" customWidth="1"/>
    <col min="15100" max="15100" width="11.21875" style="9" customWidth="1"/>
    <col min="15101" max="15101" width="18.33203125" style="9" customWidth="1"/>
    <col min="15102" max="15102" width="12.88671875" style="9" customWidth="1"/>
    <col min="15103" max="15104" width="13.21875" style="9" customWidth="1"/>
    <col min="15105" max="15105" width="10.88671875" style="9" customWidth="1"/>
    <col min="15106" max="15106" width="11.109375" style="9" customWidth="1"/>
    <col min="15107" max="15107" width="15.21875" style="9" customWidth="1"/>
    <col min="15108" max="15108" width="9.6640625" style="9"/>
    <col min="15109" max="15109" width="11" style="9" customWidth="1"/>
    <col min="15110" max="15110" width="10.77734375" style="9" customWidth="1"/>
    <col min="15111" max="15111" width="11.44140625" style="9" customWidth="1"/>
    <col min="15112" max="15112" width="4" style="9" customWidth="1"/>
    <col min="15113" max="15303" width="9.6640625" style="9"/>
    <col min="15304" max="15304" width="6.44140625" style="9" customWidth="1"/>
    <col min="15305" max="15305" width="13.88671875" style="9" customWidth="1"/>
    <col min="15306" max="15306" width="11.88671875" style="9" customWidth="1"/>
    <col min="15307" max="15309" width="9.6640625" style="9"/>
    <col min="15310" max="15310" width="15.44140625" style="9" customWidth="1"/>
    <col min="15311" max="15311" width="16.21875" style="9" customWidth="1"/>
    <col min="15312" max="15323" width="9.6640625" style="9"/>
    <col min="15324" max="15324" width="12" style="9" customWidth="1"/>
    <col min="15325" max="15325" width="12.77734375" style="9" customWidth="1"/>
    <col min="15326" max="15326" width="11.109375" style="9" customWidth="1"/>
    <col min="15327" max="15327" width="12" style="9" customWidth="1"/>
    <col min="15328" max="15328" width="9.6640625" style="9"/>
    <col min="15329" max="15329" width="15.33203125" style="9" customWidth="1"/>
    <col min="15330" max="15330" width="15.21875" style="9" customWidth="1"/>
    <col min="15331" max="15331" width="21.44140625" style="9" customWidth="1"/>
    <col min="15332" max="15347" width="9.6640625" style="9"/>
    <col min="15348" max="15349" width="13.44140625" style="9" customWidth="1"/>
    <col min="15350" max="15350" width="9.6640625" style="9"/>
    <col min="15351" max="15351" width="13.88671875" style="9" customWidth="1"/>
    <col min="15352" max="15352" width="10.6640625" style="9" customWidth="1"/>
    <col min="15353" max="15353" width="17.33203125" style="9" customWidth="1"/>
    <col min="15354" max="15355" width="12.6640625" style="9" customWidth="1"/>
    <col min="15356" max="15356" width="11.21875" style="9" customWidth="1"/>
    <col min="15357" max="15357" width="18.33203125" style="9" customWidth="1"/>
    <col min="15358" max="15358" width="12.88671875" style="9" customWidth="1"/>
    <col min="15359" max="15360" width="13.21875" style="9" customWidth="1"/>
    <col min="15361" max="15361" width="10.88671875" style="9" customWidth="1"/>
    <col min="15362" max="15362" width="11.109375" style="9" customWidth="1"/>
    <col min="15363" max="15363" width="15.21875" style="9" customWidth="1"/>
    <col min="15364" max="15364" width="9.6640625" style="9"/>
    <col min="15365" max="15365" width="11" style="9" customWidth="1"/>
    <col min="15366" max="15366" width="10.77734375" style="9" customWidth="1"/>
    <col min="15367" max="15367" width="11.44140625" style="9" customWidth="1"/>
    <col min="15368" max="15368" width="4" style="9" customWidth="1"/>
    <col min="15369" max="15559" width="9.6640625" style="9"/>
    <col min="15560" max="15560" width="6.44140625" style="9" customWidth="1"/>
    <col min="15561" max="15561" width="13.88671875" style="9" customWidth="1"/>
    <col min="15562" max="15562" width="11.88671875" style="9" customWidth="1"/>
    <col min="15563" max="15565" width="9.6640625" style="9"/>
    <col min="15566" max="15566" width="15.44140625" style="9" customWidth="1"/>
    <col min="15567" max="15567" width="16.21875" style="9" customWidth="1"/>
    <col min="15568" max="15579" width="9.6640625" style="9"/>
    <col min="15580" max="15580" width="12" style="9" customWidth="1"/>
    <col min="15581" max="15581" width="12.77734375" style="9" customWidth="1"/>
    <col min="15582" max="15582" width="11.109375" style="9" customWidth="1"/>
    <col min="15583" max="15583" width="12" style="9" customWidth="1"/>
    <col min="15584" max="15584" width="9.6640625" style="9"/>
    <col min="15585" max="15585" width="15.33203125" style="9" customWidth="1"/>
    <col min="15586" max="15586" width="15.21875" style="9" customWidth="1"/>
    <col min="15587" max="15587" width="21.44140625" style="9" customWidth="1"/>
    <col min="15588" max="15603" width="9.6640625" style="9"/>
    <col min="15604" max="15605" width="13.44140625" style="9" customWidth="1"/>
    <col min="15606" max="15606" width="9.6640625" style="9"/>
    <col min="15607" max="15607" width="13.88671875" style="9" customWidth="1"/>
    <col min="15608" max="15608" width="10.6640625" style="9" customWidth="1"/>
    <col min="15609" max="15609" width="17.33203125" style="9" customWidth="1"/>
    <col min="15610" max="15611" width="12.6640625" style="9" customWidth="1"/>
    <col min="15612" max="15612" width="11.21875" style="9" customWidth="1"/>
    <col min="15613" max="15613" width="18.33203125" style="9" customWidth="1"/>
    <col min="15614" max="15614" width="12.88671875" style="9" customWidth="1"/>
    <col min="15615" max="15616" width="13.21875" style="9" customWidth="1"/>
    <col min="15617" max="15617" width="10.88671875" style="9" customWidth="1"/>
    <col min="15618" max="15618" width="11.109375" style="9" customWidth="1"/>
    <col min="15619" max="15619" width="15.21875" style="9" customWidth="1"/>
    <col min="15620" max="15620" width="9.6640625" style="9"/>
    <col min="15621" max="15621" width="11" style="9" customWidth="1"/>
    <col min="15622" max="15622" width="10.77734375" style="9" customWidth="1"/>
    <col min="15623" max="15623" width="11.44140625" style="9" customWidth="1"/>
    <col min="15624" max="15624" width="4" style="9" customWidth="1"/>
    <col min="15625" max="15815" width="9.6640625" style="9"/>
    <col min="15816" max="15816" width="6.44140625" style="9" customWidth="1"/>
    <col min="15817" max="15817" width="13.88671875" style="9" customWidth="1"/>
    <col min="15818" max="15818" width="11.88671875" style="9" customWidth="1"/>
    <col min="15819" max="15821" width="9.6640625" style="9"/>
    <col min="15822" max="15822" width="15.44140625" style="9" customWidth="1"/>
    <col min="15823" max="15823" width="16.21875" style="9" customWidth="1"/>
    <col min="15824" max="15835" width="9.6640625" style="9"/>
    <col min="15836" max="15836" width="12" style="9" customWidth="1"/>
    <col min="15837" max="15837" width="12.77734375" style="9" customWidth="1"/>
    <col min="15838" max="15838" width="11.109375" style="9" customWidth="1"/>
    <col min="15839" max="15839" width="12" style="9" customWidth="1"/>
    <col min="15840" max="15840" width="9.6640625" style="9"/>
    <col min="15841" max="15841" width="15.33203125" style="9" customWidth="1"/>
    <col min="15842" max="15842" width="15.21875" style="9" customWidth="1"/>
    <col min="15843" max="15843" width="21.44140625" style="9" customWidth="1"/>
    <col min="15844" max="15859" width="9.6640625" style="9"/>
    <col min="15860" max="15861" width="13.44140625" style="9" customWidth="1"/>
    <col min="15862" max="15862" width="9.6640625" style="9"/>
    <col min="15863" max="15863" width="13.88671875" style="9" customWidth="1"/>
    <col min="15864" max="15864" width="10.6640625" style="9" customWidth="1"/>
    <col min="15865" max="15865" width="17.33203125" style="9" customWidth="1"/>
    <col min="15866" max="15867" width="12.6640625" style="9" customWidth="1"/>
    <col min="15868" max="15868" width="11.21875" style="9" customWidth="1"/>
    <col min="15869" max="15869" width="18.33203125" style="9" customWidth="1"/>
    <col min="15870" max="15870" width="12.88671875" style="9" customWidth="1"/>
    <col min="15871" max="15872" width="13.21875" style="9" customWidth="1"/>
    <col min="15873" max="15873" width="10.88671875" style="9" customWidth="1"/>
    <col min="15874" max="15874" width="11.109375" style="9" customWidth="1"/>
    <col min="15875" max="15875" width="15.21875" style="9" customWidth="1"/>
    <col min="15876" max="15876" width="9.6640625" style="9"/>
    <col min="15877" max="15877" width="11" style="9" customWidth="1"/>
    <col min="15878" max="15878" width="10.77734375" style="9" customWidth="1"/>
    <col min="15879" max="15879" width="11.44140625" style="9" customWidth="1"/>
    <col min="15880" max="15880" width="4" style="9" customWidth="1"/>
    <col min="15881" max="16071" width="9.6640625" style="9"/>
    <col min="16072" max="16072" width="6.44140625" style="9" customWidth="1"/>
    <col min="16073" max="16073" width="13.88671875" style="9" customWidth="1"/>
    <col min="16074" max="16074" width="11.88671875" style="9" customWidth="1"/>
    <col min="16075" max="16077" width="9.6640625" style="9"/>
    <col min="16078" max="16078" width="15.44140625" style="9" customWidth="1"/>
    <col min="16079" max="16079" width="16.21875" style="9" customWidth="1"/>
    <col min="16080" max="16091" width="9.6640625" style="9"/>
    <col min="16092" max="16092" width="12" style="9" customWidth="1"/>
    <col min="16093" max="16093" width="12.77734375" style="9" customWidth="1"/>
    <col min="16094" max="16094" width="11.109375" style="9" customWidth="1"/>
    <col min="16095" max="16095" width="12" style="9" customWidth="1"/>
    <col min="16096" max="16096" width="9.6640625" style="9"/>
    <col min="16097" max="16097" width="15.33203125" style="9" customWidth="1"/>
    <col min="16098" max="16098" width="15.21875" style="9" customWidth="1"/>
    <col min="16099" max="16099" width="21.44140625" style="9" customWidth="1"/>
    <col min="16100" max="16115" width="9.6640625" style="9"/>
    <col min="16116" max="16117" width="13.44140625" style="9" customWidth="1"/>
    <col min="16118" max="16118" width="9.6640625" style="9"/>
    <col min="16119" max="16119" width="13.88671875" style="9" customWidth="1"/>
    <col min="16120" max="16120" width="10.6640625" style="9" customWidth="1"/>
    <col min="16121" max="16121" width="17.33203125" style="9" customWidth="1"/>
    <col min="16122" max="16123" width="12.6640625" style="9" customWidth="1"/>
    <col min="16124" max="16124" width="11.21875" style="9" customWidth="1"/>
    <col min="16125" max="16125" width="18.33203125" style="9" customWidth="1"/>
    <col min="16126" max="16126" width="12.88671875" style="9" customWidth="1"/>
    <col min="16127" max="16128" width="13.21875" style="9" customWidth="1"/>
    <col min="16129" max="16129" width="10.88671875" style="9" customWidth="1"/>
    <col min="16130" max="16130" width="11.109375" style="9" customWidth="1"/>
    <col min="16131" max="16131" width="15.21875" style="9" customWidth="1"/>
    <col min="16132" max="16132" width="9.6640625" style="9"/>
    <col min="16133" max="16133" width="11" style="9" customWidth="1"/>
    <col min="16134" max="16134" width="10.77734375" style="9" customWidth="1"/>
    <col min="16135" max="16135" width="11.44140625" style="9" customWidth="1"/>
    <col min="16136" max="16136" width="4" style="9" customWidth="1"/>
    <col min="16137" max="16384" width="9.6640625" style="9"/>
  </cols>
  <sheetData>
    <row r="1" spans="1:144" ht="13.2" x14ac:dyDescent="0.2">
      <c r="A1" s="8" t="s">
        <v>75</v>
      </c>
    </row>
    <row r="2" spans="1:144" x14ac:dyDescent="0.2">
      <c r="C2" s="11" t="s">
        <v>76</v>
      </c>
      <c r="BI2" s="11"/>
    </row>
    <row r="3" spans="1:144" s="10" customFormat="1" x14ac:dyDescent="0.2">
      <c r="A3" s="12"/>
      <c r="B3" s="13" t="s">
        <v>77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</row>
    <row r="4" spans="1:144" s="10" customFormat="1" x14ac:dyDescent="0.2">
      <c r="A4" s="12"/>
      <c r="B4" s="15" t="s">
        <v>78</v>
      </c>
      <c r="C4" s="14" t="s">
        <v>574</v>
      </c>
      <c r="D4" s="14" t="s">
        <v>527</v>
      </c>
      <c r="E4" s="14" t="s">
        <v>527</v>
      </c>
      <c r="F4" s="14" t="s">
        <v>527</v>
      </c>
      <c r="G4" s="14" t="s">
        <v>527</v>
      </c>
      <c r="H4" s="14" t="s">
        <v>527</v>
      </c>
      <c r="I4" s="14" t="s">
        <v>527</v>
      </c>
      <c r="J4" s="14" t="s">
        <v>527</v>
      </c>
      <c r="K4" s="14" t="s">
        <v>527</v>
      </c>
      <c r="L4" s="14" t="s">
        <v>527</v>
      </c>
      <c r="M4" s="14" t="s">
        <v>527</v>
      </c>
      <c r="N4" s="14" t="s">
        <v>527</v>
      </c>
      <c r="O4" s="14" t="s">
        <v>527</v>
      </c>
      <c r="P4" s="14" t="s">
        <v>527</v>
      </c>
      <c r="Q4" s="14" t="s">
        <v>527</v>
      </c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</row>
    <row r="5" spans="1:144" s="10" customFormat="1" x14ac:dyDescent="0.2">
      <c r="A5" s="12"/>
      <c r="B5" s="13" t="s">
        <v>79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</row>
    <row r="6" spans="1:144" s="18" customFormat="1" x14ac:dyDescent="0.2">
      <c r="A6" s="16"/>
      <c r="B6" s="13" t="s">
        <v>80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</row>
    <row r="7" spans="1:144" s="27" customFormat="1" ht="28.8" customHeight="1" x14ac:dyDescent="0.2">
      <c r="A7" s="26"/>
      <c r="B7" s="13" t="s">
        <v>81</v>
      </c>
      <c r="C7" s="20" t="s">
        <v>36</v>
      </c>
      <c r="D7" s="20" t="s">
        <v>148</v>
      </c>
      <c r="E7" s="20" t="s">
        <v>195</v>
      </c>
      <c r="F7" s="20" t="s">
        <v>196</v>
      </c>
      <c r="G7" s="20" t="s">
        <v>50</v>
      </c>
      <c r="H7" s="20" t="s">
        <v>163</v>
      </c>
      <c r="I7" s="20" t="s">
        <v>197</v>
      </c>
      <c r="J7" s="20" t="s">
        <v>198</v>
      </c>
      <c r="K7" s="20" t="s">
        <v>11</v>
      </c>
      <c r="L7" s="20" t="s">
        <v>199</v>
      </c>
      <c r="M7" s="20" t="s">
        <v>3</v>
      </c>
      <c r="N7" s="20" t="s">
        <v>54</v>
      </c>
      <c r="O7" s="20" t="s">
        <v>200</v>
      </c>
      <c r="P7" s="20" t="s">
        <v>194</v>
      </c>
      <c r="Q7" s="20" t="s">
        <v>201</v>
      </c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</row>
    <row r="8" spans="1:144" x14ac:dyDescent="0.2">
      <c r="A8" s="22" t="s">
        <v>88</v>
      </c>
      <c r="B8" s="23"/>
    </row>
    <row r="9" spans="1:144" x14ac:dyDescent="0.2">
      <c r="A9" s="24" t="s">
        <v>580</v>
      </c>
      <c r="B9" s="23"/>
      <c r="C9" s="25" t="s">
        <v>582</v>
      </c>
      <c r="D9" s="25">
        <v>0.54605427690723141</v>
      </c>
      <c r="E9" s="25">
        <v>0.37085110328203225</v>
      </c>
      <c r="F9" s="25">
        <v>2.4838549428713361</v>
      </c>
      <c r="G9" s="25">
        <v>2.6849125238177725</v>
      </c>
      <c r="H9" s="25">
        <v>3.268641470888662</v>
      </c>
      <c r="I9" s="25">
        <v>6.7730148828090186</v>
      </c>
      <c r="J9" s="25">
        <v>15.340766200016766</v>
      </c>
      <c r="K9" s="25">
        <v>1.5448603683897801</v>
      </c>
      <c r="L9" s="25">
        <v>0.64852492370295012</v>
      </c>
      <c r="M9" s="25">
        <v>42.650418888042651</v>
      </c>
      <c r="N9" s="25">
        <v>1.3196093956188968</v>
      </c>
      <c r="O9" s="25">
        <v>154.92957746478874</v>
      </c>
      <c r="P9" s="25">
        <v>6.7854113655640376</v>
      </c>
      <c r="Q9" s="25">
        <v>1.6867873910127431</v>
      </c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</row>
    <row r="10" spans="1:144" x14ac:dyDescent="0.2">
      <c r="A10" s="24" t="s">
        <v>190</v>
      </c>
      <c r="B10" s="23"/>
      <c r="C10" s="25">
        <v>2E-3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</row>
  </sheetData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DB351"/>
  <sheetViews>
    <sheetView zoomScale="60" zoomScaleNormal="60" workbookViewId="0">
      <pane xSplit="3" ySplit="2" topLeftCell="D59" activePane="bottomRight" state="frozen"/>
      <selection activeCell="A2" sqref="A1:XFD1048576"/>
      <selection pane="topRight" activeCell="A2" sqref="A1:XFD1048576"/>
      <selection pane="bottomLeft" activeCell="A2" sqref="A1:XFD1048576"/>
      <selection pane="bottomRight" activeCell="C84" sqref="C84"/>
    </sheetView>
  </sheetViews>
  <sheetFormatPr defaultRowHeight="14.4" x14ac:dyDescent="0.3"/>
  <cols>
    <col min="1" max="1" width="39.44140625" style="38" customWidth="1"/>
    <col min="2" max="2" width="15" style="38" customWidth="1"/>
    <col min="3" max="3" width="12" style="38" customWidth="1"/>
    <col min="4" max="4" width="12.6640625" style="38" customWidth="1"/>
    <col min="5" max="15" width="12.6640625" style="59" customWidth="1"/>
    <col min="16" max="24" width="14" style="59" customWidth="1"/>
    <col min="25" max="25" width="8.88671875" style="59"/>
    <col min="26" max="26" width="13.77734375" style="59" customWidth="1"/>
    <col min="27" max="27" width="14.33203125" style="59" customWidth="1"/>
    <col min="28" max="29" width="11.44140625" style="59" customWidth="1"/>
    <col min="30" max="30" width="12.21875" style="59" customWidth="1"/>
    <col min="31" max="31" width="11.109375" style="59" customWidth="1"/>
    <col min="32" max="32" width="13.77734375" style="59" customWidth="1"/>
    <col min="33" max="34" width="15.44140625" style="59" customWidth="1"/>
    <col min="35" max="35" width="10.88671875" style="59" customWidth="1"/>
    <col min="36" max="16384" width="8.88671875" style="59"/>
  </cols>
  <sheetData>
    <row r="1" spans="1:36" x14ac:dyDescent="0.3">
      <c r="A1" s="83"/>
      <c r="B1" s="83"/>
      <c r="C1" s="83"/>
      <c r="D1" s="83"/>
      <c r="E1" s="106" t="s">
        <v>452</v>
      </c>
      <c r="F1" s="106"/>
      <c r="G1" s="106"/>
      <c r="H1" s="106" t="s">
        <v>453</v>
      </c>
      <c r="I1" s="106"/>
      <c r="J1" s="106"/>
      <c r="K1" s="106" t="s">
        <v>445</v>
      </c>
      <c r="L1" s="106"/>
      <c r="M1" s="106"/>
      <c r="N1" s="92"/>
      <c r="O1" s="38" t="s">
        <v>430</v>
      </c>
      <c r="P1" s="38"/>
      <c r="Q1" s="38"/>
      <c r="R1" s="106" t="s">
        <v>432</v>
      </c>
      <c r="S1" s="106"/>
      <c r="T1" s="106"/>
      <c r="U1" s="106" t="s">
        <v>431</v>
      </c>
      <c r="V1" s="106"/>
      <c r="W1" s="106"/>
      <c r="X1" s="106" t="s">
        <v>429</v>
      </c>
      <c r="Y1" s="106"/>
      <c r="Z1" s="106"/>
      <c r="AA1" s="83"/>
      <c r="AB1" s="106" t="s">
        <v>193</v>
      </c>
      <c r="AC1" s="106"/>
      <c r="AD1" s="106"/>
      <c r="AE1" s="106" t="s">
        <v>188</v>
      </c>
      <c r="AF1" s="106"/>
      <c r="AG1" s="106"/>
      <c r="AH1" s="106" t="s">
        <v>165</v>
      </c>
      <c r="AI1" s="106"/>
      <c r="AJ1" s="106"/>
    </row>
    <row r="2" spans="1:36" s="54" customFormat="1" ht="28.8" customHeight="1" x14ac:dyDescent="0.3">
      <c r="A2" s="55" t="s">
        <v>0</v>
      </c>
      <c r="B2" s="53" t="s">
        <v>80</v>
      </c>
      <c r="C2" s="95" t="s">
        <v>98</v>
      </c>
      <c r="D2" s="53" t="s">
        <v>30</v>
      </c>
      <c r="E2" s="53" t="s">
        <v>29</v>
      </c>
      <c r="F2" s="53" t="s">
        <v>2</v>
      </c>
      <c r="G2" s="53" t="s">
        <v>433</v>
      </c>
      <c r="H2" s="53" t="s">
        <v>29</v>
      </c>
      <c r="I2" s="53" t="s">
        <v>2</v>
      </c>
      <c r="J2" s="53" t="s">
        <v>433</v>
      </c>
      <c r="K2" s="53" t="s">
        <v>29</v>
      </c>
      <c r="L2" s="53" t="s">
        <v>2</v>
      </c>
      <c r="M2" s="53" t="s">
        <v>433</v>
      </c>
      <c r="N2" s="53" t="s">
        <v>30</v>
      </c>
      <c r="O2" s="53" t="s">
        <v>29</v>
      </c>
      <c r="P2" s="53" t="s">
        <v>2</v>
      </c>
      <c r="Q2" s="53" t="s">
        <v>433</v>
      </c>
      <c r="R2" s="53" t="s">
        <v>29</v>
      </c>
      <c r="S2" s="53" t="s">
        <v>2</v>
      </c>
      <c r="T2" s="53" t="s">
        <v>433</v>
      </c>
      <c r="U2" s="53" t="s">
        <v>29</v>
      </c>
      <c r="V2" s="53" t="s">
        <v>2</v>
      </c>
      <c r="W2" s="53" t="s">
        <v>433</v>
      </c>
      <c r="X2" s="53" t="s">
        <v>29</v>
      </c>
      <c r="Y2" s="53" t="s">
        <v>2</v>
      </c>
      <c r="Z2" s="53" t="s">
        <v>433</v>
      </c>
      <c r="AA2" s="53" t="s">
        <v>30</v>
      </c>
      <c r="AB2" s="53" t="s">
        <v>29</v>
      </c>
      <c r="AC2" s="53" t="s">
        <v>2</v>
      </c>
      <c r="AD2" s="53" t="s">
        <v>433</v>
      </c>
      <c r="AE2" s="53" t="s">
        <v>29</v>
      </c>
      <c r="AF2" s="53" t="s">
        <v>2</v>
      </c>
      <c r="AG2" s="53" t="s">
        <v>433</v>
      </c>
      <c r="AH2" s="53" t="s">
        <v>29</v>
      </c>
      <c r="AI2" s="53" t="s">
        <v>2</v>
      </c>
      <c r="AJ2" s="53" t="s">
        <v>433</v>
      </c>
    </row>
    <row r="3" spans="1:36" x14ac:dyDescent="0.3">
      <c r="A3" s="38" t="s">
        <v>189</v>
      </c>
      <c r="C3" s="93" t="s">
        <v>527</v>
      </c>
      <c r="D3" s="38" t="s">
        <v>1</v>
      </c>
      <c r="E3" s="93"/>
      <c r="F3" s="93"/>
      <c r="G3" s="94" t="str">
        <f>IFERROR(F3/E3,"")</f>
        <v/>
      </c>
      <c r="H3" s="93"/>
      <c r="I3" s="93"/>
      <c r="J3" s="94" t="str">
        <f>IFERROR(I3/H3,"")</f>
        <v/>
      </c>
      <c r="K3" s="93"/>
      <c r="L3" s="93"/>
      <c r="M3" s="94" t="str">
        <f>IFERROR(L3/K3,"")</f>
        <v/>
      </c>
      <c r="N3" s="94"/>
      <c r="O3" s="93"/>
      <c r="P3" s="93"/>
      <c r="Q3" s="94" t="str">
        <f>IFERROR(P3/O3,"")</f>
        <v/>
      </c>
      <c r="R3" s="93"/>
      <c r="S3" s="93"/>
      <c r="T3" s="93"/>
      <c r="U3" s="93"/>
      <c r="V3" s="93"/>
      <c r="W3" s="93"/>
      <c r="X3" s="93"/>
      <c r="Y3" s="93"/>
      <c r="Z3" s="93"/>
      <c r="AA3" s="93" t="s">
        <v>1</v>
      </c>
      <c r="AB3" s="93"/>
      <c r="AC3" s="93"/>
      <c r="AD3" s="94" t="str">
        <f>IFERROR(AC3/AB3,"")</f>
        <v/>
      </c>
      <c r="AE3" s="57">
        <v>255</v>
      </c>
      <c r="AF3" s="57">
        <v>13600</v>
      </c>
      <c r="AG3" s="94">
        <f t="shared" ref="AG3" si="0">IFERROR(AF3/AE3,"")</f>
        <v>53.333333333333336</v>
      </c>
      <c r="AH3" s="57"/>
      <c r="AI3" s="57"/>
      <c r="AJ3" s="57"/>
    </row>
    <row r="4" spans="1:36" x14ac:dyDescent="0.3">
      <c r="A4" s="39" t="s">
        <v>204</v>
      </c>
      <c r="C4" s="93" t="s">
        <v>527</v>
      </c>
      <c r="D4" s="38" t="s">
        <v>1</v>
      </c>
      <c r="E4" s="93"/>
      <c r="F4" s="93"/>
      <c r="G4" s="94" t="str">
        <f t="shared" ref="G4:G67" si="1">IFERROR(F4/E4,"")</f>
        <v/>
      </c>
      <c r="H4" s="93"/>
      <c r="I4" s="93"/>
      <c r="J4" s="94" t="str">
        <f t="shared" ref="J4:J67" si="2">IFERROR(I4/H4,"")</f>
        <v/>
      </c>
      <c r="K4" s="93"/>
      <c r="L4" s="93"/>
      <c r="M4" s="94" t="str">
        <f t="shared" ref="M4:M67" si="3">IFERROR(L4/K4,"")</f>
        <v/>
      </c>
      <c r="N4" s="94"/>
      <c r="O4" s="93"/>
      <c r="P4" s="93"/>
      <c r="Q4" s="94" t="str">
        <f t="shared" ref="Q4:Q67" si="4">IFERROR(P4/O4,"")</f>
        <v/>
      </c>
      <c r="R4" s="93"/>
      <c r="S4" s="93"/>
      <c r="T4" s="93"/>
      <c r="U4" s="93"/>
      <c r="V4" s="93"/>
      <c r="W4" s="93"/>
      <c r="X4" s="93"/>
      <c r="Y4" s="93"/>
      <c r="Z4" s="93"/>
      <c r="AA4" s="93" t="s">
        <v>1</v>
      </c>
      <c r="AB4" s="93">
        <v>35</v>
      </c>
      <c r="AC4" s="93">
        <v>1700</v>
      </c>
      <c r="AD4" s="94">
        <f t="shared" ref="AD4:AD67" si="5">IFERROR(AC4/AB4,"")</f>
        <v>48.571428571428569</v>
      </c>
      <c r="AE4" s="93"/>
      <c r="AF4" s="93"/>
      <c r="AG4" s="93"/>
      <c r="AH4" s="57">
        <v>59</v>
      </c>
      <c r="AI4" s="57">
        <v>5500</v>
      </c>
      <c r="AJ4" s="94">
        <f t="shared" ref="AJ4:AJ67" si="6">IFERROR(AI4/AH4,"")</f>
        <v>93.220338983050851</v>
      </c>
    </row>
    <row r="5" spans="1:36" x14ac:dyDescent="0.3">
      <c r="A5" s="39" t="s">
        <v>205</v>
      </c>
      <c r="C5" s="93" t="s">
        <v>527</v>
      </c>
      <c r="D5" s="38" t="s">
        <v>1</v>
      </c>
      <c r="E5" s="93"/>
      <c r="F5" s="93"/>
      <c r="G5" s="94" t="str">
        <f t="shared" si="1"/>
        <v/>
      </c>
      <c r="H5" s="93"/>
      <c r="I5" s="93"/>
      <c r="J5" s="94" t="str">
        <f t="shared" si="2"/>
        <v/>
      </c>
      <c r="K5" s="93"/>
      <c r="L5" s="93"/>
      <c r="M5" s="94" t="str">
        <f t="shared" si="3"/>
        <v/>
      </c>
      <c r="N5" s="94"/>
      <c r="O5" s="93"/>
      <c r="P5" s="93"/>
      <c r="Q5" s="94" t="str">
        <f t="shared" si="4"/>
        <v/>
      </c>
      <c r="R5" s="93"/>
      <c r="S5" s="93"/>
      <c r="T5" s="93"/>
      <c r="U5" s="93"/>
      <c r="V5" s="93"/>
      <c r="W5" s="93"/>
      <c r="X5" s="93"/>
      <c r="Y5" s="93"/>
      <c r="Z5" s="93"/>
      <c r="AA5" s="93" t="s">
        <v>1</v>
      </c>
      <c r="AB5" s="93">
        <v>224</v>
      </c>
      <c r="AC5" s="93">
        <v>19000</v>
      </c>
      <c r="AD5" s="94">
        <f t="shared" si="5"/>
        <v>84.821428571428569</v>
      </c>
      <c r="AE5" s="93"/>
      <c r="AF5" s="93"/>
      <c r="AG5" s="93"/>
      <c r="AH5" s="57">
        <v>3</v>
      </c>
      <c r="AI5" s="57">
        <v>450</v>
      </c>
      <c r="AJ5" s="94">
        <f t="shared" si="6"/>
        <v>150</v>
      </c>
    </row>
    <row r="6" spans="1:36" x14ac:dyDescent="0.3">
      <c r="A6" s="39" t="s">
        <v>520</v>
      </c>
      <c r="B6" s="38" t="s">
        <v>517</v>
      </c>
      <c r="C6" s="93" t="s">
        <v>527</v>
      </c>
      <c r="D6" s="38" t="s">
        <v>1</v>
      </c>
      <c r="E6" s="93"/>
      <c r="F6" s="93"/>
      <c r="G6" s="94" t="str">
        <f t="shared" si="1"/>
        <v/>
      </c>
      <c r="H6" s="93"/>
      <c r="I6" s="93"/>
      <c r="J6" s="94" t="str">
        <f t="shared" si="2"/>
        <v/>
      </c>
      <c r="K6" s="93"/>
      <c r="L6" s="93"/>
      <c r="M6" s="94" t="str">
        <f t="shared" si="3"/>
        <v/>
      </c>
      <c r="N6" s="94"/>
      <c r="O6" s="93"/>
      <c r="P6" s="93"/>
      <c r="Q6" s="94" t="str">
        <f t="shared" si="4"/>
        <v/>
      </c>
      <c r="R6" s="93"/>
      <c r="S6" s="93"/>
      <c r="T6" s="93"/>
      <c r="U6" s="93"/>
      <c r="V6" s="93"/>
      <c r="W6" s="93"/>
      <c r="X6" s="93"/>
      <c r="Y6" s="93"/>
      <c r="Z6" s="93"/>
      <c r="AA6" s="93" t="s">
        <v>1</v>
      </c>
      <c r="AB6" s="93">
        <v>55</v>
      </c>
      <c r="AC6" s="93">
        <v>5700</v>
      </c>
      <c r="AD6" s="94">
        <f t="shared" si="5"/>
        <v>103.63636363636364</v>
      </c>
      <c r="AE6" s="93"/>
      <c r="AF6" s="93"/>
      <c r="AG6" s="93"/>
      <c r="AH6" s="57">
        <v>13</v>
      </c>
      <c r="AI6" s="57">
        <v>850</v>
      </c>
      <c r="AJ6" s="94">
        <f t="shared" si="6"/>
        <v>65.384615384615387</v>
      </c>
    </row>
    <row r="7" spans="1:36" x14ac:dyDescent="0.3">
      <c r="A7" s="39" t="s">
        <v>203</v>
      </c>
      <c r="C7" s="93" t="s">
        <v>527</v>
      </c>
      <c r="D7" s="38" t="s">
        <v>1</v>
      </c>
      <c r="E7" s="93"/>
      <c r="F7" s="93"/>
      <c r="G7" s="94" t="str">
        <f t="shared" si="1"/>
        <v/>
      </c>
      <c r="H7" s="93"/>
      <c r="I7" s="93"/>
      <c r="J7" s="94" t="str">
        <f t="shared" si="2"/>
        <v/>
      </c>
      <c r="K7" s="93"/>
      <c r="L7" s="93"/>
      <c r="M7" s="94" t="str">
        <f t="shared" si="3"/>
        <v/>
      </c>
      <c r="N7" s="94"/>
      <c r="O7" s="93"/>
      <c r="P7" s="93"/>
      <c r="Q7" s="94" t="str">
        <f t="shared" si="4"/>
        <v/>
      </c>
      <c r="R7" s="93"/>
      <c r="S7" s="93"/>
      <c r="T7" s="93"/>
      <c r="U7" s="93"/>
      <c r="V7" s="93"/>
      <c r="W7" s="93"/>
      <c r="X7" s="93"/>
      <c r="Y7" s="93"/>
      <c r="Z7" s="93"/>
      <c r="AA7" s="93" t="s">
        <v>1</v>
      </c>
      <c r="AB7" s="93">
        <f>5403</f>
        <v>5403</v>
      </c>
      <c r="AC7" s="93">
        <v>175000</v>
      </c>
      <c r="AD7" s="94">
        <f t="shared" si="5"/>
        <v>32.389413288913566</v>
      </c>
      <c r="AE7" s="93"/>
      <c r="AF7" s="93"/>
      <c r="AG7" s="93"/>
      <c r="AH7" s="57">
        <v>98</v>
      </c>
      <c r="AI7" s="57">
        <v>5000</v>
      </c>
      <c r="AJ7" s="94">
        <f t="shared" si="6"/>
        <v>51.020408163265309</v>
      </c>
    </row>
    <row r="8" spans="1:36" x14ac:dyDescent="0.3">
      <c r="A8" s="39" t="s">
        <v>206</v>
      </c>
      <c r="C8" s="93" t="s">
        <v>527</v>
      </c>
      <c r="D8" s="38" t="s">
        <v>1</v>
      </c>
      <c r="E8" s="93"/>
      <c r="F8" s="93"/>
      <c r="G8" s="94" t="str">
        <f t="shared" si="1"/>
        <v/>
      </c>
      <c r="H8" s="93"/>
      <c r="I8" s="93"/>
      <c r="J8" s="94" t="str">
        <f t="shared" si="2"/>
        <v/>
      </c>
      <c r="K8" s="93"/>
      <c r="L8" s="93"/>
      <c r="M8" s="94" t="str">
        <f t="shared" si="3"/>
        <v/>
      </c>
      <c r="N8" s="94"/>
      <c r="O8" s="93"/>
      <c r="P8" s="93"/>
      <c r="Q8" s="94" t="str">
        <f t="shared" si="4"/>
        <v/>
      </c>
      <c r="R8" s="93"/>
      <c r="S8" s="93"/>
      <c r="T8" s="93"/>
      <c r="U8" s="93"/>
      <c r="V8" s="93"/>
      <c r="W8" s="93"/>
      <c r="X8" s="93"/>
      <c r="Y8" s="93"/>
      <c r="Z8" s="93"/>
      <c r="AA8" s="93" t="s">
        <v>1</v>
      </c>
      <c r="AB8" s="57"/>
      <c r="AC8" s="57"/>
      <c r="AD8" s="94" t="str">
        <f t="shared" si="5"/>
        <v/>
      </c>
      <c r="AE8" s="93"/>
      <c r="AF8" s="93"/>
      <c r="AG8" s="93"/>
      <c r="AH8" s="57">
        <v>21</v>
      </c>
      <c r="AI8" s="57">
        <v>5600</v>
      </c>
      <c r="AJ8" s="94">
        <f t="shared" si="6"/>
        <v>266.66666666666669</v>
      </c>
    </row>
    <row r="9" spans="1:36" x14ac:dyDescent="0.3">
      <c r="A9" s="39" t="s">
        <v>356</v>
      </c>
      <c r="C9" s="93" t="s">
        <v>527</v>
      </c>
      <c r="D9" s="38" t="s">
        <v>1</v>
      </c>
      <c r="E9" s="93"/>
      <c r="F9" s="93"/>
      <c r="G9" s="94" t="str">
        <f t="shared" si="1"/>
        <v/>
      </c>
      <c r="H9" s="93"/>
      <c r="I9" s="93"/>
      <c r="J9" s="94" t="str">
        <f t="shared" si="2"/>
        <v/>
      </c>
      <c r="K9" s="93"/>
      <c r="L9" s="93"/>
      <c r="M9" s="94" t="str">
        <f t="shared" si="3"/>
        <v/>
      </c>
      <c r="N9" s="94"/>
      <c r="O9" s="93"/>
      <c r="P9" s="93"/>
      <c r="Q9" s="94" t="str">
        <f t="shared" si="4"/>
        <v/>
      </c>
      <c r="R9" s="93"/>
      <c r="S9" s="93"/>
      <c r="T9" s="93"/>
      <c r="U9" s="93"/>
      <c r="V9" s="93"/>
      <c r="W9" s="93"/>
      <c r="X9" s="93"/>
      <c r="Y9" s="93"/>
      <c r="Z9" s="93"/>
      <c r="AA9" s="93" t="s">
        <v>1</v>
      </c>
      <c r="AB9" s="93">
        <v>105</v>
      </c>
      <c r="AC9" s="93">
        <v>2400</v>
      </c>
      <c r="AD9" s="94">
        <f t="shared" si="5"/>
        <v>22.857142857142858</v>
      </c>
      <c r="AE9" s="93"/>
      <c r="AF9" s="93"/>
      <c r="AG9" s="93"/>
      <c r="AH9" s="57"/>
      <c r="AI9" s="57"/>
      <c r="AJ9" s="94" t="str">
        <f t="shared" si="6"/>
        <v/>
      </c>
    </row>
    <row r="10" spans="1:36" x14ac:dyDescent="0.3">
      <c r="A10" s="39" t="s">
        <v>357</v>
      </c>
      <c r="C10" s="93" t="s">
        <v>527</v>
      </c>
      <c r="D10" s="38" t="s">
        <v>1</v>
      </c>
      <c r="E10" s="93"/>
      <c r="F10" s="93"/>
      <c r="G10" s="94" t="str">
        <f t="shared" si="1"/>
        <v/>
      </c>
      <c r="H10" s="93"/>
      <c r="I10" s="93"/>
      <c r="J10" s="94" t="str">
        <f t="shared" si="2"/>
        <v/>
      </c>
      <c r="K10" s="93"/>
      <c r="L10" s="93"/>
      <c r="M10" s="94" t="str">
        <f t="shared" si="3"/>
        <v/>
      </c>
      <c r="N10" s="94"/>
      <c r="O10" s="93"/>
      <c r="P10" s="93"/>
      <c r="Q10" s="94" t="str">
        <f t="shared" si="4"/>
        <v/>
      </c>
      <c r="R10" s="93"/>
      <c r="S10" s="93"/>
      <c r="T10" s="93"/>
      <c r="U10" s="93"/>
      <c r="V10" s="93"/>
      <c r="W10" s="93"/>
      <c r="X10" s="93"/>
      <c r="Y10" s="93"/>
      <c r="Z10" s="93"/>
      <c r="AA10" s="93" t="s">
        <v>1</v>
      </c>
      <c r="AB10" s="93">
        <v>308</v>
      </c>
      <c r="AC10" s="93">
        <v>7600</v>
      </c>
      <c r="AD10" s="94">
        <f t="shared" si="5"/>
        <v>24.675324675324674</v>
      </c>
      <c r="AE10" s="93"/>
      <c r="AF10" s="93"/>
      <c r="AG10" s="93"/>
      <c r="AH10" s="57"/>
      <c r="AI10" s="57"/>
      <c r="AJ10" s="94" t="str">
        <f t="shared" si="6"/>
        <v/>
      </c>
    </row>
    <row r="11" spans="1:36" x14ac:dyDescent="0.3">
      <c r="A11" s="39" t="s">
        <v>358</v>
      </c>
      <c r="B11" s="38" t="s">
        <v>458</v>
      </c>
      <c r="C11" s="93" t="s">
        <v>527</v>
      </c>
      <c r="D11" s="38" t="s">
        <v>1</v>
      </c>
      <c r="E11" s="93"/>
      <c r="F11" s="93"/>
      <c r="G11" s="94" t="str">
        <f t="shared" si="1"/>
        <v/>
      </c>
      <c r="H11" s="93"/>
      <c r="I11" s="93"/>
      <c r="J11" s="94" t="str">
        <f t="shared" si="2"/>
        <v/>
      </c>
      <c r="K11" s="93"/>
      <c r="L11" s="93"/>
      <c r="M11" s="94" t="str">
        <f t="shared" si="3"/>
        <v/>
      </c>
      <c r="N11" s="94"/>
      <c r="O11" s="93"/>
      <c r="P11" s="93"/>
      <c r="Q11" s="94" t="str">
        <f t="shared" si="4"/>
        <v/>
      </c>
      <c r="R11" s="93"/>
      <c r="S11" s="93"/>
      <c r="T11" s="93"/>
      <c r="U11" s="93"/>
      <c r="V11" s="93"/>
      <c r="W11" s="93"/>
      <c r="X11" s="93"/>
      <c r="Y11" s="93"/>
      <c r="Z11" s="93"/>
      <c r="AA11" s="93" t="s">
        <v>1</v>
      </c>
      <c r="AB11" s="93">
        <v>231</v>
      </c>
      <c r="AC11" s="93">
        <v>6000</v>
      </c>
      <c r="AD11" s="94">
        <f t="shared" si="5"/>
        <v>25.974025974025974</v>
      </c>
      <c r="AE11" s="93"/>
      <c r="AF11" s="93"/>
      <c r="AG11" s="93"/>
      <c r="AH11" s="57"/>
      <c r="AI11" s="57"/>
      <c r="AJ11" s="94" t="str">
        <f t="shared" si="6"/>
        <v/>
      </c>
    </row>
    <row r="12" spans="1:36" x14ac:dyDescent="0.3">
      <c r="A12" s="39" t="s">
        <v>91</v>
      </c>
      <c r="C12" s="93" t="s">
        <v>527</v>
      </c>
      <c r="D12" s="38" t="s">
        <v>1</v>
      </c>
      <c r="E12" s="93"/>
      <c r="F12" s="93"/>
      <c r="G12" s="94" t="str">
        <f t="shared" si="1"/>
        <v/>
      </c>
      <c r="H12" s="93"/>
      <c r="I12" s="93"/>
      <c r="J12" s="94" t="str">
        <f t="shared" si="2"/>
        <v/>
      </c>
      <c r="K12" s="93"/>
      <c r="L12" s="93"/>
      <c r="M12" s="94" t="str">
        <f t="shared" si="3"/>
        <v/>
      </c>
      <c r="N12" s="94"/>
      <c r="O12" s="93"/>
      <c r="P12" s="93"/>
      <c r="Q12" s="94" t="str">
        <f t="shared" si="4"/>
        <v/>
      </c>
      <c r="R12" s="93"/>
      <c r="S12" s="93"/>
      <c r="T12" s="93"/>
      <c r="U12" s="93"/>
      <c r="V12" s="93"/>
      <c r="W12" s="93"/>
      <c r="X12" s="93"/>
      <c r="Y12" s="93"/>
      <c r="Z12" s="93"/>
      <c r="AA12" s="93" t="s">
        <v>1</v>
      </c>
      <c r="AB12" s="93">
        <v>22</v>
      </c>
      <c r="AC12" s="93">
        <v>7500</v>
      </c>
      <c r="AD12" s="94">
        <f t="shared" si="5"/>
        <v>340.90909090909093</v>
      </c>
      <c r="AE12" s="93"/>
      <c r="AF12" s="93"/>
      <c r="AG12" s="93"/>
      <c r="AH12" s="57"/>
      <c r="AI12" s="57"/>
      <c r="AJ12" s="94" t="str">
        <f t="shared" si="6"/>
        <v/>
      </c>
    </row>
    <row r="13" spans="1:36" x14ac:dyDescent="0.3">
      <c r="A13" s="39" t="s">
        <v>359</v>
      </c>
      <c r="C13" s="93" t="s">
        <v>527</v>
      </c>
      <c r="D13" s="38" t="s">
        <v>1</v>
      </c>
      <c r="E13" s="93"/>
      <c r="F13" s="93"/>
      <c r="G13" s="94" t="str">
        <f t="shared" si="1"/>
        <v/>
      </c>
      <c r="H13" s="93"/>
      <c r="I13" s="93"/>
      <c r="J13" s="94" t="str">
        <f t="shared" si="2"/>
        <v/>
      </c>
      <c r="K13" s="93"/>
      <c r="L13" s="93"/>
      <c r="M13" s="94" t="str">
        <f t="shared" si="3"/>
        <v/>
      </c>
      <c r="N13" s="94"/>
      <c r="O13" s="93"/>
      <c r="P13" s="93"/>
      <c r="Q13" s="94" t="str">
        <f t="shared" si="4"/>
        <v/>
      </c>
      <c r="R13" s="93"/>
      <c r="S13" s="93"/>
      <c r="T13" s="93"/>
      <c r="U13" s="93"/>
      <c r="V13" s="93"/>
      <c r="W13" s="93"/>
      <c r="X13" s="93"/>
      <c r="Y13" s="93"/>
      <c r="Z13" s="93"/>
      <c r="AA13" s="93" t="s">
        <v>1</v>
      </c>
      <c r="AB13" s="93">
        <v>138</v>
      </c>
      <c r="AC13" s="93">
        <v>7200</v>
      </c>
      <c r="AD13" s="94">
        <f t="shared" si="5"/>
        <v>52.173913043478258</v>
      </c>
      <c r="AE13" s="93"/>
      <c r="AF13" s="93"/>
      <c r="AG13" s="93"/>
      <c r="AH13" s="57"/>
      <c r="AI13" s="57"/>
      <c r="AJ13" s="94" t="str">
        <f t="shared" si="6"/>
        <v/>
      </c>
    </row>
    <row r="14" spans="1:36" x14ac:dyDescent="0.3">
      <c r="A14" s="39" t="s">
        <v>298</v>
      </c>
      <c r="C14" s="93" t="s">
        <v>527</v>
      </c>
      <c r="D14" s="38" t="s">
        <v>1</v>
      </c>
      <c r="E14" s="93"/>
      <c r="F14" s="93"/>
      <c r="G14" s="94"/>
      <c r="H14" s="93"/>
      <c r="I14" s="93"/>
      <c r="J14" s="94" t="str">
        <f t="shared" si="2"/>
        <v/>
      </c>
      <c r="K14" s="93"/>
      <c r="L14" s="93"/>
      <c r="M14" s="94" t="str">
        <f t="shared" si="3"/>
        <v/>
      </c>
      <c r="N14" s="94"/>
      <c r="O14" s="93"/>
      <c r="P14" s="93"/>
      <c r="Q14" s="94" t="str">
        <f t="shared" si="4"/>
        <v/>
      </c>
      <c r="R14" s="93"/>
      <c r="S14" s="93"/>
      <c r="T14" s="93"/>
      <c r="U14" s="93"/>
      <c r="V14" s="93"/>
      <c r="W14" s="93"/>
      <c r="X14" s="93"/>
      <c r="Y14" s="93"/>
      <c r="Z14" s="93"/>
      <c r="AA14" s="93" t="s">
        <v>1</v>
      </c>
      <c r="AB14" s="93">
        <v>337</v>
      </c>
      <c r="AC14" s="93">
        <v>21000</v>
      </c>
      <c r="AD14" s="94">
        <f t="shared" si="5"/>
        <v>62.314540059347181</v>
      </c>
      <c r="AE14" s="93"/>
      <c r="AF14" s="93"/>
      <c r="AG14" s="93"/>
      <c r="AH14" s="57"/>
      <c r="AI14" s="57"/>
      <c r="AJ14" s="94" t="str">
        <f t="shared" si="6"/>
        <v/>
      </c>
    </row>
    <row r="15" spans="1:36" x14ac:dyDescent="0.3">
      <c r="A15" s="39" t="s">
        <v>360</v>
      </c>
      <c r="C15" s="93" t="s">
        <v>527</v>
      </c>
      <c r="D15" s="38" t="s">
        <v>1</v>
      </c>
      <c r="E15" s="93"/>
      <c r="F15" s="93"/>
      <c r="G15" s="94" t="str">
        <f t="shared" si="1"/>
        <v/>
      </c>
      <c r="H15" s="93"/>
      <c r="I15" s="93"/>
      <c r="J15" s="94" t="str">
        <f t="shared" si="2"/>
        <v/>
      </c>
      <c r="K15" s="93"/>
      <c r="L15" s="93"/>
      <c r="M15" s="94" t="str">
        <f t="shared" si="3"/>
        <v/>
      </c>
      <c r="N15" s="94"/>
      <c r="O15" s="93"/>
      <c r="P15" s="93"/>
      <c r="Q15" s="94" t="str">
        <f t="shared" si="4"/>
        <v/>
      </c>
      <c r="R15" s="93"/>
      <c r="S15" s="93"/>
      <c r="T15" s="93"/>
      <c r="U15" s="93"/>
      <c r="V15" s="93"/>
      <c r="W15" s="93"/>
      <c r="X15" s="93"/>
      <c r="Y15" s="93"/>
      <c r="Z15" s="93"/>
      <c r="AA15" s="93" t="s">
        <v>1</v>
      </c>
      <c r="AB15" s="93">
        <v>156</v>
      </c>
      <c r="AC15" s="93">
        <v>8400</v>
      </c>
      <c r="AD15" s="94">
        <f t="shared" si="5"/>
        <v>53.846153846153847</v>
      </c>
      <c r="AE15" s="93"/>
      <c r="AF15" s="93"/>
      <c r="AG15" s="93"/>
      <c r="AH15" s="57"/>
      <c r="AI15" s="57"/>
      <c r="AJ15" s="94" t="str">
        <f t="shared" si="6"/>
        <v/>
      </c>
    </row>
    <row r="16" spans="1:36" x14ac:dyDescent="0.3">
      <c r="A16" s="39" t="s">
        <v>60</v>
      </c>
      <c r="C16" s="98" t="s">
        <v>527</v>
      </c>
      <c r="D16" s="38" t="s">
        <v>1</v>
      </c>
      <c r="E16" s="93">
        <f>80891014/$F$231</f>
        <v>36112.059821428571</v>
      </c>
      <c r="F16" s="93">
        <v>551394</v>
      </c>
      <c r="G16" s="94">
        <f t="shared" si="1"/>
        <v>15.268971161617532</v>
      </c>
      <c r="H16" s="93">
        <f>39806154/$F$231</f>
        <v>17770.604464285716</v>
      </c>
      <c r="I16" s="93">
        <v>348777</v>
      </c>
      <c r="J16" s="94">
        <f t="shared" si="2"/>
        <v>19.626625571513387</v>
      </c>
      <c r="K16" s="93">
        <v>145200000</v>
      </c>
      <c r="L16" s="93"/>
      <c r="M16" s="94"/>
      <c r="N16" s="94"/>
      <c r="O16" s="93"/>
      <c r="P16" s="93"/>
      <c r="Q16" s="94" t="str">
        <f t="shared" si="4"/>
        <v/>
      </c>
      <c r="R16" s="93"/>
      <c r="S16" s="93"/>
      <c r="T16" s="93"/>
      <c r="U16" s="93"/>
      <c r="V16" s="93"/>
      <c r="W16" s="93"/>
      <c r="X16" s="93"/>
      <c r="Y16" s="93"/>
      <c r="Z16" s="93"/>
      <c r="AA16" s="93" t="s">
        <v>1</v>
      </c>
      <c r="AB16" s="93">
        <v>95066</v>
      </c>
      <c r="AC16" s="93">
        <v>846000</v>
      </c>
      <c r="AD16" s="94">
        <f t="shared" si="5"/>
        <v>8.8990806387141568</v>
      </c>
      <c r="AE16" s="93"/>
      <c r="AF16" s="93"/>
      <c r="AG16" s="93"/>
      <c r="AH16" s="57"/>
      <c r="AI16" s="57"/>
      <c r="AJ16" s="94" t="str">
        <f t="shared" si="6"/>
        <v/>
      </c>
    </row>
    <row r="17" spans="1:36" x14ac:dyDescent="0.3">
      <c r="A17" s="39" t="s">
        <v>38</v>
      </c>
      <c r="C17" s="93" t="s">
        <v>527</v>
      </c>
      <c r="D17" s="38" t="s">
        <v>1</v>
      </c>
      <c r="E17" s="93"/>
      <c r="F17" s="93"/>
      <c r="G17" s="94" t="str">
        <f t="shared" si="1"/>
        <v/>
      </c>
      <c r="H17" s="93"/>
      <c r="I17" s="93"/>
      <c r="J17" s="94" t="str">
        <f t="shared" si="2"/>
        <v/>
      </c>
      <c r="K17" s="57"/>
      <c r="L17" s="93"/>
      <c r="M17" s="94"/>
      <c r="N17" s="94"/>
      <c r="O17" s="93"/>
      <c r="P17" s="93"/>
      <c r="Q17" s="94" t="str">
        <f t="shared" si="4"/>
        <v/>
      </c>
      <c r="R17" s="93"/>
      <c r="S17" s="93"/>
      <c r="T17" s="93"/>
      <c r="U17" s="93"/>
      <c r="V17" s="93"/>
      <c r="W17" s="93"/>
      <c r="X17" s="93"/>
      <c r="Y17" s="93"/>
      <c r="Z17" s="93"/>
      <c r="AA17" s="93" t="s">
        <v>1</v>
      </c>
      <c r="AB17" s="93">
        <v>14365</v>
      </c>
      <c r="AC17" s="93">
        <v>104000</v>
      </c>
      <c r="AD17" s="94">
        <f t="shared" si="5"/>
        <v>7.2398190045248869</v>
      </c>
      <c r="AE17" s="93"/>
      <c r="AF17" s="93"/>
      <c r="AG17" s="93"/>
      <c r="AH17" s="57"/>
      <c r="AI17" s="57"/>
      <c r="AJ17" s="94" t="str">
        <f t="shared" si="6"/>
        <v/>
      </c>
    </row>
    <row r="18" spans="1:36" x14ac:dyDescent="0.3">
      <c r="A18" s="39" t="s">
        <v>8</v>
      </c>
      <c r="C18" s="93" t="s">
        <v>527</v>
      </c>
      <c r="D18" s="38" t="s">
        <v>1</v>
      </c>
      <c r="E18" s="93"/>
      <c r="F18" s="93"/>
      <c r="G18" s="94" t="str">
        <f t="shared" si="1"/>
        <v/>
      </c>
      <c r="H18" s="93"/>
      <c r="I18" s="93"/>
      <c r="J18" s="94" t="str">
        <f t="shared" si="2"/>
        <v/>
      </c>
      <c r="K18" s="93"/>
      <c r="L18" s="93"/>
      <c r="M18" s="94"/>
      <c r="N18" s="93" t="s">
        <v>527</v>
      </c>
      <c r="O18" s="93"/>
      <c r="P18" s="93"/>
      <c r="Q18" s="94">
        <f>(((27+18)/2)/$D$319)/$F$248</f>
        <v>15</v>
      </c>
      <c r="R18" s="93"/>
      <c r="S18" s="93"/>
      <c r="T18" s="93"/>
      <c r="U18" s="93"/>
      <c r="V18" s="93"/>
      <c r="W18" s="93"/>
      <c r="X18" s="93"/>
      <c r="Y18" s="93"/>
      <c r="Z18" s="93"/>
      <c r="AA18" s="93" t="s">
        <v>1</v>
      </c>
      <c r="AB18" s="93">
        <v>6245</v>
      </c>
      <c r="AC18" s="93">
        <v>89000</v>
      </c>
      <c r="AD18" s="94">
        <f t="shared" si="5"/>
        <v>14.251401120896718</v>
      </c>
      <c r="AE18" s="93"/>
      <c r="AF18" s="93"/>
      <c r="AG18" s="93"/>
      <c r="AH18" s="57">
        <v>41</v>
      </c>
      <c r="AI18" s="57">
        <v>370</v>
      </c>
      <c r="AJ18" s="94">
        <f t="shared" si="6"/>
        <v>9.0243902439024382</v>
      </c>
    </row>
    <row r="19" spans="1:36" x14ac:dyDescent="0.3">
      <c r="A19" s="39" t="s">
        <v>207</v>
      </c>
      <c r="C19" s="98" t="s">
        <v>527</v>
      </c>
      <c r="D19" s="38" t="s">
        <v>1</v>
      </c>
      <c r="E19" s="93">
        <f>84063802/$F$231</f>
        <v>37528.483035714286</v>
      </c>
      <c r="F19" s="93">
        <v>415538</v>
      </c>
      <c r="G19" s="94">
        <f t="shared" si="1"/>
        <v>11.072603163963485</v>
      </c>
      <c r="H19" s="93">
        <f>96221058/$F$231</f>
        <v>42955.829464285714</v>
      </c>
      <c r="I19" s="93">
        <v>589133</v>
      </c>
      <c r="J19" s="94">
        <f t="shared" si="2"/>
        <v>13.714855640020089</v>
      </c>
      <c r="K19" s="93">
        <v>59400000</v>
      </c>
      <c r="L19" s="93"/>
      <c r="M19" s="94"/>
      <c r="N19" s="38" t="s">
        <v>1</v>
      </c>
      <c r="O19" s="93">
        <f>P19/10</f>
        <v>55156.6</v>
      </c>
      <c r="P19" s="93">
        <v>551566</v>
      </c>
      <c r="Q19" s="94">
        <f t="shared" si="4"/>
        <v>10</v>
      </c>
      <c r="R19" s="93"/>
      <c r="S19" s="93"/>
      <c r="T19" s="93"/>
      <c r="U19" s="93"/>
      <c r="V19" s="93"/>
      <c r="W19" s="93"/>
      <c r="X19" s="93"/>
      <c r="Y19" s="93"/>
      <c r="Z19" s="93"/>
      <c r="AA19" s="93" t="s">
        <v>1</v>
      </c>
      <c r="AB19" s="93">
        <v>43365</v>
      </c>
      <c r="AC19" s="93">
        <v>479000</v>
      </c>
      <c r="AD19" s="94">
        <f t="shared" si="5"/>
        <v>11.045774241900149</v>
      </c>
      <c r="AE19" s="93"/>
      <c r="AF19" s="93"/>
      <c r="AG19" s="93"/>
      <c r="AH19" s="57">
        <v>49</v>
      </c>
      <c r="AI19" s="57">
        <v>470</v>
      </c>
      <c r="AJ19" s="94">
        <f t="shared" si="6"/>
        <v>9.591836734693878</v>
      </c>
    </row>
    <row r="20" spans="1:36" x14ac:dyDescent="0.3">
      <c r="A20" s="39" t="s">
        <v>208</v>
      </c>
      <c r="C20" s="93" t="s">
        <v>527</v>
      </c>
      <c r="D20" s="38" t="s">
        <v>1</v>
      </c>
      <c r="E20" s="93"/>
      <c r="F20" s="93"/>
      <c r="G20" s="94" t="str">
        <f t="shared" si="1"/>
        <v/>
      </c>
      <c r="H20" s="93"/>
      <c r="I20" s="93"/>
      <c r="J20" s="94" t="str">
        <f t="shared" si="2"/>
        <v/>
      </c>
      <c r="K20" s="93"/>
      <c r="L20" s="93"/>
      <c r="M20" s="94" t="str">
        <f t="shared" si="3"/>
        <v/>
      </c>
      <c r="N20" s="94"/>
      <c r="O20" s="93"/>
      <c r="P20" s="93"/>
      <c r="Q20" s="94" t="str">
        <f t="shared" si="4"/>
        <v/>
      </c>
      <c r="R20" s="93"/>
      <c r="S20" s="93"/>
      <c r="T20" s="93"/>
      <c r="U20" s="93"/>
      <c r="V20" s="93"/>
      <c r="W20" s="93"/>
      <c r="X20" s="93"/>
      <c r="Y20" s="93"/>
      <c r="Z20" s="93"/>
      <c r="AA20" s="93" t="s">
        <v>1</v>
      </c>
      <c r="AB20" s="93">
        <v>231</v>
      </c>
      <c r="AC20" s="93">
        <v>5000</v>
      </c>
      <c r="AD20" s="94">
        <f t="shared" si="5"/>
        <v>21.645021645021647</v>
      </c>
      <c r="AE20" s="93"/>
      <c r="AF20" s="93"/>
      <c r="AG20" s="93"/>
      <c r="AH20" s="57">
        <v>24</v>
      </c>
      <c r="AI20" s="57">
        <v>430</v>
      </c>
      <c r="AJ20" s="94">
        <f t="shared" si="6"/>
        <v>17.916666666666668</v>
      </c>
    </row>
    <row r="21" spans="1:36" x14ac:dyDescent="0.3">
      <c r="A21" s="39" t="s">
        <v>209</v>
      </c>
      <c r="C21" s="93" t="s">
        <v>527</v>
      </c>
      <c r="D21" s="38" t="s">
        <v>1</v>
      </c>
      <c r="E21" s="93"/>
      <c r="F21" s="93"/>
      <c r="G21" s="94" t="str">
        <f t="shared" si="1"/>
        <v/>
      </c>
      <c r="H21" s="93"/>
      <c r="I21" s="93"/>
      <c r="J21" s="94" t="str">
        <f t="shared" si="2"/>
        <v/>
      </c>
      <c r="K21" s="93"/>
      <c r="L21" s="93"/>
      <c r="M21" s="94" t="str">
        <f t="shared" si="3"/>
        <v/>
      </c>
      <c r="N21" s="94"/>
      <c r="O21" s="93"/>
      <c r="P21" s="93"/>
      <c r="Q21" s="94" t="str">
        <f t="shared" si="4"/>
        <v/>
      </c>
      <c r="R21" s="93"/>
      <c r="S21" s="93"/>
      <c r="T21" s="93"/>
      <c r="U21" s="93"/>
      <c r="V21" s="93"/>
      <c r="W21" s="93"/>
      <c r="X21" s="93"/>
      <c r="Y21" s="93"/>
      <c r="Z21" s="93"/>
      <c r="AA21" s="93" t="s">
        <v>1</v>
      </c>
      <c r="AB21" s="93">
        <v>481</v>
      </c>
      <c r="AC21" s="93">
        <v>7000</v>
      </c>
      <c r="AD21" s="94">
        <f t="shared" si="5"/>
        <v>14.553014553014552</v>
      </c>
      <c r="AE21" s="93"/>
      <c r="AF21" s="93"/>
      <c r="AG21" s="93"/>
      <c r="AH21" s="57">
        <v>74</v>
      </c>
      <c r="AI21" s="57">
        <v>1460</v>
      </c>
      <c r="AJ21" s="94">
        <f t="shared" si="6"/>
        <v>19.72972972972973</v>
      </c>
    </row>
    <row r="22" spans="1:36" x14ac:dyDescent="0.3">
      <c r="A22" s="39" t="s">
        <v>210</v>
      </c>
      <c r="C22" s="93" t="s">
        <v>527</v>
      </c>
      <c r="D22" s="38" t="s">
        <v>1</v>
      </c>
      <c r="E22" s="93"/>
      <c r="F22" s="93"/>
      <c r="G22" s="94" t="str">
        <f t="shared" si="1"/>
        <v/>
      </c>
      <c r="H22" s="93"/>
      <c r="I22" s="93"/>
      <c r="J22" s="94" t="str">
        <f t="shared" si="2"/>
        <v/>
      </c>
      <c r="K22" s="93"/>
      <c r="L22" s="93"/>
      <c r="M22" s="94" t="str">
        <f t="shared" si="3"/>
        <v/>
      </c>
      <c r="N22" s="94"/>
      <c r="O22" s="93"/>
      <c r="P22" s="93"/>
      <c r="Q22" s="94" t="str">
        <f t="shared" si="4"/>
        <v/>
      </c>
      <c r="R22" s="93"/>
      <c r="S22" s="93"/>
      <c r="T22" s="93"/>
      <c r="U22" s="93"/>
      <c r="V22" s="93"/>
      <c r="W22" s="93"/>
      <c r="X22" s="93"/>
      <c r="Y22" s="93"/>
      <c r="Z22" s="93"/>
      <c r="AA22" s="93" t="s">
        <v>1</v>
      </c>
      <c r="AB22" s="93">
        <v>236</v>
      </c>
      <c r="AC22" s="93">
        <v>4980</v>
      </c>
      <c r="AD22" s="94">
        <f t="shared" si="5"/>
        <v>21.101694915254239</v>
      </c>
      <c r="AE22" s="93"/>
      <c r="AF22" s="93"/>
      <c r="AG22" s="93"/>
      <c r="AH22" s="57">
        <v>22</v>
      </c>
      <c r="AI22" s="57">
        <v>500</v>
      </c>
      <c r="AJ22" s="94">
        <f t="shared" si="6"/>
        <v>22.727272727272727</v>
      </c>
    </row>
    <row r="23" spans="1:36" x14ac:dyDescent="0.3">
      <c r="A23" s="39" t="s">
        <v>211</v>
      </c>
      <c r="C23" s="93" t="s">
        <v>527</v>
      </c>
      <c r="D23" s="38" t="s">
        <v>1</v>
      </c>
      <c r="E23" s="93"/>
      <c r="F23" s="93"/>
      <c r="G23" s="94" t="str">
        <f t="shared" si="1"/>
        <v/>
      </c>
      <c r="H23" s="93"/>
      <c r="I23" s="93"/>
      <c r="J23" s="94" t="str">
        <f t="shared" si="2"/>
        <v/>
      </c>
      <c r="K23" s="93"/>
      <c r="L23" s="93"/>
      <c r="M23" s="94" t="str">
        <f t="shared" si="3"/>
        <v/>
      </c>
      <c r="N23" s="94"/>
      <c r="O23" s="93"/>
      <c r="P23" s="93"/>
      <c r="Q23" s="94" t="str">
        <f t="shared" si="4"/>
        <v/>
      </c>
      <c r="R23" s="93"/>
      <c r="S23" s="93"/>
      <c r="T23" s="93"/>
      <c r="U23" s="93"/>
      <c r="V23" s="93"/>
      <c r="W23" s="93"/>
      <c r="X23" s="93"/>
      <c r="Y23" s="93"/>
      <c r="Z23" s="93"/>
      <c r="AA23" s="93" t="s">
        <v>1</v>
      </c>
      <c r="AB23" s="93">
        <f>104+190</f>
        <v>294</v>
      </c>
      <c r="AC23" s="93">
        <f>4300+8500</f>
        <v>12800</v>
      </c>
      <c r="AD23" s="94">
        <f t="shared" si="5"/>
        <v>43.537414965986393</v>
      </c>
      <c r="AE23" s="93"/>
      <c r="AF23" s="93"/>
      <c r="AG23" s="93"/>
      <c r="AH23" s="57">
        <v>265</v>
      </c>
      <c r="AI23" s="57">
        <v>13400</v>
      </c>
      <c r="AJ23" s="94">
        <f t="shared" si="6"/>
        <v>50.566037735849058</v>
      </c>
    </row>
    <row r="24" spans="1:36" x14ac:dyDescent="0.3">
      <c r="A24" s="39" t="s">
        <v>7</v>
      </c>
      <c r="C24" s="93" t="s">
        <v>527</v>
      </c>
      <c r="D24" s="38" t="s">
        <v>1</v>
      </c>
      <c r="E24" s="93"/>
      <c r="F24" s="93"/>
      <c r="G24" s="94" t="str">
        <f t="shared" si="1"/>
        <v/>
      </c>
      <c r="H24" s="93"/>
      <c r="I24" s="93"/>
      <c r="J24" s="94" t="str">
        <f t="shared" si="2"/>
        <v/>
      </c>
      <c r="K24" s="93"/>
      <c r="L24" s="93"/>
      <c r="M24" s="94" t="str">
        <f t="shared" si="3"/>
        <v/>
      </c>
      <c r="N24" s="94"/>
      <c r="O24" s="93"/>
      <c r="P24" s="93"/>
      <c r="Q24" s="94" t="str">
        <f t="shared" si="4"/>
        <v/>
      </c>
      <c r="R24" s="93"/>
      <c r="S24" s="93"/>
      <c r="T24" s="93"/>
      <c r="U24" s="93"/>
      <c r="V24" s="93"/>
      <c r="W24" s="93"/>
      <c r="X24" s="93"/>
      <c r="Y24" s="93"/>
      <c r="Z24" s="93"/>
      <c r="AA24" s="93" t="s">
        <v>1</v>
      </c>
      <c r="AB24" s="93">
        <v>4750</v>
      </c>
      <c r="AC24" s="93">
        <v>23000</v>
      </c>
      <c r="AD24" s="94">
        <f t="shared" si="5"/>
        <v>4.8421052631578947</v>
      </c>
      <c r="AE24" s="93"/>
      <c r="AF24" s="93"/>
      <c r="AG24" s="93"/>
      <c r="AH24" s="57">
        <v>38</v>
      </c>
      <c r="AI24" s="57">
        <v>270</v>
      </c>
      <c r="AJ24" s="94">
        <f t="shared" si="6"/>
        <v>7.1052631578947372</v>
      </c>
    </row>
    <row r="25" spans="1:36" x14ac:dyDescent="0.3">
      <c r="A25" s="39" t="s">
        <v>159</v>
      </c>
      <c r="C25" s="93" t="s">
        <v>527</v>
      </c>
      <c r="D25" s="38" t="s">
        <v>1</v>
      </c>
      <c r="E25" s="93"/>
      <c r="F25" s="93"/>
      <c r="G25" s="94" t="str">
        <f t="shared" si="1"/>
        <v/>
      </c>
      <c r="H25" s="93"/>
      <c r="I25" s="93"/>
      <c r="J25" s="94" t="str">
        <f t="shared" si="2"/>
        <v/>
      </c>
      <c r="K25" s="93"/>
      <c r="L25" s="93"/>
      <c r="M25" s="94" t="str">
        <f t="shared" si="3"/>
        <v/>
      </c>
      <c r="N25" s="94"/>
      <c r="O25" s="93"/>
      <c r="P25" s="93"/>
      <c r="Q25" s="94" t="str">
        <f t="shared" si="4"/>
        <v/>
      </c>
      <c r="R25" s="93"/>
      <c r="S25" s="93"/>
      <c r="T25" s="93"/>
      <c r="U25" s="93"/>
      <c r="V25" s="93"/>
      <c r="W25" s="93"/>
      <c r="X25" s="93"/>
      <c r="Y25" s="93"/>
      <c r="Z25" s="93"/>
      <c r="AA25" s="93" t="s">
        <v>1</v>
      </c>
      <c r="AB25" s="93">
        <v>4220</v>
      </c>
      <c r="AC25" s="93">
        <v>36800</v>
      </c>
      <c r="AD25" s="94">
        <f t="shared" si="5"/>
        <v>8.7203791469194307</v>
      </c>
      <c r="AE25" s="93"/>
      <c r="AF25" s="93"/>
      <c r="AG25" s="93"/>
      <c r="AH25" s="57"/>
      <c r="AI25" s="57"/>
      <c r="AJ25" s="94" t="str">
        <f t="shared" si="6"/>
        <v/>
      </c>
    </row>
    <row r="26" spans="1:36" x14ac:dyDescent="0.3">
      <c r="A26" s="39" t="s">
        <v>363</v>
      </c>
      <c r="C26" s="93" t="s">
        <v>527</v>
      </c>
      <c r="D26" s="38" t="s">
        <v>1</v>
      </c>
      <c r="E26" s="93"/>
      <c r="F26" s="93"/>
      <c r="G26" s="94" t="str">
        <f t="shared" si="1"/>
        <v/>
      </c>
      <c r="H26" s="93"/>
      <c r="I26" s="93"/>
      <c r="J26" s="94" t="str">
        <f t="shared" si="2"/>
        <v/>
      </c>
      <c r="K26" s="93"/>
      <c r="L26" s="93"/>
      <c r="M26" s="94" t="str">
        <f t="shared" si="3"/>
        <v/>
      </c>
      <c r="N26" s="94"/>
      <c r="O26" s="93"/>
      <c r="P26" s="93"/>
      <c r="Q26" s="94" t="str">
        <f t="shared" si="4"/>
        <v/>
      </c>
      <c r="R26" s="93"/>
      <c r="S26" s="93"/>
      <c r="T26" s="93"/>
      <c r="U26" s="93"/>
      <c r="V26" s="93"/>
      <c r="W26" s="93"/>
      <c r="X26" s="93"/>
      <c r="Y26" s="93"/>
      <c r="Z26" s="93"/>
      <c r="AA26" s="93" t="s">
        <v>1</v>
      </c>
      <c r="AB26" s="93">
        <v>288</v>
      </c>
      <c r="AC26" s="93">
        <v>5600</v>
      </c>
      <c r="AD26" s="94">
        <f t="shared" si="5"/>
        <v>19.444444444444443</v>
      </c>
      <c r="AE26" s="93"/>
      <c r="AF26" s="93"/>
      <c r="AG26" s="93"/>
      <c r="AH26" s="57"/>
      <c r="AI26" s="57"/>
      <c r="AJ26" s="94" t="str">
        <f t="shared" si="6"/>
        <v/>
      </c>
    </row>
    <row r="27" spans="1:36" x14ac:dyDescent="0.3">
      <c r="A27" s="39" t="s">
        <v>57</v>
      </c>
      <c r="C27" s="93" t="s">
        <v>527</v>
      </c>
      <c r="D27" s="38" t="s">
        <v>1</v>
      </c>
      <c r="E27" s="93"/>
      <c r="F27" s="93"/>
      <c r="G27" s="94" t="str">
        <f t="shared" si="1"/>
        <v/>
      </c>
      <c r="H27" s="93"/>
      <c r="I27" s="93"/>
      <c r="J27" s="94" t="str">
        <f t="shared" si="2"/>
        <v/>
      </c>
      <c r="K27" s="93"/>
      <c r="L27" s="93"/>
      <c r="M27" s="94" t="str">
        <f t="shared" si="3"/>
        <v/>
      </c>
      <c r="N27" s="94"/>
      <c r="O27" s="93"/>
      <c r="P27" s="93"/>
      <c r="Q27" s="94" t="str">
        <f t="shared" si="4"/>
        <v/>
      </c>
      <c r="R27" s="93"/>
      <c r="S27" s="93"/>
      <c r="T27" s="93"/>
      <c r="U27" s="93"/>
      <c r="V27" s="93"/>
      <c r="W27" s="93"/>
      <c r="X27" s="93"/>
      <c r="Y27" s="93"/>
      <c r="Z27" s="93"/>
      <c r="AA27" s="93" t="s">
        <v>1</v>
      </c>
      <c r="AB27" s="93">
        <v>96</v>
      </c>
      <c r="AC27" s="93">
        <v>1400</v>
      </c>
      <c r="AD27" s="94">
        <f t="shared" si="5"/>
        <v>14.583333333333334</v>
      </c>
      <c r="AE27" s="93"/>
      <c r="AF27" s="93"/>
      <c r="AG27" s="93"/>
      <c r="AH27" s="57"/>
      <c r="AI27" s="57"/>
      <c r="AJ27" s="94" t="str">
        <f t="shared" si="6"/>
        <v/>
      </c>
    </row>
    <row r="28" spans="1:36" x14ac:dyDescent="0.3">
      <c r="A28" s="39" t="s">
        <v>162</v>
      </c>
      <c r="C28" s="93" t="s">
        <v>527</v>
      </c>
      <c r="D28" s="38" t="s">
        <v>1</v>
      </c>
      <c r="E28" s="93"/>
      <c r="F28" s="93"/>
      <c r="G28" s="94" t="str">
        <f t="shared" si="1"/>
        <v/>
      </c>
      <c r="H28" s="93"/>
      <c r="I28" s="93"/>
      <c r="J28" s="94" t="str">
        <f t="shared" si="2"/>
        <v/>
      </c>
      <c r="K28" s="93"/>
      <c r="L28" s="93"/>
      <c r="M28" s="94" t="str">
        <f t="shared" si="3"/>
        <v/>
      </c>
      <c r="N28" s="94"/>
      <c r="O28" s="93"/>
      <c r="P28" s="93"/>
      <c r="Q28" s="94" t="str">
        <f t="shared" si="4"/>
        <v/>
      </c>
      <c r="R28" s="93"/>
      <c r="S28" s="93"/>
      <c r="T28" s="93"/>
      <c r="U28" s="93"/>
      <c r="V28" s="93"/>
      <c r="W28" s="93"/>
      <c r="X28" s="93"/>
      <c r="Y28" s="93"/>
      <c r="Z28" s="93"/>
      <c r="AA28" s="93" t="s">
        <v>1</v>
      </c>
      <c r="AB28" s="93">
        <v>135</v>
      </c>
      <c r="AC28" s="93">
        <v>1900</v>
      </c>
      <c r="AD28" s="94">
        <f t="shared" si="5"/>
        <v>14.074074074074074</v>
      </c>
      <c r="AE28" s="93"/>
      <c r="AF28" s="93"/>
      <c r="AG28" s="93"/>
      <c r="AH28" s="57"/>
      <c r="AI28" s="57"/>
      <c r="AJ28" s="94" t="str">
        <f t="shared" si="6"/>
        <v/>
      </c>
    </row>
    <row r="29" spans="1:36" x14ac:dyDescent="0.3">
      <c r="A29" s="39" t="s">
        <v>364</v>
      </c>
      <c r="C29" s="93" t="s">
        <v>527</v>
      </c>
      <c r="D29" s="38" t="s">
        <v>1</v>
      </c>
      <c r="E29" s="93"/>
      <c r="F29" s="93"/>
      <c r="G29" s="94" t="str">
        <f t="shared" si="1"/>
        <v/>
      </c>
      <c r="H29" s="93"/>
      <c r="I29" s="93"/>
      <c r="J29" s="94" t="str">
        <f t="shared" si="2"/>
        <v/>
      </c>
      <c r="K29" s="93"/>
      <c r="L29" s="93"/>
      <c r="M29" s="94" t="str">
        <f t="shared" si="3"/>
        <v/>
      </c>
      <c r="N29" s="94"/>
      <c r="O29" s="93"/>
      <c r="P29" s="93"/>
      <c r="Q29" s="94" t="str">
        <f t="shared" si="4"/>
        <v/>
      </c>
      <c r="R29" s="93"/>
      <c r="S29" s="93"/>
      <c r="T29" s="93"/>
      <c r="U29" s="93"/>
      <c r="V29" s="93"/>
      <c r="W29" s="93"/>
      <c r="X29" s="93"/>
      <c r="Y29" s="93"/>
      <c r="Z29" s="93"/>
      <c r="AA29" s="93" t="s">
        <v>1</v>
      </c>
      <c r="AB29" s="93">
        <v>136</v>
      </c>
      <c r="AC29" s="93">
        <v>3700</v>
      </c>
      <c r="AD29" s="94">
        <f t="shared" si="5"/>
        <v>27.205882352941178</v>
      </c>
      <c r="AE29" s="93"/>
      <c r="AF29" s="93"/>
      <c r="AG29" s="93"/>
      <c r="AH29" s="57"/>
      <c r="AI29" s="57"/>
      <c r="AJ29" s="94" t="str">
        <f t="shared" si="6"/>
        <v/>
      </c>
    </row>
    <row r="30" spans="1:36" x14ac:dyDescent="0.3">
      <c r="A30" s="39" t="s">
        <v>319</v>
      </c>
      <c r="C30" s="93" t="s">
        <v>527</v>
      </c>
      <c r="D30" s="38" t="s">
        <v>1</v>
      </c>
      <c r="E30" s="93"/>
      <c r="F30" s="93"/>
      <c r="G30" s="94" t="str">
        <f t="shared" si="1"/>
        <v/>
      </c>
      <c r="H30" s="93"/>
      <c r="I30" s="93"/>
      <c r="J30" s="94" t="str">
        <f t="shared" si="2"/>
        <v/>
      </c>
      <c r="K30" s="93"/>
      <c r="L30" s="93"/>
      <c r="M30" s="94" t="str">
        <f t="shared" si="3"/>
        <v/>
      </c>
      <c r="N30" s="94"/>
      <c r="O30" s="93"/>
      <c r="P30" s="93"/>
      <c r="Q30" s="94" t="str">
        <f t="shared" si="4"/>
        <v/>
      </c>
      <c r="R30" s="93"/>
      <c r="S30" s="93"/>
      <c r="T30" s="93"/>
      <c r="U30" s="93"/>
      <c r="V30" s="93"/>
      <c r="W30" s="93"/>
      <c r="X30" s="93"/>
      <c r="Y30" s="93"/>
      <c r="Z30" s="93"/>
      <c r="AA30" s="93" t="s">
        <v>1</v>
      </c>
      <c r="AB30" s="93">
        <v>43</v>
      </c>
      <c r="AC30" s="93">
        <v>2000</v>
      </c>
      <c r="AD30" s="94">
        <f t="shared" si="5"/>
        <v>46.511627906976742</v>
      </c>
      <c r="AE30" s="93"/>
      <c r="AF30" s="93"/>
      <c r="AG30" s="93"/>
      <c r="AH30" s="57"/>
      <c r="AI30" s="57"/>
      <c r="AJ30" s="94" t="str">
        <f t="shared" si="6"/>
        <v/>
      </c>
    </row>
    <row r="31" spans="1:36" x14ac:dyDescent="0.3">
      <c r="A31" s="39" t="s">
        <v>366</v>
      </c>
      <c r="C31" s="93" t="s">
        <v>527</v>
      </c>
      <c r="D31" s="38" t="s">
        <v>1</v>
      </c>
      <c r="E31" s="93"/>
      <c r="F31" s="93"/>
      <c r="G31" s="94" t="str">
        <f t="shared" si="1"/>
        <v/>
      </c>
      <c r="H31" s="93"/>
      <c r="I31" s="93"/>
      <c r="J31" s="94" t="str">
        <f t="shared" si="2"/>
        <v/>
      </c>
      <c r="K31" s="93"/>
      <c r="L31" s="93"/>
      <c r="M31" s="94" t="str">
        <f t="shared" si="3"/>
        <v/>
      </c>
      <c r="N31" s="94"/>
      <c r="O31" s="93"/>
      <c r="P31" s="93"/>
      <c r="Q31" s="94" t="str">
        <f t="shared" si="4"/>
        <v/>
      </c>
      <c r="R31" s="93"/>
      <c r="S31" s="93"/>
      <c r="T31" s="93"/>
      <c r="U31" s="93"/>
      <c r="V31" s="93"/>
      <c r="W31" s="93"/>
      <c r="X31" s="93"/>
      <c r="Y31" s="93"/>
      <c r="Z31" s="93"/>
      <c r="AA31" s="93" t="s">
        <v>1</v>
      </c>
      <c r="AB31" s="93">
        <v>232</v>
      </c>
      <c r="AC31" s="93">
        <v>5000</v>
      </c>
      <c r="AD31" s="94">
        <f t="shared" si="5"/>
        <v>21.551724137931036</v>
      </c>
      <c r="AE31" s="93"/>
      <c r="AF31" s="93"/>
      <c r="AG31" s="93"/>
      <c r="AH31" s="57"/>
      <c r="AI31" s="57"/>
      <c r="AJ31" s="94" t="str">
        <f t="shared" si="6"/>
        <v/>
      </c>
    </row>
    <row r="32" spans="1:36" x14ac:dyDescent="0.3">
      <c r="A32" s="39" t="s">
        <v>365</v>
      </c>
      <c r="C32" s="93" t="s">
        <v>527</v>
      </c>
      <c r="D32" s="38" t="s">
        <v>1</v>
      </c>
      <c r="E32" s="93"/>
      <c r="F32" s="93"/>
      <c r="G32" s="94" t="str">
        <f t="shared" si="1"/>
        <v/>
      </c>
      <c r="H32" s="93"/>
      <c r="I32" s="93"/>
      <c r="J32" s="94" t="str">
        <f t="shared" si="2"/>
        <v/>
      </c>
      <c r="K32" s="93"/>
      <c r="L32" s="93"/>
      <c r="M32" s="94" t="str">
        <f t="shared" si="3"/>
        <v/>
      </c>
      <c r="N32" s="94"/>
      <c r="O32" s="93"/>
      <c r="P32" s="93"/>
      <c r="Q32" s="94" t="str">
        <f t="shared" si="4"/>
        <v/>
      </c>
      <c r="R32" s="93"/>
      <c r="S32" s="93"/>
      <c r="T32" s="93"/>
      <c r="U32" s="93"/>
      <c r="V32" s="93"/>
      <c r="W32" s="93"/>
      <c r="X32" s="93"/>
      <c r="Y32" s="93"/>
      <c r="Z32" s="93"/>
      <c r="AA32" s="93" t="s">
        <v>1</v>
      </c>
      <c r="AB32" s="93">
        <v>1112</v>
      </c>
      <c r="AC32" s="93">
        <v>14000</v>
      </c>
      <c r="AD32" s="94">
        <f t="shared" si="5"/>
        <v>12.589928057553957</v>
      </c>
      <c r="AE32" s="93"/>
      <c r="AF32" s="93"/>
      <c r="AG32" s="93"/>
      <c r="AH32" s="57"/>
      <c r="AI32" s="57"/>
      <c r="AJ32" s="94" t="str">
        <f t="shared" si="6"/>
        <v/>
      </c>
    </row>
    <row r="33" spans="1:36" x14ac:dyDescent="0.3">
      <c r="A33" s="39" t="s">
        <v>314</v>
      </c>
      <c r="C33" s="93" t="s">
        <v>527</v>
      </c>
      <c r="D33" s="38" t="s">
        <v>1</v>
      </c>
      <c r="E33" s="93"/>
      <c r="F33" s="93"/>
      <c r="G33" s="94" t="str">
        <f t="shared" si="1"/>
        <v/>
      </c>
      <c r="H33" s="93"/>
      <c r="I33" s="93"/>
      <c r="J33" s="94" t="str">
        <f t="shared" si="2"/>
        <v/>
      </c>
      <c r="K33" s="93"/>
      <c r="L33" s="93"/>
      <c r="M33" s="94" t="str">
        <f t="shared" si="3"/>
        <v/>
      </c>
      <c r="N33" s="94"/>
      <c r="O33" s="93"/>
      <c r="P33" s="93"/>
      <c r="Q33" s="94" t="str">
        <f t="shared" si="4"/>
        <v/>
      </c>
      <c r="R33" s="93"/>
      <c r="S33" s="93"/>
      <c r="T33" s="93"/>
      <c r="U33" s="93"/>
      <c r="V33" s="93"/>
      <c r="W33" s="93"/>
      <c r="X33" s="93"/>
      <c r="Y33" s="93"/>
      <c r="Z33" s="93"/>
      <c r="AA33" s="93" t="s">
        <v>1</v>
      </c>
      <c r="AB33" s="93">
        <v>173</v>
      </c>
      <c r="AC33" s="93">
        <v>3700</v>
      </c>
      <c r="AD33" s="94">
        <f t="shared" si="5"/>
        <v>21.387283236994218</v>
      </c>
      <c r="AE33" s="93"/>
      <c r="AF33" s="93"/>
      <c r="AG33" s="93"/>
      <c r="AH33" s="57"/>
      <c r="AI33" s="57"/>
      <c r="AJ33" s="94" t="str">
        <f t="shared" si="6"/>
        <v/>
      </c>
    </row>
    <row r="34" spans="1:36" x14ac:dyDescent="0.3">
      <c r="A34" s="39" t="s">
        <v>318</v>
      </c>
      <c r="C34" s="93" t="s">
        <v>527</v>
      </c>
      <c r="D34" s="38" t="s">
        <v>1</v>
      </c>
      <c r="E34" s="93"/>
      <c r="F34" s="93"/>
      <c r="G34" s="94" t="str">
        <f t="shared" si="1"/>
        <v/>
      </c>
      <c r="H34" s="93"/>
      <c r="I34" s="93"/>
      <c r="J34" s="94" t="str">
        <f t="shared" si="2"/>
        <v/>
      </c>
      <c r="K34" s="93"/>
      <c r="L34" s="93"/>
      <c r="M34" s="94" t="str">
        <f t="shared" si="3"/>
        <v/>
      </c>
      <c r="N34" s="94"/>
      <c r="O34" s="93"/>
      <c r="P34" s="93"/>
      <c r="Q34" s="94" t="str">
        <f t="shared" si="4"/>
        <v/>
      </c>
      <c r="R34" s="93"/>
      <c r="S34" s="93"/>
      <c r="T34" s="93"/>
      <c r="U34" s="93"/>
      <c r="V34" s="93"/>
      <c r="W34" s="93"/>
      <c r="X34" s="93"/>
      <c r="Y34" s="93"/>
      <c r="Z34" s="93"/>
      <c r="AA34" s="93" t="s">
        <v>1</v>
      </c>
      <c r="AB34" s="93">
        <v>431</v>
      </c>
      <c r="AC34" s="93">
        <v>4000</v>
      </c>
      <c r="AD34" s="94">
        <f t="shared" si="5"/>
        <v>9.2807424593967518</v>
      </c>
      <c r="AE34" s="93"/>
      <c r="AF34" s="93"/>
      <c r="AG34" s="93"/>
      <c r="AH34" s="57"/>
      <c r="AI34" s="57"/>
      <c r="AJ34" s="94" t="str">
        <f t="shared" si="6"/>
        <v/>
      </c>
    </row>
    <row r="35" spans="1:36" x14ac:dyDescent="0.3">
      <c r="A35" s="39" t="s">
        <v>316</v>
      </c>
      <c r="C35" s="93" t="s">
        <v>527</v>
      </c>
      <c r="D35" s="38" t="s">
        <v>1</v>
      </c>
      <c r="E35" s="93"/>
      <c r="F35" s="93"/>
      <c r="G35" s="94" t="str">
        <f t="shared" si="1"/>
        <v/>
      </c>
      <c r="H35" s="93"/>
      <c r="I35" s="93"/>
      <c r="J35" s="94" t="str">
        <f t="shared" si="2"/>
        <v/>
      </c>
      <c r="K35" s="93"/>
      <c r="L35" s="93"/>
      <c r="M35" s="94" t="str">
        <f t="shared" si="3"/>
        <v/>
      </c>
      <c r="N35" s="94"/>
      <c r="O35" s="93"/>
      <c r="P35" s="93"/>
      <c r="Q35" s="94" t="str">
        <f t="shared" si="4"/>
        <v/>
      </c>
      <c r="R35" s="93"/>
      <c r="S35" s="93"/>
      <c r="T35" s="93"/>
      <c r="U35" s="93"/>
      <c r="V35" s="93"/>
      <c r="W35" s="93"/>
      <c r="X35" s="93"/>
      <c r="Y35" s="93"/>
      <c r="Z35" s="93"/>
      <c r="AA35" s="93" t="s">
        <v>1</v>
      </c>
      <c r="AB35" s="93">
        <v>1446</v>
      </c>
      <c r="AC35" s="93">
        <v>20000</v>
      </c>
      <c r="AD35" s="94">
        <f t="shared" si="5"/>
        <v>13.831258644536653</v>
      </c>
      <c r="AE35" s="93"/>
      <c r="AF35" s="93"/>
      <c r="AG35" s="93"/>
      <c r="AH35" s="57"/>
      <c r="AI35" s="57"/>
      <c r="AJ35" s="94" t="str">
        <f t="shared" si="6"/>
        <v/>
      </c>
    </row>
    <row r="36" spans="1:36" x14ac:dyDescent="0.3">
      <c r="A36" s="39" t="s">
        <v>212</v>
      </c>
      <c r="C36" s="93" t="s">
        <v>527</v>
      </c>
      <c r="D36" s="38" t="s">
        <v>1</v>
      </c>
      <c r="E36" s="93"/>
      <c r="F36" s="93"/>
      <c r="G36" s="94" t="str">
        <f t="shared" si="1"/>
        <v/>
      </c>
      <c r="H36" s="93"/>
      <c r="I36" s="93"/>
      <c r="J36" s="94" t="str">
        <f t="shared" si="2"/>
        <v/>
      </c>
      <c r="K36" s="93"/>
      <c r="L36" s="93"/>
      <c r="M36" s="94" t="str">
        <f t="shared" si="3"/>
        <v/>
      </c>
      <c r="N36" s="94"/>
      <c r="O36" s="93"/>
      <c r="P36" s="93"/>
      <c r="Q36" s="94" t="str">
        <f t="shared" si="4"/>
        <v/>
      </c>
      <c r="R36" s="93"/>
      <c r="S36" s="93"/>
      <c r="T36" s="93"/>
      <c r="U36" s="93"/>
      <c r="V36" s="93"/>
      <c r="W36" s="93"/>
      <c r="X36" s="93"/>
      <c r="Y36" s="93"/>
      <c r="Z36" s="93"/>
      <c r="AA36" s="93" t="s">
        <v>1</v>
      </c>
      <c r="AB36" s="93"/>
      <c r="AC36" s="93"/>
      <c r="AD36" s="94" t="str">
        <f t="shared" si="5"/>
        <v/>
      </c>
      <c r="AE36" s="93"/>
      <c r="AF36" s="93"/>
      <c r="AG36" s="93"/>
      <c r="AH36" s="57">
        <v>5</v>
      </c>
      <c r="AI36" s="57">
        <v>600</v>
      </c>
      <c r="AJ36" s="94">
        <f t="shared" si="6"/>
        <v>120</v>
      </c>
    </row>
    <row r="37" spans="1:36" x14ac:dyDescent="0.3">
      <c r="A37" s="39" t="s">
        <v>361</v>
      </c>
      <c r="C37" s="93" t="s">
        <v>527</v>
      </c>
      <c r="D37" s="38" t="s">
        <v>1</v>
      </c>
      <c r="E37" s="93"/>
      <c r="F37" s="93"/>
      <c r="G37" s="94" t="str">
        <f t="shared" si="1"/>
        <v/>
      </c>
      <c r="H37" s="93"/>
      <c r="I37" s="93"/>
      <c r="J37" s="94" t="str">
        <f t="shared" si="2"/>
        <v/>
      </c>
      <c r="K37" s="93"/>
      <c r="L37" s="93"/>
      <c r="M37" s="94" t="str">
        <f t="shared" si="3"/>
        <v/>
      </c>
      <c r="N37" s="94"/>
      <c r="O37" s="93"/>
      <c r="P37" s="93"/>
      <c r="Q37" s="94" t="str">
        <f t="shared" si="4"/>
        <v/>
      </c>
      <c r="R37" s="93"/>
      <c r="S37" s="93"/>
      <c r="T37" s="93"/>
      <c r="U37" s="93"/>
      <c r="V37" s="93"/>
      <c r="W37" s="93"/>
      <c r="X37" s="93"/>
      <c r="Y37" s="93"/>
      <c r="Z37" s="93"/>
      <c r="AA37" s="93" t="s">
        <v>1</v>
      </c>
      <c r="AB37" s="93"/>
      <c r="AC37" s="93"/>
      <c r="AD37" s="94" t="str">
        <f t="shared" si="5"/>
        <v/>
      </c>
      <c r="AE37" s="93"/>
      <c r="AF37" s="93"/>
      <c r="AG37" s="93"/>
      <c r="AH37" s="57">
        <v>12</v>
      </c>
      <c r="AI37" s="57">
        <v>400</v>
      </c>
      <c r="AJ37" s="94">
        <f t="shared" si="6"/>
        <v>33.333333333333336</v>
      </c>
    </row>
    <row r="38" spans="1:36" x14ac:dyDescent="0.3">
      <c r="A38" s="39" t="s">
        <v>375</v>
      </c>
      <c r="C38" s="93" t="s">
        <v>527</v>
      </c>
      <c r="D38" s="38" t="s">
        <v>1</v>
      </c>
      <c r="E38" s="93"/>
      <c r="F38" s="93"/>
      <c r="G38" s="94" t="str">
        <f t="shared" si="1"/>
        <v/>
      </c>
      <c r="H38" s="93"/>
      <c r="I38" s="93"/>
      <c r="J38" s="94" t="str">
        <f t="shared" si="2"/>
        <v/>
      </c>
      <c r="K38" s="93"/>
      <c r="L38" s="93"/>
      <c r="M38" s="94" t="str">
        <f t="shared" si="3"/>
        <v/>
      </c>
      <c r="N38" s="94"/>
      <c r="O38" s="93"/>
      <c r="P38" s="93"/>
      <c r="Q38" s="94" t="str">
        <f t="shared" si="4"/>
        <v/>
      </c>
      <c r="R38" s="93"/>
      <c r="S38" s="93"/>
      <c r="T38" s="93"/>
      <c r="U38" s="93"/>
      <c r="V38" s="93"/>
      <c r="W38" s="93"/>
      <c r="X38" s="93"/>
      <c r="Y38" s="93"/>
      <c r="Z38" s="93"/>
      <c r="AA38" s="93" t="s">
        <v>1</v>
      </c>
      <c r="AB38" s="93">
        <v>327</v>
      </c>
      <c r="AC38" s="93">
        <v>13000</v>
      </c>
      <c r="AD38" s="94">
        <f t="shared" si="5"/>
        <v>39.755351681957187</v>
      </c>
      <c r="AE38" s="93"/>
      <c r="AF38" s="93"/>
      <c r="AG38" s="93"/>
      <c r="AH38" s="57"/>
      <c r="AI38" s="57"/>
      <c r="AJ38" s="94" t="str">
        <f t="shared" si="6"/>
        <v/>
      </c>
    </row>
    <row r="39" spans="1:36" x14ac:dyDescent="0.3">
      <c r="A39" s="39" t="s">
        <v>362</v>
      </c>
      <c r="C39" s="93" t="s">
        <v>527</v>
      </c>
      <c r="D39" s="38" t="s">
        <v>1</v>
      </c>
      <c r="E39" s="93"/>
      <c r="F39" s="93"/>
      <c r="G39" s="94" t="str">
        <f t="shared" si="1"/>
        <v/>
      </c>
      <c r="H39" s="93"/>
      <c r="I39" s="93"/>
      <c r="J39" s="94" t="str">
        <f t="shared" si="2"/>
        <v/>
      </c>
      <c r="K39" s="93"/>
      <c r="L39" s="93"/>
      <c r="M39" s="94" t="str">
        <f t="shared" si="3"/>
        <v/>
      </c>
      <c r="N39" s="94"/>
      <c r="O39" s="93"/>
      <c r="P39" s="93"/>
      <c r="Q39" s="94" t="str">
        <f t="shared" si="4"/>
        <v/>
      </c>
      <c r="R39" s="93"/>
      <c r="S39" s="93"/>
      <c r="T39" s="93"/>
      <c r="U39" s="93"/>
      <c r="V39" s="93"/>
      <c r="W39" s="93"/>
      <c r="X39" s="93"/>
      <c r="Y39" s="93"/>
      <c r="Z39" s="93"/>
      <c r="AA39" s="93" t="s">
        <v>1</v>
      </c>
      <c r="AB39" s="93">
        <v>563</v>
      </c>
      <c r="AC39" s="93">
        <v>9000</v>
      </c>
      <c r="AD39" s="94">
        <f t="shared" si="5"/>
        <v>15.985790408525755</v>
      </c>
      <c r="AE39" s="93"/>
      <c r="AF39" s="93"/>
      <c r="AG39" s="93"/>
      <c r="AH39" s="57"/>
      <c r="AI39" s="57"/>
      <c r="AJ39" s="94" t="str">
        <f t="shared" si="6"/>
        <v/>
      </c>
    </row>
    <row r="40" spans="1:36" x14ac:dyDescent="0.3">
      <c r="A40" s="39" t="s">
        <v>10</v>
      </c>
      <c r="C40" s="93" t="s">
        <v>527</v>
      </c>
      <c r="D40" s="38" t="s">
        <v>1</v>
      </c>
      <c r="E40" s="93"/>
      <c r="F40" s="93"/>
      <c r="G40" s="94" t="str">
        <f t="shared" si="1"/>
        <v/>
      </c>
      <c r="H40" s="93"/>
      <c r="I40" s="93"/>
      <c r="J40" s="94" t="str">
        <f t="shared" si="2"/>
        <v/>
      </c>
      <c r="K40" s="93"/>
      <c r="L40" s="93"/>
      <c r="M40" s="94" t="str">
        <f t="shared" si="3"/>
        <v/>
      </c>
      <c r="N40" s="94"/>
      <c r="O40" s="93"/>
      <c r="P40" s="93"/>
      <c r="Q40" s="94" t="str">
        <f t="shared" si="4"/>
        <v/>
      </c>
      <c r="R40" s="93"/>
      <c r="S40" s="93"/>
      <c r="T40" s="93"/>
      <c r="U40" s="93"/>
      <c r="V40" s="93"/>
      <c r="W40" s="93"/>
      <c r="X40" s="93"/>
      <c r="Y40" s="93"/>
      <c r="Z40" s="93"/>
      <c r="AA40" s="93" t="s">
        <v>1</v>
      </c>
      <c r="AB40" s="93">
        <v>23786</v>
      </c>
      <c r="AC40" s="93">
        <v>375000</v>
      </c>
      <c r="AD40" s="94">
        <f t="shared" si="5"/>
        <v>15.765576389472798</v>
      </c>
      <c r="AE40" s="93"/>
      <c r="AF40" s="93"/>
      <c r="AG40" s="93"/>
      <c r="AH40" s="57"/>
      <c r="AI40" s="57"/>
      <c r="AJ40" s="94" t="str">
        <f t="shared" si="6"/>
        <v/>
      </c>
    </row>
    <row r="41" spans="1:36" x14ac:dyDescent="0.3">
      <c r="A41" s="39" t="s">
        <v>4</v>
      </c>
      <c r="C41" s="93" t="s">
        <v>527</v>
      </c>
      <c r="D41" s="38" t="s">
        <v>1</v>
      </c>
      <c r="E41" s="93"/>
      <c r="F41" s="93"/>
      <c r="G41" s="94" t="str">
        <f t="shared" si="1"/>
        <v/>
      </c>
      <c r="H41" s="93"/>
      <c r="I41" s="93"/>
      <c r="J41" s="94" t="str">
        <f t="shared" si="2"/>
        <v/>
      </c>
      <c r="K41" s="93"/>
      <c r="L41" s="93"/>
      <c r="M41" s="94" t="str">
        <f t="shared" si="3"/>
        <v/>
      </c>
      <c r="N41" s="94"/>
      <c r="O41" s="93">
        <v>3000</v>
      </c>
      <c r="P41" s="93">
        <v>145410</v>
      </c>
      <c r="Q41" s="94">
        <f t="shared" si="4"/>
        <v>48.47</v>
      </c>
      <c r="R41" s="93"/>
      <c r="S41" s="93"/>
      <c r="T41" s="93"/>
      <c r="U41" s="93"/>
      <c r="V41" s="93"/>
      <c r="W41" s="93"/>
      <c r="X41" s="93"/>
      <c r="Y41" s="93"/>
      <c r="Z41" s="93"/>
      <c r="AA41" s="93" t="s">
        <v>1</v>
      </c>
      <c r="AB41" s="93">
        <v>2850</v>
      </c>
      <c r="AC41" s="93">
        <v>110000</v>
      </c>
      <c r="AD41" s="94">
        <f t="shared" si="5"/>
        <v>38.596491228070178</v>
      </c>
      <c r="AE41" s="93"/>
      <c r="AF41" s="93"/>
      <c r="AG41" s="93"/>
      <c r="AH41" s="57">
        <v>104</v>
      </c>
      <c r="AI41" s="57">
        <v>5000</v>
      </c>
      <c r="AJ41" s="94">
        <f t="shared" si="6"/>
        <v>48.07692307692308</v>
      </c>
    </row>
    <row r="42" spans="1:36" x14ac:dyDescent="0.3">
      <c r="A42" s="39" t="s">
        <v>367</v>
      </c>
      <c r="C42" s="93" t="s">
        <v>527</v>
      </c>
      <c r="D42" s="38" t="s">
        <v>1</v>
      </c>
      <c r="E42" s="93"/>
      <c r="F42" s="93"/>
      <c r="G42" s="94" t="str">
        <f t="shared" si="1"/>
        <v/>
      </c>
      <c r="H42" s="93"/>
      <c r="I42" s="93"/>
      <c r="J42" s="94" t="str">
        <f t="shared" si="2"/>
        <v/>
      </c>
      <c r="K42" s="93"/>
      <c r="L42" s="93"/>
      <c r="M42" s="94" t="str">
        <f t="shared" si="3"/>
        <v/>
      </c>
      <c r="N42" s="94"/>
      <c r="O42" s="93"/>
      <c r="P42" s="93"/>
      <c r="Q42" s="94" t="str">
        <f t="shared" si="4"/>
        <v/>
      </c>
      <c r="R42" s="93"/>
      <c r="S42" s="93"/>
      <c r="T42" s="93"/>
      <c r="U42" s="93"/>
      <c r="V42" s="93"/>
      <c r="W42" s="93"/>
      <c r="X42" s="93"/>
      <c r="Y42" s="93"/>
      <c r="Z42" s="93"/>
      <c r="AA42" s="93" t="s">
        <v>1</v>
      </c>
      <c r="AB42" s="93">
        <v>107</v>
      </c>
      <c r="AC42" s="93">
        <v>5600</v>
      </c>
      <c r="AD42" s="94">
        <f t="shared" si="5"/>
        <v>52.336448598130843</v>
      </c>
      <c r="AE42" s="93"/>
      <c r="AF42" s="93"/>
      <c r="AG42" s="93"/>
      <c r="AH42" s="57"/>
      <c r="AI42" s="57"/>
      <c r="AJ42" s="94" t="str">
        <f t="shared" si="6"/>
        <v/>
      </c>
    </row>
    <row r="43" spans="1:36" x14ac:dyDescent="0.3">
      <c r="A43" s="40" t="s">
        <v>24</v>
      </c>
      <c r="C43" s="93" t="s">
        <v>527</v>
      </c>
      <c r="D43" s="38" t="s">
        <v>1</v>
      </c>
      <c r="E43" s="93"/>
      <c r="F43" s="93"/>
      <c r="G43" s="94" t="str">
        <f t="shared" si="1"/>
        <v/>
      </c>
      <c r="H43" s="93"/>
      <c r="I43" s="93"/>
      <c r="J43" s="94" t="str">
        <f t="shared" si="2"/>
        <v/>
      </c>
      <c r="K43" s="93"/>
      <c r="L43" s="93"/>
      <c r="M43" s="94" t="str">
        <f t="shared" si="3"/>
        <v/>
      </c>
      <c r="N43" s="94"/>
      <c r="O43" s="93"/>
      <c r="P43" s="93"/>
      <c r="Q43" s="94" t="str">
        <f t="shared" si="4"/>
        <v/>
      </c>
      <c r="R43" s="93"/>
      <c r="S43" s="93"/>
      <c r="T43" s="93"/>
      <c r="U43" s="93"/>
      <c r="V43" s="93"/>
      <c r="W43" s="93"/>
      <c r="X43" s="93"/>
      <c r="Y43" s="93"/>
      <c r="Z43" s="93"/>
      <c r="AA43" s="93" t="s">
        <v>1</v>
      </c>
      <c r="AB43" s="93">
        <v>336</v>
      </c>
      <c r="AC43" s="93">
        <v>37000</v>
      </c>
      <c r="AD43" s="94">
        <f t="shared" si="5"/>
        <v>110.11904761904762</v>
      </c>
      <c r="AE43" s="93"/>
      <c r="AF43" s="93"/>
      <c r="AG43" s="93"/>
      <c r="AH43" s="57">
        <v>44</v>
      </c>
      <c r="AI43" s="57">
        <v>3000</v>
      </c>
      <c r="AJ43" s="94">
        <f t="shared" si="6"/>
        <v>68.181818181818187</v>
      </c>
    </row>
    <row r="44" spans="1:36" x14ac:dyDescent="0.3">
      <c r="A44" s="40" t="s">
        <v>368</v>
      </c>
      <c r="C44" s="93" t="s">
        <v>527</v>
      </c>
      <c r="D44" s="38" t="s">
        <v>1</v>
      </c>
      <c r="E44" s="93"/>
      <c r="F44" s="93"/>
      <c r="G44" s="94" t="str">
        <f t="shared" si="1"/>
        <v/>
      </c>
      <c r="H44" s="93"/>
      <c r="I44" s="93"/>
      <c r="J44" s="94" t="str">
        <f t="shared" si="2"/>
        <v/>
      </c>
      <c r="K44" s="93"/>
      <c r="L44" s="93"/>
      <c r="M44" s="94" t="str">
        <f t="shared" si="3"/>
        <v/>
      </c>
      <c r="N44" s="94"/>
      <c r="O44" s="93"/>
      <c r="P44" s="93"/>
      <c r="Q44" s="94" t="str">
        <f t="shared" si="4"/>
        <v/>
      </c>
      <c r="R44" s="93"/>
      <c r="S44" s="93"/>
      <c r="T44" s="93"/>
      <c r="U44" s="93"/>
      <c r="V44" s="93"/>
      <c r="W44" s="93"/>
      <c r="X44" s="93"/>
      <c r="Y44" s="93"/>
      <c r="Z44" s="93"/>
      <c r="AA44" s="93" t="s">
        <v>1</v>
      </c>
      <c r="AB44" s="93">
        <v>84</v>
      </c>
      <c r="AC44" s="93">
        <v>3000</v>
      </c>
      <c r="AD44" s="94">
        <f t="shared" si="5"/>
        <v>35.714285714285715</v>
      </c>
      <c r="AE44" s="93"/>
      <c r="AF44" s="93"/>
      <c r="AG44" s="93"/>
      <c r="AH44" s="57"/>
      <c r="AI44" s="57"/>
      <c r="AJ44" s="94" t="str">
        <f t="shared" si="6"/>
        <v/>
      </c>
    </row>
    <row r="45" spans="1:36" x14ac:dyDescent="0.3">
      <c r="A45" s="39" t="s">
        <v>145</v>
      </c>
      <c r="C45" s="93" t="s">
        <v>527</v>
      </c>
      <c r="D45" s="38" t="s">
        <v>1</v>
      </c>
      <c r="E45" s="93"/>
      <c r="F45" s="93"/>
      <c r="G45" s="94" t="str">
        <f t="shared" si="1"/>
        <v/>
      </c>
      <c r="H45" s="93"/>
      <c r="I45" s="93"/>
      <c r="J45" s="94" t="str">
        <f t="shared" si="2"/>
        <v/>
      </c>
      <c r="K45" s="93"/>
      <c r="L45" s="93"/>
      <c r="M45" s="94" t="str">
        <f t="shared" si="3"/>
        <v/>
      </c>
      <c r="N45" s="94"/>
      <c r="O45" s="93"/>
      <c r="P45" s="93"/>
      <c r="Q45" s="94" t="str">
        <f t="shared" si="4"/>
        <v/>
      </c>
      <c r="R45" s="93"/>
      <c r="S45" s="93"/>
      <c r="T45" s="93"/>
      <c r="U45" s="93"/>
      <c r="V45" s="93"/>
      <c r="W45" s="93"/>
      <c r="X45" s="93"/>
      <c r="Y45" s="93"/>
      <c r="Z45" s="93"/>
      <c r="AA45" s="93" t="s">
        <v>1</v>
      </c>
      <c r="AB45" s="93">
        <f>11+221</f>
        <v>232</v>
      </c>
      <c r="AC45" s="93">
        <f>1000+25000</f>
        <v>26000</v>
      </c>
      <c r="AD45" s="94">
        <f t="shared" si="5"/>
        <v>112.06896551724138</v>
      </c>
      <c r="AE45" s="93"/>
      <c r="AF45" s="93"/>
      <c r="AG45" s="93"/>
      <c r="AH45" s="57">
        <v>28</v>
      </c>
      <c r="AI45" s="57">
        <v>2400</v>
      </c>
      <c r="AJ45" s="94">
        <f t="shared" si="6"/>
        <v>85.714285714285708</v>
      </c>
    </row>
    <row r="46" spans="1:36" x14ac:dyDescent="0.3">
      <c r="A46" s="39" t="s">
        <v>146</v>
      </c>
      <c r="C46" s="93" t="s">
        <v>527</v>
      </c>
      <c r="D46" s="38" t="s">
        <v>1</v>
      </c>
      <c r="E46" s="93"/>
      <c r="F46" s="93"/>
      <c r="G46" s="94" t="str">
        <f t="shared" si="1"/>
        <v/>
      </c>
      <c r="H46" s="93"/>
      <c r="I46" s="93"/>
      <c r="J46" s="94" t="str">
        <f t="shared" si="2"/>
        <v/>
      </c>
      <c r="K46" s="93"/>
      <c r="L46" s="93"/>
      <c r="M46" s="94" t="str">
        <f t="shared" si="3"/>
        <v/>
      </c>
      <c r="N46" s="94"/>
      <c r="O46" s="93"/>
      <c r="P46" s="93"/>
      <c r="Q46" s="94" t="str">
        <f t="shared" si="4"/>
        <v/>
      </c>
      <c r="R46" s="93"/>
      <c r="S46" s="93"/>
      <c r="T46" s="93"/>
      <c r="U46" s="93"/>
      <c r="V46" s="93"/>
      <c r="W46" s="93"/>
      <c r="X46" s="93"/>
      <c r="Y46" s="93"/>
      <c r="Z46" s="93"/>
      <c r="AA46" s="93" t="s">
        <v>1</v>
      </c>
      <c r="AB46" s="93"/>
      <c r="AC46" s="93"/>
      <c r="AD46" s="94" t="str">
        <f t="shared" si="5"/>
        <v/>
      </c>
      <c r="AE46" s="93"/>
      <c r="AF46" s="93"/>
      <c r="AG46" s="93"/>
      <c r="AH46" s="57">
        <v>135</v>
      </c>
      <c r="AI46" s="57">
        <v>7500</v>
      </c>
      <c r="AJ46" s="94">
        <f t="shared" si="6"/>
        <v>55.555555555555557</v>
      </c>
    </row>
    <row r="47" spans="1:36" x14ac:dyDescent="0.3">
      <c r="A47" s="41" t="s">
        <v>218</v>
      </c>
      <c r="C47" s="93" t="s">
        <v>527</v>
      </c>
      <c r="D47" s="38" t="s">
        <v>1</v>
      </c>
      <c r="E47" s="93"/>
      <c r="F47" s="93"/>
      <c r="G47" s="94" t="str">
        <f t="shared" si="1"/>
        <v/>
      </c>
      <c r="H47" s="93"/>
      <c r="I47" s="93"/>
      <c r="J47" s="94" t="str">
        <f t="shared" si="2"/>
        <v/>
      </c>
      <c r="K47" s="93"/>
      <c r="L47" s="93"/>
      <c r="M47" s="94" t="str">
        <f t="shared" si="3"/>
        <v/>
      </c>
      <c r="N47" s="94"/>
      <c r="O47" s="93"/>
      <c r="P47" s="93"/>
      <c r="Q47" s="94" t="str">
        <f t="shared" si="4"/>
        <v/>
      </c>
      <c r="R47" s="93"/>
      <c r="S47" s="93"/>
      <c r="T47" s="93"/>
      <c r="U47" s="93"/>
      <c r="V47" s="93"/>
      <c r="W47" s="93"/>
      <c r="X47" s="93"/>
      <c r="Y47" s="93"/>
      <c r="Z47" s="93"/>
      <c r="AA47" s="93" t="s">
        <v>1</v>
      </c>
      <c r="AB47" s="93"/>
      <c r="AC47" s="93"/>
      <c r="AD47" s="94" t="str">
        <f t="shared" si="5"/>
        <v/>
      </c>
      <c r="AE47" s="93"/>
      <c r="AF47" s="93"/>
      <c r="AG47" s="93"/>
      <c r="AH47" s="57">
        <v>40</v>
      </c>
      <c r="AI47" s="57">
        <v>1400</v>
      </c>
      <c r="AJ47" s="94">
        <f t="shared" si="6"/>
        <v>35</v>
      </c>
    </row>
    <row r="48" spans="1:36" x14ac:dyDescent="0.3">
      <c r="A48" s="41" t="s">
        <v>369</v>
      </c>
      <c r="C48" s="93" t="s">
        <v>527</v>
      </c>
      <c r="D48" s="38" t="s">
        <v>1</v>
      </c>
      <c r="E48" s="93"/>
      <c r="F48" s="93"/>
      <c r="G48" s="94" t="str">
        <f t="shared" si="1"/>
        <v/>
      </c>
      <c r="H48" s="93"/>
      <c r="I48" s="93"/>
      <c r="J48" s="94" t="str">
        <f t="shared" si="2"/>
        <v/>
      </c>
      <c r="K48" s="93"/>
      <c r="L48" s="93"/>
      <c r="M48" s="94" t="str">
        <f t="shared" si="3"/>
        <v/>
      </c>
      <c r="N48" s="94"/>
      <c r="O48" s="93"/>
      <c r="P48" s="93"/>
      <c r="Q48" s="94" t="str">
        <f t="shared" si="4"/>
        <v/>
      </c>
      <c r="R48" s="93"/>
      <c r="S48" s="93"/>
      <c r="T48" s="93"/>
      <c r="U48" s="93"/>
      <c r="V48" s="93"/>
      <c r="W48" s="93"/>
      <c r="X48" s="93"/>
      <c r="Y48" s="93"/>
      <c r="Z48" s="93"/>
      <c r="AA48" s="93" t="s">
        <v>1</v>
      </c>
      <c r="AB48" s="93">
        <v>826</v>
      </c>
      <c r="AC48" s="93">
        <v>10000</v>
      </c>
      <c r="AD48" s="94">
        <f t="shared" si="5"/>
        <v>12.106537530266344</v>
      </c>
      <c r="AE48" s="93"/>
      <c r="AF48" s="93"/>
      <c r="AG48" s="93"/>
      <c r="AH48" s="57"/>
      <c r="AI48" s="57"/>
      <c r="AJ48" s="94" t="str">
        <f t="shared" si="6"/>
        <v/>
      </c>
    </row>
    <row r="49" spans="1:36" x14ac:dyDescent="0.3">
      <c r="A49" s="41" t="s">
        <v>370</v>
      </c>
      <c r="C49" s="93" t="s">
        <v>527</v>
      </c>
      <c r="D49" s="38" t="s">
        <v>1</v>
      </c>
      <c r="E49" s="93"/>
      <c r="F49" s="93"/>
      <c r="G49" s="94" t="str">
        <f t="shared" si="1"/>
        <v/>
      </c>
      <c r="H49" s="93"/>
      <c r="I49" s="93"/>
      <c r="J49" s="94" t="str">
        <f t="shared" si="2"/>
        <v/>
      </c>
      <c r="K49" s="93"/>
      <c r="L49" s="93"/>
      <c r="M49" s="94" t="str">
        <f t="shared" si="3"/>
        <v/>
      </c>
      <c r="N49" s="94"/>
      <c r="O49" s="93"/>
      <c r="P49" s="93"/>
      <c r="Q49" s="94" t="str">
        <f t="shared" si="4"/>
        <v/>
      </c>
      <c r="R49" s="93"/>
      <c r="S49" s="93"/>
      <c r="T49" s="93"/>
      <c r="U49" s="93"/>
      <c r="V49" s="93"/>
      <c r="W49" s="93"/>
      <c r="X49" s="93"/>
      <c r="Y49" s="93"/>
      <c r="Z49" s="93"/>
      <c r="AA49" s="93" t="s">
        <v>1</v>
      </c>
      <c r="AB49" s="93">
        <v>131</v>
      </c>
      <c r="AC49" s="93">
        <v>9000</v>
      </c>
      <c r="AD49" s="94">
        <f t="shared" si="5"/>
        <v>68.702290076335885</v>
      </c>
      <c r="AE49" s="93"/>
      <c r="AF49" s="93"/>
      <c r="AG49" s="93"/>
      <c r="AH49" s="57"/>
      <c r="AI49" s="57"/>
      <c r="AJ49" s="94" t="str">
        <f t="shared" si="6"/>
        <v/>
      </c>
    </row>
    <row r="50" spans="1:36" x14ac:dyDescent="0.3">
      <c r="A50" s="41" t="s">
        <v>371</v>
      </c>
      <c r="C50" s="93" t="s">
        <v>527</v>
      </c>
      <c r="D50" s="38" t="s">
        <v>1</v>
      </c>
      <c r="E50" s="93"/>
      <c r="F50" s="93"/>
      <c r="G50" s="94" t="str">
        <f t="shared" si="1"/>
        <v/>
      </c>
      <c r="H50" s="93"/>
      <c r="I50" s="93"/>
      <c r="J50" s="94" t="str">
        <f t="shared" si="2"/>
        <v/>
      </c>
      <c r="K50" s="93"/>
      <c r="L50" s="93"/>
      <c r="M50" s="94" t="str">
        <f t="shared" si="3"/>
        <v/>
      </c>
      <c r="N50" s="94"/>
      <c r="O50" s="93"/>
      <c r="P50" s="93"/>
      <c r="Q50" s="94" t="str">
        <f t="shared" si="4"/>
        <v/>
      </c>
      <c r="R50" s="93"/>
      <c r="S50" s="93"/>
      <c r="T50" s="93"/>
      <c r="U50" s="93"/>
      <c r="V50" s="93"/>
      <c r="W50" s="93"/>
      <c r="X50" s="93"/>
      <c r="Y50" s="93"/>
      <c r="Z50" s="93"/>
      <c r="AA50" s="93" t="s">
        <v>1</v>
      </c>
      <c r="AB50" s="93">
        <v>184</v>
      </c>
      <c r="AC50" s="93">
        <v>7800</v>
      </c>
      <c r="AD50" s="94">
        <f t="shared" si="5"/>
        <v>42.391304347826086</v>
      </c>
      <c r="AE50" s="93"/>
      <c r="AF50" s="93"/>
      <c r="AG50" s="93"/>
      <c r="AH50" s="57"/>
      <c r="AI50" s="57"/>
      <c r="AJ50" s="94" t="str">
        <f t="shared" si="6"/>
        <v/>
      </c>
    </row>
    <row r="51" spans="1:36" x14ac:dyDescent="0.3">
      <c r="A51" s="41" t="s">
        <v>35</v>
      </c>
      <c r="C51" s="93" t="s">
        <v>527</v>
      </c>
      <c r="D51" s="38" t="s">
        <v>1</v>
      </c>
      <c r="E51" s="93"/>
      <c r="F51" s="93"/>
      <c r="G51" s="94" t="str">
        <f t="shared" si="1"/>
        <v/>
      </c>
      <c r="H51" s="93"/>
      <c r="I51" s="93"/>
      <c r="J51" s="94" t="str">
        <f t="shared" si="2"/>
        <v/>
      </c>
      <c r="K51" s="93"/>
      <c r="L51" s="93"/>
      <c r="M51" s="94" t="str">
        <f t="shared" si="3"/>
        <v/>
      </c>
      <c r="N51" s="94"/>
      <c r="O51" s="93"/>
      <c r="P51" s="93"/>
      <c r="Q51" s="94" t="str">
        <f t="shared" si="4"/>
        <v/>
      </c>
      <c r="R51" s="93"/>
      <c r="S51" s="93"/>
      <c r="T51" s="93"/>
      <c r="U51" s="93"/>
      <c r="V51" s="93"/>
      <c r="W51" s="93"/>
      <c r="X51" s="93"/>
      <c r="Y51" s="93"/>
      <c r="Z51" s="93"/>
      <c r="AA51" s="93" t="s">
        <v>1</v>
      </c>
      <c r="AB51" s="93">
        <v>2728</v>
      </c>
      <c r="AC51" s="93">
        <v>74000</v>
      </c>
      <c r="AD51" s="94">
        <f t="shared" si="5"/>
        <v>27.126099706744867</v>
      </c>
      <c r="AE51" s="93"/>
      <c r="AF51" s="93"/>
      <c r="AG51" s="93"/>
      <c r="AH51" s="57"/>
      <c r="AI51" s="57"/>
      <c r="AJ51" s="94" t="str">
        <f t="shared" si="6"/>
        <v/>
      </c>
    </row>
    <row r="52" spans="1:36" x14ac:dyDescent="0.3">
      <c r="A52" s="41" t="s">
        <v>372</v>
      </c>
      <c r="C52" s="93" t="s">
        <v>527</v>
      </c>
      <c r="D52" s="38" t="s">
        <v>1</v>
      </c>
      <c r="E52" s="93"/>
      <c r="F52" s="93"/>
      <c r="G52" s="94" t="str">
        <f t="shared" si="1"/>
        <v/>
      </c>
      <c r="H52" s="93"/>
      <c r="I52" s="93"/>
      <c r="J52" s="94" t="str">
        <f t="shared" si="2"/>
        <v/>
      </c>
      <c r="K52" s="93"/>
      <c r="L52" s="93"/>
      <c r="M52" s="94" t="str">
        <f t="shared" si="3"/>
        <v/>
      </c>
      <c r="N52" s="94"/>
      <c r="O52" s="93"/>
      <c r="P52" s="93"/>
      <c r="Q52" s="94" t="str">
        <f t="shared" si="4"/>
        <v/>
      </c>
      <c r="R52" s="93"/>
      <c r="S52" s="93"/>
      <c r="T52" s="93"/>
      <c r="U52" s="93"/>
      <c r="V52" s="93"/>
      <c r="W52" s="93"/>
      <c r="X52" s="93"/>
      <c r="Y52" s="93"/>
      <c r="Z52" s="93"/>
      <c r="AA52" s="93" t="s">
        <v>1</v>
      </c>
      <c r="AB52" s="93">
        <v>751</v>
      </c>
      <c r="AC52" s="93">
        <v>12000</v>
      </c>
      <c r="AD52" s="94">
        <f t="shared" si="5"/>
        <v>15.978695073235686</v>
      </c>
      <c r="AE52" s="93"/>
      <c r="AF52" s="93"/>
      <c r="AG52" s="93"/>
      <c r="AH52" s="57"/>
      <c r="AI52" s="57"/>
      <c r="AJ52" s="94" t="str">
        <f t="shared" si="6"/>
        <v/>
      </c>
    </row>
    <row r="53" spans="1:36" x14ac:dyDescent="0.3">
      <c r="A53" s="41" t="s">
        <v>373</v>
      </c>
      <c r="C53" s="93" t="s">
        <v>527</v>
      </c>
      <c r="D53" s="38" t="s">
        <v>1</v>
      </c>
      <c r="E53" s="93"/>
      <c r="F53" s="93"/>
      <c r="G53" s="94" t="str">
        <f t="shared" si="1"/>
        <v/>
      </c>
      <c r="H53" s="93"/>
      <c r="I53" s="93"/>
      <c r="J53" s="94" t="str">
        <f t="shared" si="2"/>
        <v/>
      </c>
      <c r="K53" s="93"/>
      <c r="L53" s="93"/>
      <c r="M53" s="94" t="str">
        <f t="shared" si="3"/>
        <v/>
      </c>
      <c r="N53" s="94"/>
      <c r="O53" s="93"/>
      <c r="P53" s="93"/>
      <c r="Q53" s="94" t="str">
        <f t="shared" si="4"/>
        <v/>
      </c>
      <c r="R53" s="93"/>
      <c r="S53" s="93"/>
      <c r="T53" s="93"/>
      <c r="U53" s="93"/>
      <c r="V53" s="93"/>
      <c r="W53" s="93"/>
      <c r="X53" s="93"/>
      <c r="Y53" s="93"/>
      <c r="Z53" s="93"/>
      <c r="AA53" s="93" t="s">
        <v>1</v>
      </c>
      <c r="AB53" s="93">
        <v>170</v>
      </c>
      <c r="AC53" s="93">
        <v>3000</v>
      </c>
      <c r="AD53" s="94">
        <f t="shared" si="5"/>
        <v>17.647058823529413</v>
      </c>
      <c r="AE53" s="93"/>
      <c r="AF53" s="93"/>
      <c r="AG53" s="93"/>
      <c r="AH53" s="57"/>
      <c r="AI53" s="57"/>
      <c r="AJ53" s="94" t="str">
        <f t="shared" si="6"/>
        <v/>
      </c>
    </row>
    <row r="54" spans="1:36" x14ac:dyDescent="0.3">
      <c r="A54" s="41" t="s">
        <v>374</v>
      </c>
      <c r="C54" s="93" t="s">
        <v>527</v>
      </c>
      <c r="D54" s="38" t="s">
        <v>1</v>
      </c>
      <c r="E54" s="93"/>
      <c r="F54" s="93"/>
      <c r="G54" s="94" t="str">
        <f t="shared" si="1"/>
        <v/>
      </c>
      <c r="H54" s="93"/>
      <c r="I54" s="93"/>
      <c r="J54" s="94" t="str">
        <f t="shared" si="2"/>
        <v/>
      </c>
      <c r="K54" s="93"/>
      <c r="L54" s="93"/>
      <c r="M54" s="94" t="str">
        <f t="shared" si="3"/>
        <v/>
      </c>
      <c r="N54" s="94"/>
      <c r="O54" s="93"/>
      <c r="P54" s="93"/>
      <c r="Q54" s="94" t="str">
        <f t="shared" si="4"/>
        <v/>
      </c>
      <c r="R54" s="93"/>
      <c r="S54" s="93"/>
      <c r="T54" s="93"/>
      <c r="U54" s="93"/>
      <c r="V54" s="93"/>
      <c r="W54" s="93"/>
      <c r="X54" s="93"/>
      <c r="Y54" s="93"/>
      <c r="Z54" s="93"/>
      <c r="AA54" s="93" t="s">
        <v>1</v>
      </c>
      <c r="AB54" s="93">
        <v>601</v>
      </c>
      <c r="AC54" s="93">
        <v>7600</v>
      </c>
      <c r="AD54" s="94">
        <f t="shared" si="5"/>
        <v>12.645590682196339</v>
      </c>
      <c r="AE54" s="93"/>
      <c r="AF54" s="93"/>
      <c r="AG54" s="93"/>
      <c r="AH54" s="57"/>
      <c r="AI54" s="57"/>
      <c r="AJ54" s="94" t="str">
        <f t="shared" si="6"/>
        <v/>
      </c>
    </row>
    <row r="55" spans="1:36" x14ac:dyDescent="0.3">
      <c r="A55" s="39" t="s">
        <v>213</v>
      </c>
      <c r="C55" s="93" t="s">
        <v>527</v>
      </c>
      <c r="D55" s="38" t="s">
        <v>1</v>
      </c>
      <c r="E55" s="93"/>
      <c r="F55" s="93"/>
      <c r="G55" s="94" t="str">
        <f t="shared" si="1"/>
        <v/>
      </c>
      <c r="H55" s="93"/>
      <c r="I55" s="93"/>
      <c r="J55" s="94" t="str">
        <f t="shared" si="2"/>
        <v/>
      </c>
      <c r="K55" s="93"/>
      <c r="L55" s="93"/>
      <c r="M55" s="94" t="str">
        <f t="shared" si="3"/>
        <v/>
      </c>
      <c r="N55" s="94"/>
      <c r="O55" s="93"/>
      <c r="P55" s="93"/>
      <c r="Q55" s="94" t="str">
        <f t="shared" si="4"/>
        <v/>
      </c>
      <c r="R55" s="93"/>
      <c r="S55" s="93"/>
      <c r="T55" s="93"/>
      <c r="U55" s="93"/>
      <c r="V55" s="93"/>
      <c r="W55" s="93"/>
      <c r="X55" s="93"/>
      <c r="Y55" s="93"/>
      <c r="Z55" s="93"/>
      <c r="AA55" s="93" t="s">
        <v>1</v>
      </c>
      <c r="AB55" s="93">
        <v>290</v>
      </c>
      <c r="AC55" s="93">
        <v>6000</v>
      </c>
      <c r="AD55" s="94">
        <f t="shared" si="5"/>
        <v>20.689655172413794</v>
      </c>
      <c r="AE55" s="93"/>
      <c r="AF55" s="93"/>
      <c r="AG55" s="93"/>
      <c r="AH55" s="57">
        <v>86</v>
      </c>
      <c r="AI55" s="57">
        <v>2000</v>
      </c>
      <c r="AJ55" s="94">
        <f t="shared" si="6"/>
        <v>23.255813953488371</v>
      </c>
    </row>
    <row r="56" spans="1:36" x14ac:dyDescent="0.3">
      <c r="A56" s="39" t="s">
        <v>214</v>
      </c>
      <c r="C56" s="93" t="s">
        <v>527</v>
      </c>
      <c r="D56" s="38" t="s">
        <v>1</v>
      </c>
      <c r="E56" s="93"/>
      <c r="F56" s="93"/>
      <c r="G56" s="94" t="str">
        <f t="shared" si="1"/>
        <v/>
      </c>
      <c r="H56" s="93"/>
      <c r="I56" s="93"/>
      <c r="J56" s="94" t="str">
        <f t="shared" si="2"/>
        <v/>
      </c>
      <c r="K56" s="93"/>
      <c r="L56" s="93"/>
      <c r="M56" s="94" t="str">
        <f t="shared" si="3"/>
        <v/>
      </c>
      <c r="N56" s="94"/>
      <c r="O56" s="93"/>
      <c r="P56" s="93"/>
      <c r="Q56" s="94" t="str">
        <f t="shared" si="4"/>
        <v/>
      </c>
      <c r="R56" s="93"/>
      <c r="S56" s="93"/>
      <c r="T56" s="93"/>
      <c r="U56" s="93"/>
      <c r="V56" s="93"/>
      <c r="W56" s="93"/>
      <c r="X56" s="93"/>
      <c r="Y56" s="93"/>
      <c r="Z56" s="93"/>
      <c r="AA56" s="93" t="s">
        <v>1</v>
      </c>
      <c r="AB56" s="93">
        <v>395</v>
      </c>
      <c r="AC56" s="93">
        <v>10000</v>
      </c>
      <c r="AD56" s="94">
        <f t="shared" si="5"/>
        <v>25.316455696202532</v>
      </c>
      <c r="AE56" s="93"/>
      <c r="AF56" s="93"/>
      <c r="AG56" s="93"/>
      <c r="AH56" s="57">
        <v>37</v>
      </c>
      <c r="AI56" s="57">
        <v>2200</v>
      </c>
      <c r="AJ56" s="94">
        <f t="shared" si="6"/>
        <v>59.45945945945946</v>
      </c>
    </row>
    <row r="57" spans="1:36" x14ac:dyDescent="0.3">
      <c r="A57" s="39" t="s">
        <v>217</v>
      </c>
      <c r="C57" s="93" t="s">
        <v>527</v>
      </c>
      <c r="D57" s="38" t="s">
        <v>1</v>
      </c>
      <c r="E57" s="93"/>
      <c r="F57" s="93"/>
      <c r="G57" s="94" t="str">
        <f t="shared" si="1"/>
        <v/>
      </c>
      <c r="H57" s="93"/>
      <c r="I57" s="93"/>
      <c r="J57" s="94" t="str">
        <f t="shared" si="2"/>
        <v/>
      </c>
      <c r="K57" s="93"/>
      <c r="L57" s="93"/>
      <c r="M57" s="94" t="str">
        <f t="shared" si="3"/>
        <v/>
      </c>
      <c r="N57" s="94"/>
      <c r="O57" s="93"/>
      <c r="P57" s="93"/>
      <c r="Q57" s="94" t="str">
        <f t="shared" si="4"/>
        <v/>
      </c>
      <c r="R57" s="93"/>
      <c r="S57" s="93"/>
      <c r="T57" s="93"/>
      <c r="U57" s="93"/>
      <c r="V57" s="93"/>
      <c r="W57" s="93"/>
      <c r="X57" s="93"/>
      <c r="Y57" s="93"/>
      <c r="Z57" s="93"/>
      <c r="AA57" s="93" t="s">
        <v>1</v>
      </c>
      <c r="AB57" s="93"/>
      <c r="AC57" s="93"/>
      <c r="AD57" s="94" t="str">
        <f t="shared" si="5"/>
        <v/>
      </c>
      <c r="AE57" s="93"/>
      <c r="AF57" s="93"/>
      <c r="AG57" s="93"/>
      <c r="AH57" s="57">
        <v>535</v>
      </c>
      <c r="AI57" s="57">
        <v>19000</v>
      </c>
      <c r="AJ57" s="94">
        <f t="shared" si="6"/>
        <v>35.514018691588788</v>
      </c>
    </row>
    <row r="58" spans="1:36" x14ac:dyDescent="0.3">
      <c r="A58" s="39" t="s">
        <v>161</v>
      </c>
      <c r="C58" s="93" t="s">
        <v>527</v>
      </c>
      <c r="D58" s="38" t="s">
        <v>1</v>
      </c>
      <c r="E58" s="93"/>
      <c r="F58" s="93"/>
      <c r="G58" s="94" t="str">
        <f t="shared" si="1"/>
        <v/>
      </c>
      <c r="H58" s="93"/>
      <c r="I58" s="93"/>
      <c r="J58" s="94" t="str">
        <f t="shared" si="2"/>
        <v/>
      </c>
      <c r="K58" s="93"/>
      <c r="L58" s="93"/>
      <c r="M58" s="94" t="str">
        <f t="shared" si="3"/>
        <v/>
      </c>
      <c r="N58" s="94"/>
      <c r="O58" s="93"/>
      <c r="P58" s="93"/>
      <c r="Q58" s="94" t="str">
        <f t="shared" si="4"/>
        <v/>
      </c>
      <c r="R58" s="93"/>
      <c r="S58" s="93"/>
      <c r="T58" s="93"/>
      <c r="U58" s="93"/>
      <c r="V58" s="93"/>
      <c r="W58" s="93"/>
      <c r="X58" s="93"/>
      <c r="Y58" s="93"/>
      <c r="Z58" s="93"/>
      <c r="AA58" s="93" t="s">
        <v>1</v>
      </c>
      <c r="AB58" s="93">
        <v>112</v>
      </c>
      <c r="AC58" s="93">
        <v>4400</v>
      </c>
      <c r="AD58" s="94">
        <f t="shared" si="5"/>
        <v>39.285714285714285</v>
      </c>
      <c r="AE58" s="93"/>
      <c r="AF58" s="93"/>
      <c r="AG58" s="93"/>
      <c r="AH58" s="57"/>
      <c r="AI58" s="57"/>
      <c r="AJ58" s="94" t="str">
        <f t="shared" si="6"/>
        <v/>
      </c>
    </row>
    <row r="59" spans="1:36" x14ac:dyDescent="0.3">
      <c r="A59" s="39" t="s">
        <v>13</v>
      </c>
      <c r="C59" s="93" t="s">
        <v>527</v>
      </c>
      <c r="D59" s="38" t="s">
        <v>662</v>
      </c>
      <c r="E59" s="93"/>
      <c r="F59" s="93"/>
      <c r="G59" s="94" t="str">
        <f t="shared" si="1"/>
        <v/>
      </c>
      <c r="H59" s="93"/>
      <c r="I59" s="93"/>
      <c r="J59" s="94" t="str">
        <f t="shared" si="2"/>
        <v/>
      </c>
      <c r="K59" s="93"/>
      <c r="L59" s="93"/>
      <c r="M59" s="94" t="str">
        <f t="shared" si="3"/>
        <v/>
      </c>
      <c r="N59" s="94"/>
      <c r="O59" s="93">
        <f>(((1500+2000)/2)*((205+220))/2)</f>
        <v>371875</v>
      </c>
      <c r="P59" s="93"/>
      <c r="Q59" s="94">
        <f>(20+23)/2</f>
        <v>21.5</v>
      </c>
      <c r="R59" s="93"/>
      <c r="S59" s="93"/>
      <c r="T59" s="93"/>
      <c r="U59" s="93"/>
      <c r="V59" s="93"/>
      <c r="W59" s="93"/>
      <c r="X59" s="93"/>
      <c r="Y59" s="93"/>
      <c r="Z59" s="93"/>
      <c r="AA59" s="93" t="s">
        <v>1</v>
      </c>
      <c r="AB59" s="93">
        <v>398</v>
      </c>
      <c r="AC59" s="93">
        <v>8800</v>
      </c>
      <c r="AD59" s="94">
        <f t="shared" si="5"/>
        <v>22.110552763819097</v>
      </c>
      <c r="AE59" s="93"/>
      <c r="AF59" s="93"/>
      <c r="AG59" s="93"/>
      <c r="AH59" s="57">
        <v>166</v>
      </c>
      <c r="AI59" s="57">
        <v>6000</v>
      </c>
      <c r="AJ59" s="94">
        <f t="shared" si="6"/>
        <v>36.144578313253014</v>
      </c>
    </row>
    <row r="60" spans="1:36" x14ac:dyDescent="0.3">
      <c r="A60" s="39" t="s">
        <v>216</v>
      </c>
      <c r="C60" s="93" t="s">
        <v>527</v>
      </c>
      <c r="D60" s="38" t="s">
        <v>662</v>
      </c>
      <c r="E60" s="93"/>
      <c r="F60" s="93"/>
      <c r="G60" s="94" t="str">
        <f t="shared" si="1"/>
        <v/>
      </c>
      <c r="H60" s="93"/>
      <c r="I60" s="93"/>
      <c r="J60" s="94" t="str">
        <f t="shared" si="2"/>
        <v/>
      </c>
      <c r="K60" s="93"/>
      <c r="L60" s="93"/>
      <c r="M60" s="94" t="str">
        <f t="shared" si="3"/>
        <v/>
      </c>
      <c r="N60" s="94"/>
      <c r="O60" s="93">
        <f>(((500+600)/2)*((205+220))/2)</f>
        <v>116875</v>
      </c>
      <c r="P60" s="93"/>
      <c r="Q60" s="94">
        <f>(21+23)/2</f>
        <v>22</v>
      </c>
      <c r="R60" s="93"/>
      <c r="S60" s="93"/>
      <c r="T60" s="93"/>
      <c r="U60" s="93"/>
      <c r="V60" s="93"/>
      <c r="W60" s="93"/>
      <c r="X60" s="93"/>
      <c r="Y60" s="93"/>
      <c r="Z60" s="93"/>
      <c r="AA60" s="93" t="s">
        <v>1</v>
      </c>
      <c r="AB60" s="93">
        <v>68</v>
      </c>
      <c r="AC60" s="93">
        <v>1500</v>
      </c>
      <c r="AD60" s="94">
        <f t="shared" si="5"/>
        <v>22.058823529411764</v>
      </c>
      <c r="AE60" s="93"/>
      <c r="AF60" s="93"/>
      <c r="AG60" s="93"/>
      <c r="AH60" s="57">
        <v>31</v>
      </c>
      <c r="AI60" s="57">
        <v>700</v>
      </c>
      <c r="AJ60" s="94">
        <f t="shared" si="6"/>
        <v>22.580645161290324</v>
      </c>
    </row>
    <row r="61" spans="1:36" x14ac:dyDescent="0.3">
      <c r="A61" s="39" t="s">
        <v>382</v>
      </c>
      <c r="C61" s="93" t="s">
        <v>527</v>
      </c>
      <c r="D61" s="38" t="s">
        <v>1</v>
      </c>
      <c r="E61" s="93"/>
      <c r="F61" s="93"/>
      <c r="G61" s="94" t="str">
        <f t="shared" si="1"/>
        <v/>
      </c>
      <c r="H61" s="93"/>
      <c r="I61" s="93"/>
      <c r="J61" s="94" t="str">
        <f t="shared" si="2"/>
        <v/>
      </c>
      <c r="K61" s="93"/>
      <c r="L61" s="93"/>
      <c r="M61" s="94" t="str">
        <f t="shared" si="3"/>
        <v/>
      </c>
      <c r="N61" s="94"/>
      <c r="O61" s="93"/>
      <c r="P61" s="93"/>
      <c r="Q61" s="94" t="str">
        <f t="shared" si="4"/>
        <v/>
      </c>
      <c r="R61" s="93"/>
      <c r="S61" s="93"/>
      <c r="T61" s="93"/>
      <c r="U61" s="93"/>
      <c r="V61" s="93"/>
      <c r="W61" s="93"/>
      <c r="X61" s="93"/>
      <c r="Y61" s="93"/>
      <c r="Z61" s="93"/>
      <c r="AA61" s="93" t="s">
        <v>1</v>
      </c>
      <c r="AB61" s="93">
        <v>177</v>
      </c>
      <c r="AC61" s="93">
        <v>5100</v>
      </c>
      <c r="AD61" s="94">
        <f t="shared" si="5"/>
        <v>28.8135593220339</v>
      </c>
      <c r="AE61" s="93"/>
      <c r="AF61" s="93"/>
      <c r="AG61" s="93"/>
      <c r="AH61" s="57">
        <v>79</v>
      </c>
      <c r="AI61" s="57">
        <v>25</v>
      </c>
      <c r="AJ61" s="94">
        <f t="shared" si="6"/>
        <v>0.31645569620253167</v>
      </c>
    </row>
    <row r="62" spans="1:36" x14ac:dyDescent="0.3">
      <c r="A62" s="39" t="s">
        <v>215</v>
      </c>
      <c r="C62" s="93" t="s">
        <v>527</v>
      </c>
      <c r="D62" s="38" t="s">
        <v>1</v>
      </c>
      <c r="E62" s="93"/>
      <c r="F62" s="93"/>
      <c r="G62" s="94" t="str">
        <f t="shared" si="1"/>
        <v/>
      </c>
      <c r="H62" s="93"/>
      <c r="I62" s="93"/>
      <c r="J62" s="94" t="str">
        <f t="shared" si="2"/>
        <v/>
      </c>
      <c r="K62" s="93"/>
      <c r="L62" s="93"/>
      <c r="M62" s="94" t="str">
        <f t="shared" si="3"/>
        <v/>
      </c>
      <c r="N62" s="94"/>
      <c r="O62" s="93"/>
      <c r="P62" s="93"/>
      <c r="Q62" s="94" t="str">
        <f t="shared" si="4"/>
        <v/>
      </c>
      <c r="R62" s="93"/>
      <c r="S62" s="93"/>
      <c r="T62" s="93"/>
      <c r="U62" s="93"/>
      <c r="V62" s="93"/>
      <c r="W62" s="93"/>
      <c r="X62" s="93"/>
      <c r="Y62" s="93"/>
      <c r="Z62" s="93"/>
      <c r="AA62" s="93" t="s">
        <v>1</v>
      </c>
      <c r="AB62" s="93">
        <v>97</v>
      </c>
      <c r="AC62" s="93">
        <v>3800</v>
      </c>
      <c r="AD62" s="94">
        <f t="shared" si="5"/>
        <v>39.175257731958766</v>
      </c>
      <c r="AE62" s="93"/>
      <c r="AF62" s="93"/>
      <c r="AG62" s="93"/>
      <c r="AH62" s="57">
        <v>35</v>
      </c>
      <c r="AI62" s="57">
        <v>2200</v>
      </c>
      <c r="AJ62" s="94">
        <f t="shared" si="6"/>
        <v>62.857142857142854</v>
      </c>
    </row>
    <row r="63" spans="1:36" x14ac:dyDescent="0.3">
      <c r="A63" s="39" t="s">
        <v>383</v>
      </c>
      <c r="C63" s="93" t="s">
        <v>527</v>
      </c>
      <c r="D63" s="38" t="s">
        <v>1</v>
      </c>
      <c r="E63" s="93"/>
      <c r="F63" s="93"/>
      <c r="G63" s="94" t="str">
        <f t="shared" si="1"/>
        <v/>
      </c>
      <c r="H63" s="93"/>
      <c r="I63" s="93"/>
      <c r="J63" s="94" t="str">
        <f t="shared" si="2"/>
        <v/>
      </c>
      <c r="K63" s="93"/>
      <c r="L63" s="93"/>
      <c r="M63" s="94" t="str">
        <f t="shared" si="3"/>
        <v/>
      </c>
      <c r="N63" s="94"/>
      <c r="O63" s="93"/>
      <c r="P63" s="93"/>
      <c r="Q63" s="94" t="str">
        <f t="shared" si="4"/>
        <v/>
      </c>
      <c r="R63" s="93"/>
      <c r="S63" s="93"/>
      <c r="T63" s="93"/>
      <c r="U63" s="93"/>
      <c r="V63" s="93"/>
      <c r="W63" s="93"/>
      <c r="X63" s="93"/>
      <c r="Y63" s="93"/>
      <c r="Z63" s="93"/>
      <c r="AA63" s="93" t="s">
        <v>1</v>
      </c>
      <c r="AB63" s="93">
        <v>344</v>
      </c>
      <c r="AC63" s="93">
        <v>1400</v>
      </c>
      <c r="AD63" s="94">
        <f t="shared" si="5"/>
        <v>4.0697674418604652</v>
      </c>
      <c r="AE63" s="93"/>
      <c r="AF63" s="93"/>
      <c r="AG63" s="93"/>
      <c r="AH63" s="57"/>
      <c r="AI63" s="57"/>
      <c r="AJ63" s="94" t="str">
        <f t="shared" si="6"/>
        <v/>
      </c>
    </row>
    <row r="64" spans="1:36" x14ac:dyDescent="0.3">
      <c r="A64" s="39" t="s">
        <v>384</v>
      </c>
      <c r="C64" s="93" t="s">
        <v>527</v>
      </c>
      <c r="D64" s="38" t="s">
        <v>1</v>
      </c>
      <c r="E64" s="93"/>
      <c r="F64" s="93"/>
      <c r="G64" s="94" t="str">
        <f t="shared" si="1"/>
        <v/>
      </c>
      <c r="H64" s="93"/>
      <c r="I64" s="93"/>
      <c r="J64" s="94" t="str">
        <f t="shared" si="2"/>
        <v/>
      </c>
      <c r="K64" s="93"/>
      <c r="L64" s="93"/>
      <c r="M64" s="94" t="str">
        <f t="shared" si="3"/>
        <v/>
      </c>
      <c r="N64" s="94"/>
      <c r="O64" s="93"/>
      <c r="P64" s="93"/>
      <c r="Q64" s="94" t="str">
        <f t="shared" si="4"/>
        <v/>
      </c>
      <c r="R64" s="93"/>
      <c r="S64" s="93"/>
      <c r="T64" s="93"/>
      <c r="U64" s="93"/>
      <c r="V64" s="93"/>
      <c r="W64" s="93"/>
      <c r="X64" s="93"/>
      <c r="Y64" s="93"/>
      <c r="Z64" s="93"/>
      <c r="AA64" s="93" t="s">
        <v>1</v>
      </c>
      <c r="AB64" s="93">
        <v>266</v>
      </c>
      <c r="AC64" s="93">
        <v>10600</v>
      </c>
      <c r="AD64" s="94">
        <f t="shared" si="5"/>
        <v>39.849624060150376</v>
      </c>
      <c r="AE64" s="93"/>
      <c r="AF64" s="93"/>
      <c r="AG64" s="93"/>
      <c r="AH64" s="57"/>
      <c r="AI64" s="57"/>
      <c r="AJ64" s="94" t="str">
        <f t="shared" si="6"/>
        <v/>
      </c>
    </row>
    <row r="65" spans="1:36" x14ac:dyDescent="0.3">
      <c r="A65" s="39" t="s">
        <v>380</v>
      </c>
      <c r="C65" s="93" t="s">
        <v>527</v>
      </c>
      <c r="D65" s="38" t="s">
        <v>1</v>
      </c>
      <c r="E65" s="93"/>
      <c r="F65" s="93"/>
      <c r="G65" s="94" t="str">
        <f t="shared" si="1"/>
        <v/>
      </c>
      <c r="H65" s="93"/>
      <c r="I65" s="93"/>
      <c r="J65" s="94" t="str">
        <f t="shared" si="2"/>
        <v/>
      </c>
      <c r="K65" s="93"/>
      <c r="L65" s="93"/>
      <c r="M65" s="94" t="str">
        <f t="shared" si="3"/>
        <v/>
      </c>
      <c r="N65" s="94"/>
      <c r="O65" s="93"/>
      <c r="P65" s="93"/>
      <c r="Q65" s="94" t="str">
        <f t="shared" si="4"/>
        <v/>
      </c>
      <c r="R65" s="93"/>
      <c r="S65" s="93"/>
      <c r="T65" s="93"/>
      <c r="U65" s="93"/>
      <c r="V65" s="93"/>
      <c r="W65" s="93"/>
      <c r="X65" s="93"/>
      <c r="Y65" s="93"/>
      <c r="Z65" s="93"/>
      <c r="AA65" s="93" t="s">
        <v>1</v>
      </c>
      <c r="AB65" s="93">
        <v>2104</v>
      </c>
      <c r="AC65" s="93">
        <v>16000</v>
      </c>
      <c r="AD65" s="94">
        <f t="shared" si="5"/>
        <v>7.6045627376425857</v>
      </c>
      <c r="AE65" s="93"/>
      <c r="AF65" s="93"/>
      <c r="AG65" s="93"/>
      <c r="AH65" s="57"/>
      <c r="AI65" s="57"/>
      <c r="AJ65" s="94" t="str">
        <f t="shared" si="6"/>
        <v/>
      </c>
    </row>
    <row r="66" spans="1:36" x14ac:dyDescent="0.3">
      <c r="A66" s="39" t="s">
        <v>381</v>
      </c>
      <c r="C66" s="89" t="s">
        <v>527</v>
      </c>
      <c r="D66" s="89" t="s">
        <v>665</v>
      </c>
      <c r="E66" s="93"/>
      <c r="F66" s="93"/>
      <c r="G66" s="94" t="str">
        <f t="shared" si="1"/>
        <v/>
      </c>
      <c r="H66" s="93"/>
      <c r="I66" s="93"/>
      <c r="J66" s="94" t="str">
        <f t="shared" si="2"/>
        <v/>
      </c>
      <c r="K66" s="93"/>
      <c r="L66" s="93"/>
      <c r="M66" s="94" t="str">
        <f t="shared" si="3"/>
        <v/>
      </c>
      <c r="N66" s="94"/>
      <c r="O66" s="93"/>
      <c r="P66" s="93"/>
      <c r="Q66" s="94" t="str">
        <f t="shared" si="4"/>
        <v/>
      </c>
      <c r="R66" s="93"/>
      <c r="S66" s="93"/>
      <c r="T66" s="94">
        <f>(3/$D$319+10/$F$319)/$D$296</f>
        <v>2.1296296296296296E-2</v>
      </c>
      <c r="U66" s="93">
        <f>850000*$D$296</f>
        <v>7650000</v>
      </c>
      <c r="V66" s="93">
        <v>195000</v>
      </c>
      <c r="W66" s="94">
        <f t="shared" ref="W66" si="7">IFERROR(V66/U66,"")</f>
        <v>2.5490196078431372E-2</v>
      </c>
      <c r="X66" s="93">
        <f>825000*$D$296</f>
        <v>7425000</v>
      </c>
      <c r="Y66" s="93">
        <v>172000</v>
      </c>
      <c r="Z66" s="94">
        <f t="shared" ref="Z66" si="8">IFERROR(Y66/X66,"")</f>
        <v>2.3164983164983166E-2</v>
      </c>
      <c r="AA66" s="93" t="s">
        <v>1</v>
      </c>
      <c r="AB66" s="93">
        <f>27099</f>
        <v>27099</v>
      </c>
      <c r="AC66" s="93">
        <v>259000</v>
      </c>
      <c r="AD66" s="94">
        <f t="shared" si="5"/>
        <v>9.5575482490128785</v>
      </c>
      <c r="AE66" s="93"/>
      <c r="AF66" s="93"/>
      <c r="AG66" s="93"/>
      <c r="AH66" s="57"/>
      <c r="AI66" s="57"/>
      <c r="AJ66" s="94" t="str">
        <f t="shared" si="6"/>
        <v/>
      </c>
    </row>
    <row r="67" spans="1:36" x14ac:dyDescent="0.3">
      <c r="A67" s="39" t="s">
        <v>219</v>
      </c>
      <c r="C67" s="93" t="s">
        <v>527</v>
      </c>
      <c r="D67" s="38" t="s">
        <v>1</v>
      </c>
      <c r="E67" s="93"/>
      <c r="F67" s="93"/>
      <c r="G67" s="94" t="str">
        <f t="shared" si="1"/>
        <v/>
      </c>
      <c r="H67" s="93"/>
      <c r="I67" s="93"/>
      <c r="J67" s="94" t="str">
        <f t="shared" si="2"/>
        <v/>
      </c>
      <c r="K67" s="93"/>
      <c r="L67" s="93"/>
      <c r="M67" s="94" t="str">
        <f t="shared" si="3"/>
        <v/>
      </c>
      <c r="N67" s="94"/>
      <c r="O67" s="93"/>
      <c r="P67" s="93"/>
      <c r="Q67" s="94" t="str">
        <f t="shared" si="4"/>
        <v/>
      </c>
      <c r="R67" s="93"/>
      <c r="S67" s="93"/>
      <c r="T67" s="93"/>
      <c r="U67" s="93"/>
      <c r="V67" s="93"/>
      <c r="W67" s="93"/>
      <c r="X67" s="93"/>
      <c r="Y67" s="93"/>
      <c r="Z67" s="93"/>
      <c r="AA67" s="93" t="s">
        <v>1</v>
      </c>
      <c r="AB67" s="93">
        <f>262+876</f>
        <v>1138</v>
      </c>
      <c r="AC67" s="93">
        <f>6300+9800</f>
        <v>16100</v>
      </c>
      <c r="AD67" s="94">
        <f t="shared" si="5"/>
        <v>14.14762741652021</v>
      </c>
      <c r="AE67" s="93"/>
      <c r="AF67" s="93"/>
      <c r="AG67" s="93"/>
      <c r="AH67" s="57">
        <v>312</v>
      </c>
      <c r="AI67" s="57">
        <v>3800</v>
      </c>
      <c r="AJ67" s="94">
        <f t="shared" si="6"/>
        <v>12.179487179487179</v>
      </c>
    </row>
    <row r="68" spans="1:36" x14ac:dyDescent="0.3">
      <c r="A68" s="39" t="s">
        <v>220</v>
      </c>
      <c r="C68" s="93" t="s">
        <v>527</v>
      </c>
      <c r="D68" s="38" t="s">
        <v>1</v>
      </c>
      <c r="E68" s="93"/>
      <c r="F68" s="93"/>
      <c r="G68" s="94" t="str">
        <f t="shared" ref="G68:G131" si="9">IFERROR(F68/E68,"")</f>
        <v/>
      </c>
      <c r="H68" s="93"/>
      <c r="I68" s="93"/>
      <c r="J68" s="94" t="str">
        <f t="shared" ref="J68:J131" si="10">IFERROR(I68/H68,"")</f>
        <v/>
      </c>
      <c r="K68" s="93"/>
      <c r="L68" s="93"/>
      <c r="M68" s="94" t="str">
        <f t="shared" ref="M68:M131" si="11">IFERROR(L68/K68,"")</f>
        <v/>
      </c>
      <c r="N68" s="94"/>
      <c r="O68" s="93"/>
      <c r="P68" s="93"/>
      <c r="Q68" s="94" t="str">
        <f t="shared" ref="Q68:Q131" si="12">IFERROR(P68/O68,"")</f>
        <v/>
      </c>
      <c r="R68" s="93"/>
      <c r="S68" s="93"/>
      <c r="T68" s="93"/>
      <c r="U68" s="93"/>
      <c r="V68" s="93"/>
      <c r="W68" s="93"/>
      <c r="X68" s="93"/>
      <c r="Y68" s="93"/>
      <c r="Z68" s="93"/>
      <c r="AA68" s="93" t="s">
        <v>1</v>
      </c>
      <c r="AB68" s="93">
        <f>535+42</f>
        <v>577</v>
      </c>
      <c r="AC68" s="93">
        <f>16000+3300</f>
        <v>19300</v>
      </c>
      <c r="AD68" s="94">
        <f t="shared" ref="AD68:AD131" si="13">IFERROR(AC68/AB68,"")</f>
        <v>33.448873483535529</v>
      </c>
      <c r="AE68" s="93"/>
      <c r="AF68" s="93"/>
      <c r="AG68" s="93"/>
      <c r="AH68" s="57">
        <v>325</v>
      </c>
      <c r="AI68" s="57">
        <v>8500</v>
      </c>
      <c r="AJ68" s="94">
        <f t="shared" ref="AJ68:AJ131" si="14">IFERROR(AI68/AH68,"")</f>
        <v>26.153846153846153</v>
      </c>
    </row>
    <row r="69" spans="1:36" x14ac:dyDescent="0.3">
      <c r="A69" s="39" t="s">
        <v>221</v>
      </c>
      <c r="C69" s="93" t="s">
        <v>527</v>
      </c>
      <c r="D69" s="38" t="s">
        <v>1</v>
      </c>
      <c r="E69" s="93"/>
      <c r="F69" s="93"/>
      <c r="G69" s="94" t="str">
        <f t="shared" si="9"/>
        <v/>
      </c>
      <c r="H69" s="93"/>
      <c r="I69" s="93"/>
      <c r="J69" s="94" t="str">
        <f t="shared" si="10"/>
        <v/>
      </c>
      <c r="K69" s="93"/>
      <c r="L69" s="93"/>
      <c r="M69" s="94" t="str">
        <f t="shared" si="11"/>
        <v/>
      </c>
      <c r="N69" s="94"/>
      <c r="O69" s="93"/>
      <c r="P69" s="93"/>
      <c r="Q69" s="94" t="str">
        <f t="shared" si="12"/>
        <v/>
      </c>
      <c r="R69" s="93"/>
      <c r="S69" s="93"/>
      <c r="T69" s="93"/>
      <c r="U69" s="93"/>
      <c r="V69" s="93"/>
      <c r="W69" s="93"/>
      <c r="X69" s="93"/>
      <c r="Y69" s="93"/>
      <c r="Z69" s="93"/>
      <c r="AA69" s="93" t="s">
        <v>1</v>
      </c>
      <c r="AB69" s="93">
        <v>3</v>
      </c>
      <c r="AC69" s="93">
        <v>5400</v>
      </c>
      <c r="AD69" s="94">
        <f t="shared" si="13"/>
        <v>1800</v>
      </c>
      <c r="AE69" s="93"/>
      <c r="AF69" s="93"/>
      <c r="AG69" s="93"/>
      <c r="AH69" s="57">
        <v>3</v>
      </c>
      <c r="AI69" s="57">
        <v>4100</v>
      </c>
      <c r="AJ69" s="94">
        <f t="shared" si="14"/>
        <v>1366.6666666666667</v>
      </c>
    </row>
    <row r="70" spans="1:36" x14ac:dyDescent="0.3">
      <c r="A70" s="39" t="s">
        <v>222</v>
      </c>
      <c r="C70" s="93" t="s">
        <v>527</v>
      </c>
      <c r="D70" s="38" t="s">
        <v>1</v>
      </c>
      <c r="E70" s="93"/>
      <c r="F70" s="93"/>
      <c r="G70" s="94" t="str">
        <f t="shared" si="9"/>
        <v/>
      </c>
      <c r="H70" s="93"/>
      <c r="I70" s="93"/>
      <c r="J70" s="94" t="str">
        <f t="shared" si="10"/>
        <v/>
      </c>
      <c r="K70" s="93"/>
      <c r="L70" s="93"/>
      <c r="M70" s="94" t="str">
        <f t="shared" si="11"/>
        <v/>
      </c>
      <c r="N70" s="94"/>
      <c r="O70" s="93"/>
      <c r="P70" s="93"/>
      <c r="Q70" s="94" t="str">
        <f t="shared" si="12"/>
        <v/>
      </c>
      <c r="R70" s="93"/>
      <c r="S70" s="93"/>
      <c r="T70" s="93"/>
      <c r="U70" s="93"/>
      <c r="V70" s="93"/>
      <c r="W70" s="93"/>
      <c r="X70" s="93"/>
      <c r="Y70" s="93"/>
      <c r="Z70" s="93"/>
      <c r="AA70" s="93" t="s">
        <v>1</v>
      </c>
      <c r="AB70" s="93">
        <v>110718</v>
      </c>
      <c r="AC70" s="93">
        <v>126000</v>
      </c>
      <c r="AD70" s="94">
        <f t="shared" si="13"/>
        <v>1.1380263371809463</v>
      </c>
      <c r="AE70" s="93"/>
      <c r="AF70" s="93"/>
      <c r="AG70" s="93"/>
      <c r="AH70" s="57">
        <v>141746</v>
      </c>
      <c r="AI70" s="57">
        <v>143000</v>
      </c>
      <c r="AJ70" s="94">
        <f t="shared" si="14"/>
        <v>1.0088468104920068</v>
      </c>
    </row>
    <row r="71" spans="1:36" x14ac:dyDescent="0.3">
      <c r="A71" s="39" t="s">
        <v>223</v>
      </c>
      <c r="C71" s="93" t="s">
        <v>527</v>
      </c>
      <c r="D71" s="38" t="s">
        <v>1</v>
      </c>
      <c r="E71" s="93"/>
      <c r="F71" s="93"/>
      <c r="G71" s="94" t="str">
        <f t="shared" si="9"/>
        <v/>
      </c>
      <c r="H71" s="93"/>
      <c r="I71" s="93"/>
      <c r="J71" s="94" t="str">
        <f t="shared" si="10"/>
        <v/>
      </c>
      <c r="K71" s="93"/>
      <c r="L71" s="93"/>
      <c r="M71" s="94" t="str">
        <f t="shared" si="11"/>
        <v/>
      </c>
      <c r="N71" s="94"/>
      <c r="O71" s="93"/>
      <c r="P71" s="93"/>
      <c r="Q71" s="94" t="str">
        <f t="shared" si="12"/>
        <v/>
      </c>
      <c r="R71" s="93"/>
      <c r="S71" s="93"/>
      <c r="T71" s="93"/>
      <c r="U71" s="93"/>
      <c r="V71" s="93"/>
      <c r="W71" s="93"/>
      <c r="X71" s="93"/>
      <c r="Y71" s="93"/>
      <c r="Z71" s="93"/>
      <c r="AA71" s="93" t="s">
        <v>1</v>
      </c>
      <c r="AB71" s="93">
        <v>1498</v>
      </c>
      <c r="AC71" s="93">
        <v>2700</v>
      </c>
      <c r="AD71" s="94">
        <f t="shared" si="13"/>
        <v>1.8024032042723632</v>
      </c>
      <c r="AE71" s="93"/>
      <c r="AF71" s="93"/>
      <c r="AG71" s="93"/>
      <c r="AH71" s="57">
        <v>1028</v>
      </c>
      <c r="AI71" s="57">
        <v>1400</v>
      </c>
      <c r="AJ71" s="94">
        <f t="shared" si="14"/>
        <v>1.3618677042801557</v>
      </c>
    </row>
    <row r="72" spans="1:36" x14ac:dyDescent="0.3">
      <c r="A72" s="39" t="s">
        <v>224</v>
      </c>
      <c r="C72" s="93" t="s">
        <v>527</v>
      </c>
      <c r="D72" s="38" t="s">
        <v>1</v>
      </c>
      <c r="E72" s="93"/>
      <c r="F72" s="93"/>
      <c r="G72" s="94" t="str">
        <f t="shared" si="9"/>
        <v/>
      </c>
      <c r="H72" s="93"/>
      <c r="I72" s="93"/>
      <c r="J72" s="94" t="str">
        <f t="shared" si="10"/>
        <v/>
      </c>
      <c r="K72" s="93"/>
      <c r="L72" s="93"/>
      <c r="M72" s="94" t="str">
        <f t="shared" si="11"/>
        <v/>
      </c>
      <c r="N72" s="94"/>
      <c r="O72" s="93"/>
      <c r="P72" s="93"/>
      <c r="Q72" s="94" t="str">
        <f t="shared" si="12"/>
        <v/>
      </c>
      <c r="R72" s="93"/>
      <c r="S72" s="93"/>
      <c r="T72" s="93"/>
      <c r="U72" s="93"/>
      <c r="V72" s="93"/>
      <c r="W72" s="93"/>
      <c r="X72" s="93"/>
      <c r="Y72" s="93"/>
      <c r="Z72" s="93"/>
      <c r="AA72" s="93" t="s">
        <v>1</v>
      </c>
      <c r="AB72" s="93">
        <v>703</v>
      </c>
      <c r="AC72" s="93">
        <v>4600</v>
      </c>
      <c r="AD72" s="94">
        <f t="shared" si="13"/>
        <v>6.543385490753912</v>
      </c>
      <c r="AE72" s="93"/>
      <c r="AF72" s="93"/>
      <c r="AG72" s="93"/>
      <c r="AH72" s="57">
        <v>211</v>
      </c>
      <c r="AI72" s="57">
        <v>1100</v>
      </c>
      <c r="AJ72" s="94">
        <f t="shared" si="14"/>
        <v>5.2132701421800949</v>
      </c>
    </row>
    <row r="73" spans="1:36" x14ac:dyDescent="0.3">
      <c r="A73" s="39" t="s">
        <v>226</v>
      </c>
      <c r="C73" s="93" t="s">
        <v>527</v>
      </c>
      <c r="D73" s="38" t="s">
        <v>1</v>
      </c>
      <c r="E73" s="93"/>
      <c r="F73" s="93"/>
      <c r="G73" s="94" t="str">
        <f t="shared" si="9"/>
        <v/>
      </c>
      <c r="H73" s="93"/>
      <c r="I73" s="93"/>
      <c r="J73" s="94" t="str">
        <f t="shared" si="10"/>
        <v/>
      </c>
      <c r="K73" s="93"/>
      <c r="L73" s="93"/>
      <c r="M73" s="94" t="str">
        <f t="shared" si="11"/>
        <v/>
      </c>
      <c r="N73" s="94"/>
      <c r="O73" s="93"/>
      <c r="P73" s="93"/>
      <c r="Q73" s="94" t="str">
        <f t="shared" si="12"/>
        <v/>
      </c>
      <c r="R73" s="93"/>
      <c r="S73" s="93"/>
      <c r="T73" s="93"/>
      <c r="U73" s="93"/>
      <c r="V73" s="93"/>
      <c r="W73" s="93"/>
      <c r="X73" s="93"/>
      <c r="Y73" s="93"/>
      <c r="Z73" s="93"/>
      <c r="AA73" s="93" t="s">
        <v>1</v>
      </c>
      <c r="AB73" s="93">
        <v>119</v>
      </c>
      <c r="AC73" s="93">
        <v>1100</v>
      </c>
      <c r="AD73" s="94">
        <f t="shared" si="13"/>
        <v>9.2436974789915958</v>
      </c>
      <c r="AE73" s="93"/>
      <c r="AF73" s="93"/>
      <c r="AG73" s="93"/>
      <c r="AH73" s="57">
        <v>93</v>
      </c>
      <c r="AI73" s="57">
        <v>1100</v>
      </c>
      <c r="AJ73" s="94">
        <f t="shared" si="14"/>
        <v>11.827956989247312</v>
      </c>
    </row>
    <row r="74" spans="1:36" x14ac:dyDescent="0.3">
      <c r="A74" s="39" t="s">
        <v>376</v>
      </c>
      <c r="C74" s="93" t="s">
        <v>527</v>
      </c>
      <c r="D74" s="38" t="s">
        <v>1</v>
      </c>
      <c r="E74" s="93"/>
      <c r="F74" s="93"/>
      <c r="G74" s="94" t="str">
        <f t="shared" si="9"/>
        <v/>
      </c>
      <c r="H74" s="93"/>
      <c r="I74" s="93"/>
      <c r="J74" s="94" t="str">
        <f t="shared" si="10"/>
        <v/>
      </c>
      <c r="K74" s="93"/>
      <c r="L74" s="93"/>
      <c r="M74" s="94" t="str">
        <f t="shared" si="11"/>
        <v/>
      </c>
      <c r="N74" s="94"/>
      <c r="O74" s="93"/>
      <c r="P74" s="93"/>
      <c r="Q74" s="94" t="str">
        <f t="shared" si="12"/>
        <v/>
      </c>
      <c r="R74" s="93"/>
      <c r="S74" s="93"/>
      <c r="T74" s="93"/>
      <c r="U74" s="93"/>
      <c r="V74" s="93"/>
      <c r="W74" s="93"/>
      <c r="X74" s="93"/>
      <c r="Y74" s="93"/>
      <c r="Z74" s="93"/>
      <c r="AA74" s="93" t="s">
        <v>1</v>
      </c>
      <c r="AB74" s="93">
        <v>786</v>
      </c>
      <c r="AC74" s="93">
        <v>8900</v>
      </c>
      <c r="AD74" s="94">
        <f t="shared" si="13"/>
        <v>11.323155216284988</v>
      </c>
      <c r="AE74" s="93"/>
      <c r="AF74" s="93"/>
      <c r="AG74" s="93"/>
      <c r="AH74" s="57"/>
      <c r="AI74" s="57"/>
      <c r="AJ74" s="94" t="str">
        <f t="shared" si="14"/>
        <v/>
      </c>
    </row>
    <row r="75" spans="1:36" x14ac:dyDescent="0.3">
      <c r="A75" s="39" t="s">
        <v>377</v>
      </c>
      <c r="C75" s="93" t="s">
        <v>527</v>
      </c>
      <c r="D75" s="38" t="s">
        <v>1</v>
      </c>
      <c r="E75" s="93"/>
      <c r="F75" s="93"/>
      <c r="G75" s="94" t="str">
        <f t="shared" si="9"/>
        <v/>
      </c>
      <c r="H75" s="93"/>
      <c r="I75" s="93"/>
      <c r="J75" s="94" t="str">
        <f t="shared" si="10"/>
        <v/>
      </c>
      <c r="K75" s="93"/>
      <c r="L75" s="93"/>
      <c r="M75" s="94" t="str">
        <f t="shared" si="11"/>
        <v/>
      </c>
      <c r="N75" s="94"/>
      <c r="O75" s="93"/>
      <c r="P75" s="93"/>
      <c r="Q75" s="94" t="str">
        <f t="shared" si="12"/>
        <v/>
      </c>
      <c r="R75" s="93"/>
      <c r="S75" s="93"/>
      <c r="T75" s="93"/>
      <c r="U75" s="93"/>
      <c r="V75" s="93"/>
      <c r="W75" s="93"/>
      <c r="X75" s="93"/>
      <c r="Y75" s="93"/>
      <c r="Z75" s="93"/>
      <c r="AA75" s="93" t="s">
        <v>1</v>
      </c>
      <c r="AB75" s="93">
        <v>58</v>
      </c>
      <c r="AC75" s="93">
        <v>2100</v>
      </c>
      <c r="AD75" s="94">
        <f t="shared" si="13"/>
        <v>36.206896551724135</v>
      </c>
      <c r="AE75" s="93"/>
      <c r="AF75" s="93"/>
      <c r="AG75" s="93"/>
      <c r="AH75" s="57"/>
      <c r="AI75" s="57"/>
      <c r="AJ75" s="94" t="str">
        <f t="shared" si="14"/>
        <v/>
      </c>
    </row>
    <row r="76" spans="1:36" x14ac:dyDescent="0.3">
      <c r="A76" s="39" t="s">
        <v>225</v>
      </c>
      <c r="C76" s="93" t="s">
        <v>527</v>
      </c>
      <c r="D76" s="38" t="s">
        <v>1</v>
      </c>
      <c r="E76" s="93"/>
      <c r="F76" s="93"/>
      <c r="G76" s="94" t="str">
        <f t="shared" si="9"/>
        <v/>
      </c>
      <c r="H76" s="93"/>
      <c r="I76" s="93"/>
      <c r="J76" s="94" t="str">
        <f t="shared" si="10"/>
        <v/>
      </c>
      <c r="K76" s="93"/>
      <c r="L76" s="93"/>
      <c r="M76" s="94" t="str">
        <f t="shared" si="11"/>
        <v/>
      </c>
      <c r="N76" s="94"/>
      <c r="O76" s="93"/>
      <c r="P76" s="93"/>
      <c r="Q76" s="94" t="str">
        <f t="shared" si="12"/>
        <v/>
      </c>
      <c r="R76" s="93"/>
      <c r="S76" s="93"/>
      <c r="T76" s="93"/>
      <c r="U76" s="93"/>
      <c r="V76" s="93"/>
      <c r="W76" s="93"/>
      <c r="X76" s="93"/>
      <c r="Y76" s="93"/>
      <c r="Z76" s="93"/>
      <c r="AA76" s="93" t="s">
        <v>1</v>
      </c>
      <c r="AB76" s="93">
        <f>42</f>
        <v>42</v>
      </c>
      <c r="AC76" s="93">
        <v>3300</v>
      </c>
      <c r="AD76" s="94">
        <f t="shared" si="13"/>
        <v>78.571428571428569</v>
      </c>
      <c r="AE76" s="93"/>
      <c r="AF76" s="93"/>
      <c r="AG76" s="93"/>
      <c r="AH76" s="57">
        <v>1</v>
      </c>
      <c r="AI76" s="57">
        <v>900</v>
      </c>
      <c r="AJ76" s="94">
        <f t="shared" si="14"/>
        <v>900</v>
      </c>
    </row>
    <row r="77" spans="1:36" x14ac:dyDescent="0.3">
      <c r="A77" s="39" t="s">
        <v>227</v>
      </c>
      <c r="C77" s="93" t="s">
        <v>527</v>
      </c>
      <c r="D77" s="38" t="s">
        <v>1</v>
      </c>
      <c r="E77" s="93"/>
      <c r="F77" s="93"/>
      <c r="G77" s="94" t="str">
        <f t="shared" si="9"/>
        <v/>
      </c>
      <c r="H77" s="93"/>
      <c r="I77" s="93"/>
      <c r="J77" s="94" t="str">
        <f t="shared" si="10"/>
        <v/>
      </c>
      <c r="K77" s="93"/>
      <c r="L77" s="93"/>
      <c r="M77" s="94" t="str">
        <f t="shared" si="11"/>
        <v/>
      </c>
      <c r="N77" s="94"/>
      <c r="O77" s="93"/>
      <c r="P77" s="93"/>
      <c r="Q77" s="94" t="str">
        <f t="shared" si="12"/>
        <v/>
      </c>
      <c r="R77" s="93"/>
      <c r="S77" s="93"/>
      <c r="T77" s="93"/>
      <c r="U77" s="93"/>
      <c r="V77" s="93"/>
      <c r="W77" s="93"/>
      <c r="X77" s="93"/>
      <c r="Y77" s="93"/>
      <c r="Z77" s="93"/>
      <c r="AA77" s="93" t="s">
        <v>1</v>
      </c>
      <c r="AB77" s="93"/>
      <c r="AC77" s="93"/>
      <c r="AD77" s="94" t="str">
        <f t="shared" si="13"/>
        <v/>
      </c>
      <c r="AE77" s="93"/>
      <c r="AF77" s="93"/>
      <c r="AG77" s="93"/>
      <c r="AH77" s="57">
        <v>57</v>
      </c>
      <c r="AI77" s="57">
        <v>1300</v>
      </c>
      <c r="AJ77" s="94">
        <f t="shared" si="14"/>
        <v>22.807017543859651</v>
      </c>
    </row>
    <row r="78" spans="1:36" x14ac:dyDescent="0.3">
      <c r="A78" s="39" t="s">
        <v>228</v>
      </c>
      <c r="C78" s="93" t="s">
        <v>527</v>
      </c>
      <c r="D78" s="38" t="s">
        <v>1</v>
      </c>
      <c r="E78" s="93"/>
      <c r="F78" s="93"/>
      <c r="G78" s="94" t="str">
        <f t="shared" si="9"/>
        <v/>
      </c>
      <c r="H78" s="93"/>
      <c r="I78" s="93"/>
      <c r="J78" s="94" t="str">
        <f t="shared" si="10"/>
        <v/>
      </c>
      <c r="K78" s="93"/>
      <c r="L78" s="93"/>
      <c r="M78" s="94" t="str">
        <f t="shared" si="11"/>
        <v/>
      </c>
      <c r="N78" s="94"/>
      <c r="O78" s="93"/>
      <c r="P78" s="93"/>
      <c r="Q78" s="94" t="str">
        <f t="shared" si="12"/>
        <v/>
      </c>
      <c r="R78" s="93"/>
      <c r="S78" s="93"/>
      <c r="T78" s="93"/>
      <c r="U78" s="93"/>
      <c r="V78" s="93"/>
      <c r="W78" s="93"/>
      <c r="X78" s="93"/>
      <c r="Y78" s="93"/>
      <c r="Z78" s="93"/>
      <c r="AA78" s="93" t="s">
        <v>1</v>
      </c>
      <c r="AB78" s="93"/>
      <c r="AC78" s="93"/>
      <c r="AD78" s="94" t="str">
        <f t="shared" si="13"/>
        <v/>
      </c>
      <c r="AE78" s="93"/>
      <c r="AF78" s="93"/>
      <c r="AG78" s="93"/>
      <c r="AH78" s="57">
        <v>168</v>
      </c>
      <c r="AI78" s="57">
        <v>1500</v>
      </c>
      <c r="AJ78" s="94">
        <f t="shared" si="14"/>
        <v>8.9285714285714288</v>
      </c>
    </row>
    <row r="79" spans="1:36" x14ac:dyDescent="0.3">
      <c r="A79" s="39" t="s">
        <v>6</v>
      </c>
      <c r="C79" s="93" t="s">
        <v>527</v>
      </c>
      <c r="D79" s="38" t="s">
        <v>1</v>
      </c>
      <c r="E79" s="93"/>
      <c r="F79" s="93"/>
      <c r="G79" s="94" t="str">
        <f t="shared" si="9"/>
        <v/>
      </c>
      <c r="H79" s="93"/>
      <c r="I79" s="93"/>
      <c r="J79" s="94" t="str">
        <f t="shared" si="10"/>
        <v/>
      </c>
      <c r="K79" s="93"/>
      <c r="L79" s="93"/>
      <c r="M79" s="94" t="str">
        <f t="shared" si="11"/>
        <v/>
      </c>
      <c r="N79" s="94"/>
      <c r="O79" s="93"/>
      <c r="P79" s="93"/>
      <c r="Q79" s="94" t="str">
        <f t="shared" si="12"/>
        <v/>
      </c>
      <c r="R79" s="93"/>
      <c r="S79" s="93"/>
      <c r="T79" s="93"/>
      <c r="U79" s="93"/>
      <c r="V79" s="93"/>
      <c r="W79" s="93"/>
      <c r="X79" s="93"/>
      <c r="Y79" s="93"/>
      <c r="Z79" s="93"/>
      <c r="AA79" s="93" t="s">
        <v>1</v>
      </c>
      <c r="AB79" s="93">
        <v>97</v>
      </c>
      <c r="AC79" s="93">
        <v>13700</v>
      </c>
      <c r="AD79" s="94">
        <f t="shared" si="13"/>
        <v>141.23711340206185</v>
      </c>
      <c r="AE79" s="93"/>
      <c r="AF79" s="93"/>
      <c r="AG79" s="93"/>
      <c r="AH79" s="57">
        <v>59</v>
      </c>
      <c r="AI79" s="57">
        <v>4600</v>
      </c>
      <c r="AJ79" s="94">
        <f t="shared" si="14"/>
        <v>77.966101694915253</v>
      </c>
    </row>
    <row r="80" spans="1:36" x14ac:dyDescent="0.3">
      <c r="A80" s="39" t="s">
        <v>12</v>
      </c>
      <c r="C80" s="93" t="s">
        <v>527</v>
      </c>
      <c r="D80" s="38" t="s">
        <v>1</v>
      </c>
      <c r="E80" s="93"/>
      <c r="F80" s="93"/>
      <c r="G80" s="94" t="str">
        <f t="shared" si="9"/>
        <v/>
      </c>
      <c r="H80" s="93"/>
      <c r="I80" s="93"/>
      <c r="J80" s="94" t="str">
        <f t="shared" si="10"/>
        <v/>
      </c>
      <c r="K80" s="93"/>
      <c r="L80" s="93"/>
      <c r="M80" s="94" t="str">
        <f t="shared" si="11"/>
        <v/>
      </c>
      <c r="N80" s="94"/>
      <c r="O80" s="93"/>
      <c r="P80" s="93"/>
      <c r="Q80" s="94" t="str">
        <f t="shared" si="12"/>
        <v/>
      </c>
      <c r="R80" s="93"/>
      <c r="S80" s="93"/>
      <c r="T80" s="93"/>
      <c r="U80" s="93"/>
      <c r="V80" s="93"/>
      <c r="W80" s="93"/>
      <c r="X80" s="93"/>
      <c r="Y80" s="93"/>
      <c r="Z80" s="93"/>
      <c r="AA80" s="93" t="s">
        <v>1</v>
      </c>
      <c r="AB80" s="93">
        <v>29</v>
      </c>
      <c r="AC80" s="93">
        <v>3900</v>
      </c>
      <c r="AD80" s="94">
        <f t="shared" si="13"/>
        <v>134.48275862068965</v>
      </c>
      <c r="AE80" s="93"/>
      <c r="AF80" s="93"/>
      <c r="AG80" s="93"/>
      <c r="AH80" s="57"/>
      <c r="AI80" s="57"/>
      <c r="AJ80" s="94" t="str">
        <f t="shared" si="14"/>
        <v/>
      </c>
    </row>
    <row r="81" spans="1:36" x14ac:dyDescent="0.3">
      <c r="A81" s="39" t="s">
        <v>378</v>
      </c>
      <c r="C81" s="93" t="s">
        <v>527</v>
      </c>
      <c r="D81" s="38" t="s">
        <v>1</v>
      </c>
      <c r="E81" s="93"/>
      <c r="F81" s="93"/>
      <c r="G81" s="94" t="str">
        <f t="shared" si="9"/>
        <v/>
      </c>
      <c r="H81" s="93"/>
      <c r="I81" s="93"/>
      <c r="J81" s="94" t="str">
        <f t="shared" si="10"/>
        <v/>
      </c>
      <c r="K81" s="93"/>
      <c r="L81" s="93"/>
      <c r="M81" s="94" t="str">
        <f t="shared" si="11"/>
        <v/>
      </c>
      <c r="N81" s="94"/>
      <c r="O81" s="93"/>
      <c r="P81" s="93"/>
      <c r="Q81" s="94" t="str">
        <f t="shared" si="12"/>
        <v/>
      </c>
      <c r="R81" s="93"/>
      <c r="S81" s="93"/>
      <c r="T81" s="93"/>
      <c r="U81" s="93"/>
      <c r="V81" s="93"/>
      <c r="W81" s="93"/>
      <c r="X81" s="93"/>
      <c r="Y81" s="93"/>
      <c r="Z81" s="93"/>
      <c r="AA81" s="93" t="s">
        <v>1</v>
      </c>
      <c r="AB81" s="93">
        <f>65+27</f>
        <v>92</v>
      </c>
      <c r="AC81" s="93">
        <f>2400+1800</f>
        <v>4200</v>
      </c>
      <c r="AD81" s="94">
        <f t="shared" si="13"/>
        <v>45.652173913043477</v>
      </c>
      <c r="AE81" s="93"/>
      <c r="AF81" s="93"/>
      <c r="AG81" s="93"/>
      <c r="AH81" s="57"/>
      <c r="AI81" s="57"/>
      <c r="AJ81" s="94" t="str">
        <f t="shared" si="14"/>
        <v/>
      </c>
    </row>
    <row r="82" spans="1:36" x14ac:dyDescent="0.3">
      <c r="A82" s="39" t="s">
        <v>229</v>
      </c>
      <c r="C82" s="93" t="s">
        <v>527</v>
      </c>
      <c r="D82" s="38" t="s">
        <v>1</v>
      </c>
      <c r="E82" s="93"/>
      <c r="F82" s="93"/>
      <c r="G82" s="94" t="str">
        <f t="shared" si="9"/>
        <v/>
      </c>
      <c r="H82" s="93"/>
      <c r="I82" s="93"/>
      <c r="J82" s="94" t="str">
        <f t="shared" si="10"/>
        <v/>
      </c>
      <c r="K82" s="93"/>
      <c r="L82" s="93"/>
      <c r="M82" s="94" t="str">
        <f t="shared" si="11"/>
        <v/>
      </c>
      <c r="N82" s="94"/>
      <c r="O82" s="93"/>
      <c r="P82" s="93"/>
      <c r="Q82" s="94" t="str">
        <f t="shared" si="12"/>
        <v/>
      </c>
      <c r="R82" s="93"/>
      <c r="S82" s="93"/>
      <c r="T82" s="93"/>
      <c r="U82" s="93"/>
      <c r="V82" s="93"/>
      <c r="W82" s="93"/>
      <c r="X82" s="93"/>
      <c r="Y82" s="93"/>
      <c r="Z82" s="93"/>
      <c r="AA82" s="93" t="s">
        <v>1</v>
      </c>
      <c r="AB82" s="93">
        <v>509</v>
      </c>
      <c r="AC82" s="93">
        <v>9100</v>
      </c>
      <c r="AD82" s="94">
        <f t="shared" si="13"/>
        <v>17.878192534381139</v>
      </c>
      <c r="AE82" s="93"/>
      <c r="AF82" s="93"/>
      <c r="AG82" s="93"/>
      <c r="AH82" s="57">
        <v>47</v>
      </c>
      <c r="AI82" s="57">
        <v>1100</v>
      </c>
      <c r="AJ82" s="94">
        <f t="shared" si="14"/>
        <v>23.404255319148938</v>
      </c>
    </row>
    <row r="83" spans="1:36" x14ac:dyDescent="0.3">
      <c r="A83" s="39" t="s">
        <v>230</v>
      </c>
      <c r="C83" s="93" t="s">
        <v>527</v>
      </c>
      <c r="D83" s="38" t="s">
        <v>1</v>
      </c>
      <c r="E83" s="93"/>
      <c r="F83" s="93"/>
      <c r="G83" s="94" t="str">
        <f t="shared" si="9"/>
        <v/>
      </c>
      <c r="H83" s="93"/>
      <c r="I83" s="93"/>
      <c r="J83" s="94" t="str">
        <f t="shared" si="10"/>
        <v/>
      </c>
      <c r="K83" s="93"/>
      <c r="L83" s="93"/>
      <c r="M83" s="94" t="str">
        <f t="shared" si="11"/>
        <v/>
      </c>
      <c r="N83" s="94"/>
      <c r="O83" s="93"/>
      <c r="P83" s="93"/>
      <c r="Q83" s="94" t="str">
        <f t="shared" si="12"/>
        <v/>
      </c>
      <c r="R83" s="93"/>
      <c r="S83" s="93"/>
      <c r="T83" s="93"/>
      <c r="U83" s="93"/>
      <c r="V83" s="93"/>
      <c r="W83" s="93"/>
      <c r="X83" s="93"/>
      <c r="Y83" s="93"/>
      <c r="Z83" s="93"/>
      <c r="AA83" s="93" t="s">
        <v>1</v>
      </c>
      <c r="AB83" s="93">
        <v>114</v>
      </c>
      <c r="AC83" s="93">
        <v>14000</v>
      </c>
      <c r="AD83" s="94">
        <f t="shared" si="13"/>
        <v>122.80701754385964</v>
      </c>
      <c r="AE83" s="93"/>
      <c r="AF83" s="93"/>
      <c r="AG83" s="93"/>
      <c r="AH83" s="57">
        <v>61</v>
      </c>
      <c r="AI83" s="57">
        <v>1700</v>
      </c>
      <c r="AJ83" s="94">
        <f t="shared" si="14"/>
        <v>27.868852459016395</v>
      </c>
    </row>
    <row r="84" spans="1:36" x14ac:dyDescent="0.3">
      <c r="A84" s="39" t="s">
        <v>231</v>
      </c>
      <c r="C84" s="93" t="s">
        <v>527</v>
      </c>
      <c r="D84" s="38" t="s">
        <v>1</v>
      </c>
      <c r="E84" s="93"/>
      <c r="F84" s="93"/>
      <c r="G84" s="94" t="str">
        <f t="shared" si="9"/>
        <v/>
      </c>
      <c r="H84" s="93"/>
      <c r="I84" s="93"/>
      <c r="J84" s="94" t="str">
        <f t="shared" si="10"/>
        <v/>
      </c>
      <c r="K84" s="93"/>
      <c r="L84" s="93"/>
      <c r="M84" s="94" t="str">
        <f t="shared" si="11"/>
        <v/>
      </c>
      <c r="N84" s="94"/>
      <c r="O84" s="93"/>
      <c r="P84" s="93"/>
      <c r="Q84" s="94" t="str">
        <f t="shared" si="12"/>
        <v/>
      </c>
      <c r="R84" s="93"/>
      <c r="S84" s="93"/>
      <c r="T84" s="93"/>
      <c r="U84" s="93"/>
      <c r="V84" s="93"/>
      <c r="W84" s="93"/>
      <c r="X84" s="93"/>
      <c r="Y84" s="93"/>
      <c r="Z84" s="93"/>
      <c r="AA84" s="93" t="s">
        <v>1</v>
      </c>
      <c r="AB84" s="93">
        <v>329</v>
      </c>
      <c r="AC84" s="93">
        <v>7600</v>
      </c>
      <c r="AD84" s="94">
        <f t="shared" si="13"/>
        <v>23.100303951367781</v>
      </c>
      <c r="AE84" s="93"/>
      <c r="AF84" s="93"/>
      <c r="AG84" s="93"/>
      <c r="AH84" s="57">
        <v>226</v>
      </c>
      <c r="AI84" s="57">
        <v>4400</v>
      </c>
      <c r="AJ84" s="94">
        <f t="shared" si="14"/>
        <v>19.469026548672566</v>
      </c>
    </row>
    <row r="85" spans="1:36" x14ac:dyDescent="0.3">
      <c r="A85" s="39" t="s">
        <v>623</v>
      </c>
      <c r="C85" s="93" t="s">
        <v>527</v>
      </c>
      <c r="D85" s="38" t="s">
        <v>1</v>
      </c>
      <c r="E85" s="93"/>
      <c r="F85" s="93"/>
      <c r="G85" s="94" t="str">
        <f t="shared" si="9"/>
        <v/>
      </c>
      <c r="H85" s="93"/>
      <c r="I85" s="93"/>
      <c r="J85" s="94" t="str">
        <f t="shared" si="10"/>
        <v/>
      </c>
      <c r="K85" s="93"/>
      <c r="L85" s="93"/>
      <c r="M85" s="94" t="str">
        <f t="shared" si="11"/>
        <v/>
      </c>
      <c r="N85" s="94"/>
      <c r="O85" s="93"/>
      <c r="P85" s="93"/>
      <c r="Q85" s="94" t="str">
        <f t="shared" si="12"/>
        <v/>
      </c>
      <c r="R85" s="93"/>
      <c r="S85" s="93"/>
      <c r="T85" s="93"/>
      <c r="U85" s="93"/>
      <c r="V85" s="93"/>
      <c r="W85" s="93"/>
      <c r="X85" s="93"/>
      <c r="Y85" s="93"/>
      <c r="Z85" s="93"/>
      <c r="AA85" s="93" t="s">
        <v>1</v>
      </c>
      <c r="AB85" s="93">
        <v>76</v>
      </c>
      <c r="AC85" s="93">
        <v>3900</v>
      </c>
      <c r="AD85" s="94">
        <f t="shared" si="13"/>
        <v>51.315789473684212</v>
      </c>
      <c r="AE85" s="93"/>
      <c r="AF85" s="93"/>
      <c r="AG85" s="93"/>
      <c r="AH85" s="57">
        <v>21</v>
      </c>
      <c r="AI85" s="57">
        <v>1300</v>
      </c>
      <c r="AJ85" s="94">
        <f t="shared" si="14"/>
        <v>61.904761904761905</v>
      </c>
    </row>
    <row r="86" spans="1:36" x14ac:dyDescent="0.3">
      <c r="A86" s="39" t="s">
        <v>379</v>
      </c>
      <c r="C86" s="93" t="s">
        <v>527</v>
      </c>
      <c r="D86" s="38" t="s">
        <v>1</v>
      </c>
      <c r="E86" s="93"/>
      <c r="F86" s="93"/>
      <c r="G86" s="94" t="str">
        <f t="shared" si="9"/>
        <v/>
      </c>
      <c r="H86" s="93"/>
      <c r="I86" s="93"/>
      <c r="J86" s="94" t="str">
        <f t="shared" si="10"/>
        <v/>
      </c>
      <c r="K86" s="93"/>
      <c r="L86" s="93"/>
      <c r="M86" s="94" t="str">
        <f t="shared" si="11"/>
        <v/>
      </c>
      <c r="N86" s="94"/>
      <c r="O86" s="93"/>
      <c r="P86" s="93"/>
      <c r="Q86" s="94" t="str">
        <f t="shared" si="12"/>
        <v/>
      </c>
      <c r="R86" s="93"/>
      <c r="S86" s="93"/>
      <c r="T86" s="93"/>
      <c r="U86" s="93"/>
      <c r="V86" s="93"/>
      <c r="W86" s="93"/>
      <c r="X86" s="93"/>
      <c r="Y86" s="93"/>
      <c r="Z86" s="93"/>
      <c r="AA86" s="93" t="s">
        <v>1</v>
      </c>
      <c r="AB86" s="93">
        <v>410</v>
      </c>
      <c r="AC86" s="93">
        <v>5800</v>
      </c>
      <c r="AD86" s="94">
        <f t="shared" si="13"/>
        <v>14.146341463414634</v>
      </c>
      <c r="AE86" s="93"/>
      <c r="AF86" s="93"/>
      <c r="AG86" s="93"/>
      <c r="AH86" s="57"/>
      <c r="AI86" s="57"/>
      <c r="AJ86" s="94" t="str">
        <f t="shared" si="14"/>
        <v/>
      </c>
    </row>
    <row r="87" spans="1:36" x14ac:dyDescent="0.3">
      <c r="A87" s="39" t="s">
        <v>624</v>
      </c>
      <c r="C87" s="93" t="s">
        <v>527</v>
      </c>
      <c r="D87" s="38" t="s">
        <v>1</v>
      </c>
      <c r="E87" s="93"/>
      <c r="F87" s="93"/>
      <c r="G87" s="94" t="str">
        <f t="shared" si="9"/>
        <v/>
      </c>
      <c r="H87" s="93"/>
      <c r="I87" s="93"/>
      <c r="J87" s="94" t="str">
        <f t="shared" si="10"/>
        <v/>
      </c>
      <c r="K87" s="93"/>
      <c r="L87" s="93"/>
      <c r="M87" s="94" t="str">
        <f t="shared" si="11"/>
        <v/>
      </c>
      <c r="N87" s="94"/>
      <c r="O87" s="93"/>
      <c r="P87" s="93"/>
      <c r="Q87" s="94" t="str">
        <f t="shared" si="12"/>
        <v/>
      </c>
      <c r="R87" s="93"/>
      <c r="S87" s="93"/>
      <c r="T87" s="93"/>
      <c r="U87" s="93"/>
      <c r="V87" s="93"/>
      <c r="W87" s="93"/>
      <c r="X87" s="93"/>
      <c r="Y87" s="93"/>
      <c r="Z87" s="93"/>
      <c r="AA87" s="93" t="s">
        <v>1</v>
      </c>
      <c r="AB87" s="93">
        <v>955</v>
      </c>
      <c r="AC87" s="93">
        <v>59000</v>
      </c>
      <c r="AD87" s="94">
        <f t="shared" si="13"/>
        <v>61.780104712041883</v>
      </c>
      <c r="AE87" s="93"/>
      <c r="AF87" s="93"/>
      <c r="AG87" s="93"/>
      <c r="AH87" s="57">
        <v>77</v>
      </c>
      <c r="AI87" s="57">
        <v>3700</v>
      </c>
      <c r="AJ87" s="94">
        <f t="shared" si="14"/>
        <v>48.051948051948052</v>
      </c>
    </row>
    <row r="88" spans="1:36" x14ac:dyDescent="0.3">
      <c r="A88" s="39" t="s">
        <v>149</v>
      </c>
      <c r="C88" s="93" t="s">
        <v>527</v>
      </c>
      <c r="D88" s="38" t="s">
        <v>1</v>
      </c>
      <c r="E88" s="93"/>
      <c r="F88" s="93"/>
      <c r="G88" s="94" t="str">
        <f t="shared" si="9"/>
        <v/>
      </c>
      <c r="H88" s="93"/>
      <c r="I88" s="93"/>
      <c r="J88" s="94" t="str">
        <f t="shared" si="10"/>
        <v/>
      </c>
      <c r="K88" s="93"/>
      <c r="L88" s="93"/>
      <c r="M88" s="94" t="str">
        <f t="shared" si="11"/>
        <v/>
      </c>
      <c r="N88" s="94"/>
      <c r="O88" s="93"/>
      <c r="P88" s="93"/>
      <c r="Q88" s="94" t="str">
        <f t="shared" si="12"/>
        <v/>
      </c>
      <c r="R88" s="93"/>
      <c r="S88" s="93"/>
      <c r="T88" s="93"/>
      <c r="U88" s="93"/>
      <c r="V88" s="93"/>
      <c r="W88" s="93"/>
      <c r="X88" s="93"/>
      <c r="Y88" s="93"/>
      <c r="Z88" s="93"/>
      <c r="AA88" s="93" t="s">
        <v>1</v>
      </c>
      <c r="AB88" s="93"/>
      <c r="AC88" s="93"/>
      <c r="AD88" s="94" t="str">
        <f t="shared" si="13"/>
        <v/>
      </c>
      <c r="AE88" s="93"/>
      <c r="AF88" s="93"/>
      <c r="AG88" s="93"/>
      <c r="AH88" s="57">
        <v>19</v>
      </c>
      <c r="AI88" s="57">
        <v>3800</v>
      </c>
      <c r="AJ88" s="94">
        <f t="shared" si="14"/>
        <v>200</v>
      </c>
    </row>
    <row r="89" spans="1:36" x14ac:dyDescent="0.3">
      <c r="A89" s="39" t="s">
        <v>232</v>
      </c>
      <c r="C89" s="93" t="s">
        <v>527</v>
      </c>
      <c r="D89" s="38" t="s">
        <v>1</v>
      </c>
      <c r="E89" s="93"/>
      <c r="F89" s="93"/>
      <c r="G89" s="94" t="str">
        <f t="shared" si="9"/>
        <v/>
      </c>
      <c r="H89" s="93"/>
      <c r="I89" s="93"/>
      <c r="J89" s="94" t="str">
        <f t="shared" si="10"/>
        <v/>
      </c>
      <c r="K89" s="93"/>
      <c r="L89" s="93"/>
      <c r="M89" s="94" t="str">
        <f t="shared" si="11"/>
        <v/>
      </c>
      <c r="N89" s="94"/>
      <c r="O89" s="93"/>
      <c r="P89" s="93"/>
      <c r="Q89" s="94" t="str">
        <f t="shared" si="12"/>
        <v/>
      </c>
      <c r="R89" s="93"/>
      <c r="S89" s="93"/>
      <c r="T89" s="93"/>
      <c r="U89" s="93"/>
      <c r="V89" s="93"/>
      <c r="W89" s="93"/>
      <c r="X89" s="93"/>
      <c r="Y89" s="93"/>
      <c r="Z89" s="93"/>
      <c r="AA89" s="93" t="s">
        <v>1</v>
      </c>
      <c r="AB89" s="93">
        <f>12+21+149</f>
        <v>182</v>
      </c>
      <c r="AC89" s="93">
        <f>2000+2500+18000</f>
        <v>22500</v>
      </c>
      <c r="AD89" s="94">
        <f t="shared" si="13"/>
        <v>123.62637362637362</v>
      </c>
      <c r="AE89" s="93"/>
      <c r="AF89" s="93"/>
      <c r="AG89" s="93"/>
      <c r="AH89" s="57">
        <v>17</v>
      </c>
      <c r="AI89" s="57">
        <v>2600</v>
      </c>
      <c r="AJ89" s="94">
        <f t="shared" si="14"/>
        <v>152.94117647058823</v>
      </c>
    </row>
    <row r="90" spans="1:36" x14ac:dyDescent="0.3">
      <c r="A90" s="39" t="s">
        <v>36</v>
      </c>
      <c r="C90" s="93" t="s">
        <v>527</v>
      </c>
      <c r="D90" s="38" t="s">
        <v>1</v>
      </c>
      <c r="E90" s="93"/>
      <c r="F90" s="93"/>
      <c r="G90" s="94" t="str">
        <f t="shared" si="9"/>
        <v/>
      </c>
      <c r="H90" s="93"/>
      <c r="I90" s="93"/>
      <c r="J90" s="94" t="str">
        <f t="shared" si="10"/>
        <v/>
      </c>
      <c r="K90" s="93"/>
      <c r="L90" s="93"/>
      <c r="M90" s="94" t="str">
        <f t="shared" si="11"/>
        <v/>
      </c>
      <c r="N90" s="94"/>
      <c r="O90" s="93"/>
      <c r="P90" s="93"/>
      <c r="Q90" s="94" t="str">
        <f t="shared" si="12"/>
        <v/>
      </c>
      <c r="R90" s="93"/>
      <c r="S90" s="93"/>
      <c r="T90" s="93"/>
      <c r="U90" s="93"/>
      <c r="V90" s="93"/>
      <c r="W90" s="93"/>
      <c r="X90" s="93"/>
      <c r="Y90" s="93"/>
      <c r="Z90" s="93"/>
      <c r="AA90" s="93" t="s">
        <v>1</v>
      </c>
      <c r="AB90" s="93">
        <f>14457</f>
        <v>14457</v>
      </c>
      <c r="AC90" s="93">
        <v>40000</v>
      </c>
      <c r="AD90" s="94">
        <f t="shared" si="13"/>
        <v>2.7668257591478178</v>
      </c>
      <c r="AE90" s="93"/>
      <c r="AF90" s="93"/>
      <c r="AG90" s="93"/>
      <c r="AH90" s="57">
        <v>4968</v>
      </c>
      <c r="AI90" s="57">
        <v>12300</v>
      </c>
      <c r="AJ90" s="94">
        <f t="shared" si="14"/>
        <v>2.4758454106280192</v>
      </c>
    </row>
    <row r="91" spans="1:36" x14ac:dyDescent="0.3">
      <c r="A91" s="39" t="s">
        <v>202</v>
      </c>
      <c r="C91" s="93" t="s">
        <v>527</v>
      </c>
      <c r="D91" s="38" t="s">
        <v>1</v>
      </c>
      <c r="E91" s="93"/>
      <c r="F91" s="93"/>
      <c r="G91" s="94" t="str">
        <f t="shared" si="9"/>
        <v/>
      </c>
      <c r="H91" s="93"/>
      <c r="I91" s="93"/>
      <c r="J91" s="94" t="str">
        <f t="shared" si="10"/>
        <v/>
      </c>
      <c r="K91" s="93"/>
      <c r="L91" s="93"/>
      <c r="M91" s="94" t="str">
        <f t="shared" si="11"/>
        <v/>
      </c>
      <c r="N91" s="94"/>
      <c r="O91" s="93"/>
      <c r="P91" s="93"/>
      <c r="Q91" s="94" t="str">
        <f t="shared" si="12"/>
        <v/>
      </c>
      <c r="R91" s="93"/>
      <c r="S91" s="93"/>
      <c r="T91" s="93"/>
      <c r="U91" s="93"/>
      <c r="V91" s="93"/>
      <c r="W91" s="93"/>
      <c r="X91" s="93"/>
      <c r="Y91" s="93"/>
      <c r="Z91" s="93"/>
      <c r="AA91" s="93" t="s">
        <v>1</v>
      </c>
      <c r="AB91" s="93">
        <f>7750+1319</f>
        <v>9069</v>
      </c>
      <c r="AC91" s="93">
        <f>11000+12000</f>
        <v>23000</v>
      </c>
      <c r="AD91" s="94">
        <f t="shared" si="13"/>
        <v>2.5361120299922812</v>
      </c>
      <c r="AE91" s="93"/>
      <c r="AF91" s="93"/>
      <c r="AG91" s="93"/>
      <c r="AH91" s="57">
        <v>660</v>
      </c>
      <c r="AI91" s="57">
        <v>1100</v>
      </c>
      <c r="AJ91" s="94">
        <f t="shared" si="14"/>
        <v>1.6666666666666667</v>
      </c>
    </row>
    <row r="92" spans="1:36" x14ac:dyDescent="0.3">
      <c r="A92" s="39" t="s">
        <v>385</v>
      </c>
      <c r="C92" s="93" t="s">
        <v>527</v>
      </c>
      <c r="D92" s="38" t="s">
        <v>1</v>
      </c>
      <c r="E92" s="93"/>
      <c r="F92" s="93"/>
      <c r="G92" s="94" t="str">
        <f t="shared" si="9"/>
        <v/>
      </c>
      <c r="H92" s="93"/>
      <c r="I92" s="93"/>
      <c r="J92" s="94" t="str">
        <f t="shared" si="10"/>
        <v/>
      </c>
      <c r="K92" s="93"/>
      <c r="L92" s="93"/>
      <c r="M92" s="94" t="str">
        <f t="shared" si="11"/>
        <v/>
      </c>
      <c r="N92" s="94"/>
      <c r="O92" s="93"/>
      <c r="P92" s="93"/>
      <c r="Q92" s="94" t="str">
        <f t="shared" si="12"/>
        <v/>
      </c>
      <c r="R92" s="93"/>
      <c r="S92" s="93"/>
      <c r="T92" s="93"/>
      <c r="U92" s="93"/>
      <c r="V92" s="93"/>
      <c r="W92" s="93"/>
      <c r="X92" s="93"/>
      <c r="Y92" s="93"/>
      <c r="Z92" s="93"/>
      <c r="AA92" s="93" t="s">
        <v>1</v>
      </c>
      <c r="AB92" s="93">
        <v>3921</v>
      </c>
      <c r="AC92" s="93">
        <v>10000</v>
      </c>
      <c r="AD92" s="94">
        <f t="shared" si="13"/>
        <v>2.5503698036215252</v>
      </c>
      <c r="AE92" s="93"/>
      <c r="AF92" s="93"/>
      <c r="AG92" s="93"/>
      <c r="AH92" s="57"/>
      <c r="AI92" s="57"/>
      <c r="AJ92" s="94" t="str">
        <f t="shared" si="14"/>
        <v/>
      </c>
    </row>
    <row r="93" spans="1:36" x14ac:dyDescent="0.3">
      <c r="A93" s="39" t="s">
        <v>386</v>
      </c>
      <c r="C93" s="93" t="s">
        <v>527</v>
      </c>
      <c r="D93" s="38" t="s">
        <v>1</v>
      </c>
      <c r="E93" s="93"/>
      <c r="F93" s="93"/>
      <c r="G93" s="94" t="str">
        <f t="shared" si="9"/>
        <v/>
      </c>
      <c r="H93" s="93"/>
      <c r="I93" s="93"/>
      <c r="J93" s="94" t="str">
        <f t="shared" si="10"/>
        <v/>
      </c>
      <c r="K93" s="93"/>
      <c r="L93" s="93"/>
      <c r="M93" s="94" t="str">
        <f t="shared" si="11"/>
        <v/>
      </c>
      <c r="N93" s="94"/>
      <c r="O93" s="93"/>
      <c r="P93" s="93"/>
      <c r="Q93" s="94" t="str">
        <f t="shared" si="12"/>
        <v/>
      </c>
      <c r="R93" s="93"/>
      <c r="S93" s="93"/>
      <c r="T93" s="93"/>
      <c r="U93" s="93"/>
      <c r="V93" s="93"/>
      <c r="W93" s="93"/>
      <c r="X93" s="93"/>
      <c r="Y93" s="93"/>
      <c r="Z93" s="93"/>
      <c r="AA93" s="93" t="s">
        <v>1</v>
      </c>
      <c r="AB93" s="93">
        <v>196</v>
      </c>
      <c r="AC93" s="93">
        <v>1200</v>
      </c>
      <c r="AD93" s="94">
        <f t="shared" si="13"/>
        <v>6.1224489795918364</v>
      </c>
      <c r="AE93" s="93"/>
      <c r="AF93" s="93"/>
      <c r="AG93" s="93"/>
      <c r="AH93" s="57"/>
      <c r="AI93" s="57"/>
      <c r="AJ93" s="94" t="str">
        <f t="shared" si="14"/>
        <v/>
      </c>
    </row>
    <row r="94" spans="1:36" x14ac:dyDescent="0.3">
      <c r="A94" s="39" t="s">
        <v>387</v>
      </c>
      <c r="C94" s="93" t="s">
        <v>527</v>
      </c>
      <c r="D94" s="38" t="s">
        <v>1</v>
      </c>
      <c r="E94" s="93"/>
      <c r="F94" s="93"/>
      <c r="G94" s="94" t="str">
        <f t="shared" si="9"/>
        <v/>
      </c>
      <c r="H94" s="93"/>
      <c r="I94" s="93"/>
      <c r="J94" s="94" t="str">
        <f t="shared" si="10"/>
        <v/>
      </c>
      <c r="K94" s="93"/>
      <c r="L94" s="93"/>
      <c r="M94" s="94" t="str">
        <f t="shared" si="11"/>
        <v/>
      </c>
      <c r="N94" s="94"/>
      <c r="O94" s="93"/>
      <c r="P94" s="93"/>
      <c r="Q94" s="94" t="str">
        <f t="shared" si="12"/>
        <v/>
      </c>
      <c r="R94" s="93"/>
      <c r="S94" s="93"/>
      <c r="T94" s="93"/>
      <c r="U94" s="93"/>
      <c r="V94" s="93"/>
      <c r="W94" s="93"/>
      <c r="X94" s="93"/>
      <c r="Y94" s="93"/>
      <c r="Z94" s="93"/>
      <c r="AA94" s="93" t="s">
        <v>1</v>
      </c>
      <c r="AB94" s="93">
        <v>1119</v>
      </c>
      <c r="AC94" s="93">
        <v>19000</v>
      </c>
      <c r="AD94" s="94">
        <f t="shared" si="13"/>
        <v>16.979445933869528</v>
      </c>
      <c r="AE94" s="93"/>
      <c r="AF94" s="93"/>
      <c r="AG94" s="93"/>
      <c r="AH94" s="57"/>
      <c r="AI94" s="57"/>
      <c r="AJ94" s="94" t="str">
        <f t="shared" si="14"/>
        <v/>
      </c>
    </row>
    <row r="95" spans="1:36" x14ac:dyDescent="0.3">
      <c r="A95" s="39" t="s">
        <v>388</v>
      </c>
      <c r="C95" s="93" t="s">
        <v>527</v>
      </c>
      <c r="D95" s="38" t="s">
        <v>1</v>
      </c>
      <c r="E95" s="93"/>
      <c r="F95" s="93"/>
      <c r="G95" s="94" t="str">
        <f t="shared" si="9"/>
        <v/>
      </c>
      <c r="H95" s="93"/>
      <c r="I95" s="93"/>
      <c r="J95" s="94" t="str">
        <f t="shared" si="10"/>
        <v/>
      </c>
      <c r="K95" s="93"/>
      <c r="L95" s="93"/>
      <c r="M95" s="94" t="str">
        <f t="shared" si="11"/>
        <v/>
      </c>
      <c r="N95" s="94"/>
      <c r="O95" s="93"/>
      <c r="P95" s="93"/>
      <c r="Q95" s="94" t="str">
        <f t="shared" si="12"/>
        <v/>
      </c>
      <c r="R95" s="93"/>
      <c r="S95" s="93"/>
      <c r="T95" s="93"/>
      <c r="U95" s="93"/>
      <c r="V95" s="93"/>
      <c r="W95" s="93"/>
      <c r="X95" s="93"/>
      <c r="Y95" s="93"/>
      <c r="Z95" s="93"/>
      <c r="AA95" s="93" t="s">
        <v>1</v>
      </c>
      <c r="AB95" s="93">
        <v>864</v>
      </c>
      <c r="AC95" s="93">
        <v>35000</v>
      </c>
      <c r="AD95" s="94">
        <f t="shared" si="13"/>
        <v>40.50925925925926</v>
      </c>
      <c r="AE95" s="93"/>
      <c r="AF95" s="93"/>
      <c r="AG95" s="93"/>
      <c r="AH95" s="57"/>
      <c r="AI95" s="57"/>
      <c r="AJ95" s="94" t="str">
        <f t="shared" si="14"/>
        <v/>
      </c>
    </row>
    <row r="96" spans="1:36" x14ac:dyDescent="0.3">
      <c r="A96" s="39" t="s">
        <v>93</v>
      </c>
      <c r="C96" s="93" t="s">
        <v>527</v>
      </c>
      <c r="D96" s="38" t="s">
        <v>1</v>
      </c>
      <c r="E96" s="93"/>
      <c r="F96" s="93"/>
      <c r="G96" s="94" t="str">
        <f t="shared" si="9"/>
        <v/>
      </c>
      <c r="H96" s="93"/>
      <c r="I96" s="93"/>
      <c r="J96" s="94" t="str">
        <f t="shared" si="10"/>
        <v/>
      </c>
      <c r="K96" s="93"/>
      <c r="L96" s="93"/>
      <c r="M96" s="94" t="str">
        <f t="shared" si="11"/>
        <v/>
      </c>
      <c r="N96" s="94"/>
      <c r="O96" s="93"/>
      <c r="P96" s="93"/>
      <c r="Q96" s="94" t="str">
        <f t="shared" si="12"/>
        <v/>
      </c>
      <c r="R96" s="93"/>
      <c r="S96" s="93"/>
      <c r="T96" s="93"/>
      <c r="U96" s="93"/>
      <c r="V96" s="93"/>
      <c r="W96" s="93"/>
      <c r="X96" s="93"/>
      <c r="Y96" s="93"/>
      <c r="Z96" s="93"/>
      <c r="AA96" s="93" t="s">
        <v>1</v>
      </c>
      <c r="AB96" s="93">
        <v>1338</v>
      </c>
      <c r="AC96" s="93">
        <v>19000</v>
      </c>
      <c r="AD96" s="94">
        <f t="shared" si="13"/>
        <v>14.200298953662182</v>
      </c>
      <c r="AE96" s="93"/>
      <c r="AF96" s="93"/>
      <c r="AG96" s="93"/>
      <c r="AH96" s="57"/>
      <c r="AI96" s="57"/>
      <c r="AJ96" s="94" t="str">
        <f t="shared" si="14"/>
        <v/>
      </c>
    </row>
    <row r="97" spans="1:36" x14ac:dyDescent="0.3">
      <c r="A97" s="39" t="s">
        <v>389</v>
      </c>
      <c r="C97" s="93" t="s">
        <v>527</v>
      </c>
      <c r="D97" s="38" t="s">
        <v>1</v>
      </c>
      <c r="E97" s="93"/>
      <c r="F97" s="93"/>
      <c r="G97" s="94" t="str">
        <f t="shared" si="9"/>
        <v/>
      </c>
      <c r="H97" s="93"/>
      <c r="I97" s="93"/>
      <c r="J97" s="94" t="str">
        <f t="shared" si="10"/>
        <v/>
      </c>
      <c r="K97" s="93"/>
      <c r="L97" s="93"/>
      <c r="M97" s="94" t="str">
        <f t="shared" si="11"/>
        <v/>
      </c>
      <c r="N97" s="94"/>
      <c r="O97" s="93"/>
      <c r="P97" s="93"/>
      <c r="Q97" s="94" t="str">
        <f t="shared" si="12"/>
        <v/>
      </c>
      <c r="R97" s="93"/>
      <c r="S97" s="93"/>
      <c r="T97" s="93"/>
      <c r="U97" s="93"/>
      <c r="V97" s="93"/>
      <c r="W97" s="93"/>
      <c r="X97" s="93"/>
      <c r="Y97" s="93"/>
      <c r="Z97" s="93"/>
      <c r="AA97" s="93" t="s">
        <v>1</v>
      </c>
      <c r="AB97" s="93">
        <v>1031</v>
      </c>
      <c r="AC97" s="93">
        <v>6000</v>
      </c>
      <c r="AD97" s="94">
        <f t="shared" si="13"/>
        <v>5.8195926285160038</v>
      </c>
      <c r="AE97" s="93"/>
      <c r="AF97" s="93"/>
      <c r="AG97" s="93"/>
      <c r="AH97" s="57"/>
      <c r="AI97" s="57"/>
      <c r="AJ97" s="94" t="str">
        <f t="shared" si="14"/>
        <v/>
      </c>
    </row>
    <row r="98" spans="1:36" x14ac:dyDescent="0.3">
      <c r="A98" s="39" t="s">
        <v>390</v>
      </c>
      <c r="C98" s="93" t="s">
        <v>527</v>
      </c>
      <c r="D98" s="38" t="s">
        <v>1</v>
      </c>
      <c r="E98" s="93"/>
      <c r="F98" s="93"/>
      <c r="G98" s="94" t="str">
        <f t="shared" si="9"/>
        <v/>
      </c>
      <c r="H98" s="93"/>
      <c r="I98" s="93"/>
      <c r="J98" s="94" t="str">
        <f t="shared" si="10"/>
        <v/>
      </c>
      <c r="K98" s="93"/>
      <c r="L98" s="93"/>
      <c r="M98" s="94" t="str">
        <f t="shared" si="11"/>
        <v/>
      </c>
      <c r="N98" s="94"/>
      <c r="O98" s="93"/>
      <c r="P98" s="93"/>
      <c r="Q98" s="94" t="str">
        <f t="shared" si="12"/>
        <v/>
      </c>
      <c r="R98" s="93"/>
      <c r="S98" s="93"/>
      <c r="T98" s="93"/>
      <c r="U98" s="93"/>
      <c r="V98" s="93"/>
      <c r="W98" s="93"/>
      <c r="X98" s="93"/>
      <c r="Y98" s="93"/>
      <c r="Z98" s="93"/>
      <c r="AA98" s="93" t="s">
        <v>1</v>
      </c>
      <c r="AB98" s="93">
        <v>921</v>
      </c>
      <c r="AC98" s="93">
        <v>31000</v>
      </c>
      <c r="AD98" s="94">
        <f t="shared" si="13"/>
        <v>33.659066232356132</v>
      </c>
      <c r="AE98" s="93"/>
      <c r="AF98" s="93"/>
      <c r="AG98" s="93"/>
      <c r="AH98" s="57"/>
      <c r="AI98" s="57"/>
      <c r="AJ98" s="94" t="str">
        <f t="shared" si="14"/>
        <v/>
      </c>
    </row>
    <row r="99" spans="1:36" x14ac:dyDescent="0.3">
      <c r="A99" s="39" t="s">
        <v>391</v>
      </c>
      <c r="C99" s="93" t="s">
        <v>527</v>
      </c>
      <c r="D99" s="38" t="s">
        <v>1</v>
      </c>
      <c r="E99" s="93"/>
      <c r="F99" s="93"/>
      <c r="G99" s="94" t="str">
        <f t="shared" si="9"/>
        <v/>
      </c>
      <c r="H99" s="93"/>
      <c r="I99" s="93"/>
      <c r="J99" s="94" t="str">
        <f t="shared" si="10"/>
        <v/>
      </c>
      <c r="K99" s="93"/>
      <c r="L99" s="93"/>
      <c r="M99" s="94" t="str">
        <f t="shared" si="11"/>
        <v/>
      </c>
      <c r="N99" s="94"/>
      <c r="O99" s="93"/>
      <c r="P99" s="93"/>
      <c r="Q99" s="94" t="str">
        <f t="shared" si="12"/>
        <v/>
      </c>
      <c r="R99" s="93"/>
      <c r="S99" s="93"/>
      <c r="T99" s="93"/>
      <c r="U99" s="93"/>
      <c r="V99" s="93"/>
      <c r="W99" s="93"/>
      <c r="X99" s="93"/>
      <c r="Y99" s="93"/>
      <c r="Z99" s="93"/>
      <c r="AA99" s="93" t="s">
        <v>1</v>
      </c>
      <c r="AB99" s="93">
        <v>311</v>
      </c>
      <c r="AC99" s="93">
        <v>12000</v>
      </c>
      <c r="AD99" s="94">
        <f t="shared" si="13"/>
        <v>38.585209003215432</v>
      </c>
      <c r="AE99" s="93"/>
      <c r="AF99" s="93"/>
      <c r="AG99" s="93"/>
      <c r="AH99" s="57"/>
      <c r="AI99" s="57"/>
      <c r="AJ99" s="94" t="str">
        <f t="shared" si="14"/>
        <v/>
      </c>
    </row>
    <row r="100" spans="1:36" x14ac:dyDescent="0.3">
      <c r="A100" s="39" t="s">
        <v>392</v>
      </c>
      <c r="C100" s="93" t="s">
        <v>527</v>
      </c>
      <c r="D100" s="38" t="s">
        <v>1</v>
      </c>
      <c r="E100" s="93"/>
      <c r="F100" s="93"/>
      <c r="G100" s="94" t="str">
        <f t="shared" si="9"/>
        <v/>
      </c>
      <c r="H100" s="93"/>
      <c r="I100" s="93"/>
      <c r="J100" s="94" t="str">
        <f t="shared" si="10"/>
        <v/>
      </c>
      <c r="K100" s="93"/>
      <c r="L100" s="93"/>
      <c r="M100" s="94" t="str">
        <f t="shared" si="11"/>
        <v/>
      </c>
      <c r="N100" s="94"/>
      <c r="O100" s="93"/>
      <c r="P100" s="93"/>
      <c r="Q100" s="94" t="str">
        <f t="shared" si="12"/>
        <v/>
      </c>
      <c r="R100" s="93"/>
      <c r="S100" s="93"/>
      <c r="T100" s="93"/>
      <c r="U100" s="93"/>
      <c r="V100" s="93"/>
      <c r="W100" s="93"/>
      <c r="X100" s="93"/>
      <c r="Y100" s="93"/>
      <c r="Z100" s="93"/>
      <c r="AA100" s="93" t="s">
        <v>1</v>
      </c>
      <c r="AB100" s="93">
        <v>157</v>
      </c>
      <c r="AC100" s="93">
        <v>11000</v>
      </c>
      <c r="AD100" s="94">
        <f t="shared" si="13"/>
        <v>70.063694267515928</v>
      </c>
      <c r="AE100" s="93"/>
      <c r="AF100" s="93"/>
      <c r="AG100" s="93"/>
      <c r="AH100" s="57"/>
      <c r="AI100" s="57"/>
      <c r="AJ100" s="94" t="str">
        <f t="shared" si="14"/>
        <v/>
      </c>
    </row>
    <row r="101" spans="1:36" x14ac:dyDescent="0.3">
      <c r="A101" s="39" t="s">
        <v>233</v>
      </c>
      <c r="C101" s="93" t="s">
        <v>527</v>
      </c>
      <c r="D101" s="38" t="s">
        <v>1</v>
      </c>
      <c r="E101" s="93"/>
      <c r="F101" s="93"/>
      <c r="G101" s="94" t="str">
        <f t="shared" si="9"/>
        <v/>
      </c>
      <c r="H101" s="93"/>
      <c r="I101" s="93"/>
      <c r="J101" s="94" t="str">
        <f t="shared" si="10"/>
        <v/>
      </c>
      <c r="K101" s="93"/>
      <c r="L101" s="93"/>
      <c r="M101" s="94" t="str">
        <f t="shared" si="11"/>
        <v/>
      </c>
      <c r="N101" s="94"/>
      <c r="O101" s="93"/>
      <c r="P101" s="93"/>
      <c r="Q101" s="94" t="str">
        <f t="shared" si="12"/>
        <v/>
      </c>
      <c r="R101" s="93"/>
      <c r="S101" s="93"/>
      <c r="T101" s="93"/>
      <c r="U101" s="93"/>
      <c r="V101" s="93"/>
      <c r="W101" s="93"/>
      <c r="X101" s="93"/>
      <c r="Y101" s="93"/>
      <c r="Z101" s="93"/>
      <c r="AA101" s="93" t="s">
        <v>1</v>
      </c>
      <c r="AB101" s="93"/>
      <c r="AC101" s="93"/>
      <c r="AD101" s="94" t="str">
        <f t="shared" si="13"/>
        <v/>
      </c>
      <c r="AE101" s="93"/>
      <c r="AF101" s="93"/>
      <c r="AG101" s="93"/>
      <c r="AH101" s="57">
        <v>46</v>
      </c>
      <c r="AI101" s="57">
        <v>1100</v>
      </c>
      <c r="AJ101" s="94">
        <f t="shared" si="14"/>
        <v>23.913043478260871</v>
      </c>
    </row>
    <row r="102" spans="1:36" x14ac:dyDescent="0.3">
      <c r="A102" s="39" t="s">
        <v>96</v>
      </c>
      <c r="C102" s="93" t="s">
        <v>527</v>
      </c>
      <c r="D102" s="38" t="s">
        <v>1</v>
      </c>
      <c r="E102" s="93"/>
      <c r="F102" s="93"/>
      <c r="G102" s="94" t="str">
        <f t="shared" si="9"/>
        <v/>
      </c>
      <c r="H102" s="93"/>
      <c r="I102" s="93"/>
      <c r="J102" s="94" t="str">
        <f t="shared" si="10"/>
        <v/>
      </c>
      <c r="K102" s="93"/>
      <c r="L102" s="93"/>
      <c r="M102" s="94" t="str">
        <f t="shared" si="11"/>
        <v/>
      </c>
      <c r="N102" s="94"/>
      <c r="O102" s="93"/>
      <c r="P102" s="93"/>
      <c r="Q102" s="94" t="str">
        <f t="shared" si="12"/>
        <v/>
      </c>
      <c r="R102" s="93"/>
      <c r="S102" s="93"/>
      <c r="T102" s="93"/>
      <c r="U102" s="93"/>
      <c r="V102" s="93"/>
      <c r="W102" s="93"/>
      <c r="X102" s="93"/>
      <c r="Y102" s="93"/>
      <c r="Z102" s="93"/>
      <c r="AA102" s="93" t="s">
        <v>1</v>
      </c>
      <c r="AB102" s="93"/>
      <c r="AC102" s="93"/>
      <c r="AD102" s="94" t="str">
        <f t="shared" si="13"/>
        <v/>
      </c>
      <c r="AE102" s="93"/>
      <c r="AF102" s="93"/>
      <c r="AG102" s="93"/>
      <c r="AH102" s="57">
        <v>54</v>
      </c>
      <c r="AI102" s="57">
        <v>1400</v>
      </c>
      <c r="AJ102" s="94">
        <f t="shared" si="14"/>
        <v>25.925925925925927</v>
      </c>
    </row>
    <row r="103" spans="1:36" x14ac:dyDescent="0.3">
      <c r="A103" s="39" t="s">
        <v>395</v>
      </c>
      <c r="C103" s="93" t="s">
        <v>527</v>
      </c>
      <c r="D103" s="38" t="s">
        <v>1</v>
      </c>
      <c r="E103" s="93"/>
      <c r="F103" s="93"/>
      <c r="G103" s="94" t="str">
        <f t="shared" si="9"/>
        <v/>
      </c>
      <c r="H103" s="93"/>
      <c r="I103" s="93"/>
      <c r="J103" s="94" t="str">
        <f t="shared" si="10"/>
        <v/>
      </c>
      <c r="K103" s="93"/>
      <c r="L103" s="93"/>
      <c r="M103" s="94" t="str">
        <f t="shared" si="11"/>
        <v/>
      </c>
      <c r="N103" s="94"/>
      <c r="O103" s="93"/>
      <c r="P103" s="93"/>
      <c r="Q103" s="94" t="str">
        <f t="shared" si="12"/>
        <v/>
      </c>
      <c r="R103" s="93"/>
      <c r="S103" s="93"/>
      <c r="T103" s="93"/>
      <c r="U103" s="93"/>
      <c r="V103" s="93"/>
      <c r="W103" s="93"/>
      <c r="X103" s="93"/>
      <c r="Y103" s="93"/>
      <c r="Z103" s="93"/>
      <c r="AA103" s="93" t="s">
        <v>1</v>
      </c>
      <c r="AB103" s="93">
        <v>1</v>
      </c>
      <c r="AC103" s="93">
        <v>1200</v>
      </c>
      <c r="AD103" s="94">
        <f t="shared" si="13"/>
        <v>1200</v>
      </c>
      <c r="AE103" s="93"/>
      <c r="AF103" s="93"/>
      <c r="AG103" s="93"/>
      <c r="AH103" s="57"/>
      <c r="AI103" s="57"/>
      <c r="AJ103" s="94" t="str">
        <f t="shared" si="14"/>
        <v/>
      </c>
    </row>
    <row r="104" spans="1:36" x14ac:dyDescent="0.3">
      <c r="A104" s="39" t="s">
        <v>235</v>
      </c>
      <c r="C104" s="93" t="s">
        <v>527</v>
      </c>
      <c r="D104" s="38" t="s">
        <v>1</v>
      </c>
      <c r="E104" s="93"/>
      <c r="F104" s="93"/>
      <c r="G104" s="94" t="str">
        <f t="shared" si="9"/>
        <v/>
      </c>
      <c r="H104" s="93"/>
      <c r="I104" s="93"/>
      <c r="J104" s="94" t="str">
        <f t="shared" si="10"/>
        <v/>
      </c>
      <c r="K104" s="93"/>
      <c r="L104" s="93"/>
      <c r="M104" s="94" t="str">
        <f t="shared" si="11"/>
        <v/>
      </c>
      <c r="N104" s="94"/>
      <c r="O104" s="93"/>
      <c r="P104" s="93"/>
      <c r="Q104" s="94" t="str">
        <f t="shared" si="12"/>
        <v/>
      </c>
      <c r="R104" s="93"/>
      <c r="S104" s="93"/>
      <c r="T104" s="93"/>
      <c r="U104" s="93"/>
      <c r="V104" s="93"/>
      <c r="W104" s="93"/>
      <c r="X104" s="93"/>
      <c r="Y104" s="93"/>
      <c r="Z104" s="93"/>
      <c r="AA104" s="93" t="s">
        <v>1</v>
      </c>
      <c r="AB104" s="93"/>
      <c r="AC104" s="93"/>
      <c r="AD104" s="94" t="str">
        <f t="shared" si="13"/>
        <v/>
      </c>
      <c r="AE104" s="93"/>
      <c r="AF104" s="57"/>
      <c r="AG104" s="57"/>
      <c r="AH104" s="57">
        <v>745</v>
      </c>
      <c r="AI104" s="57">
        <v>3000</v>
      </c>
      <c r="AJ104" s="94">
        <f t="shared" si="14"/>
        <v>4.026845637583893</v>
      </c>
    </row>
    <row r="105" spans="1:36" x14ac:dyDescent="0.3">
      <c r="A105" s="39" t="s">
        <v>234</v>
      </c>
      <c r="C105" s="93" t="s">
        <v>527</v>
      </c>
      <c r="D105" s="38" t="s">
        <v>1</v>
      </c>
      <c r="E105" s="93"/>
      <c r="F105" s="93"/>
      <c r="G105" s="94" t="str">
        <f t="shared" si="9"/>
        <v/>
      </c>
      <c r="H105" s="93"/>
      <c r="I105" s="93"/>
      <c r="J105" s="94" t="str">
        <f t="shared" si="10"/>
        <v/>
      </c>
      <c r="K105" s="93"/>
      <c r="L105" s="93"/>
      <c r="M105" s="94" t="str">
        <f t="shared" si="11"/>
        <v/>
      </c>
      <c r="N105" s="94"/>
      <c r="O105" s="93"/>
      <c r="P105" s="93"/>
      <c r="Q105" s="94" t="str">
        <f t="shared" si="12"/>
        <v/>
      </c>
      <c r="R105" s="93"/>
      <c r="S105" s="93"/>
      <c r="T105" s="93"/>
      <c r="U105" s="93"/>
      <c r="V105" s="93"/>
      <c r="W105" s="93"/>
      <c r="X105" s="93"/>
      <c r="Y105" s="93"/>
      <c r="Z105" s="93"/>
      <c r="AA105" s="93" t="s">
        <v>1</v>
      </c>
      <c r="AB105" s="93"/>
      <c r="AC105" s="93"/>
      <c r="AD105" s="94" t="str">
        <f t="shared" si="13"/>
        <v/>
      </c>
      <c r="AE105" s="93"/>
      <c r="AF105" s="57"/>
      <c r="AG105" s="57"/>
      <c r="AH105" s="57">
        <v>203</v>
      </c>
      <c r="AI105" s="57">
        <v>2500</v>
      </c>
      <c r="AJ105" s="94">
        <f t="shared" si="14"/>
        <v>12.315270935960591</v>
      </c>
    </row>
    <row r="106" spans="1:36" x14ac:dyDescent="0.3">
      <c r="A106" s="39" t="s">
        <v>236</v>
      </c>
      <c r="C106" s="93" t="s">
        <v>527</v>
      </c>
      <c r="D106" s="38" t="s">
        <v>1</v>
      </c>
      <c r="E106" s="93"/>
      <c r="F106" s="93"/>
      <c r="G106" s="94" t="str">
        <f t="shared" si="9"/>
        <v/>
      </c>
      <c r="H106" s="93"/>
      <c r="I106" s="93"/>
      <c r="J106" s="94" t="str">
        <f t="shared" si="10"/>
        <v/>
      </c>
      <c r="K106" s="93"/>
      <c r="L106" s="93"/>
      <c r="M106" s="94" t="str">
        <f t="shared" si="11"/>
        <v/>
      </c>
      <c r="N106" s="94"/>
      <c r="O106" s="93"/>
      <c r="P106" s="93"/>
      <c r="Q106" s="94" t="str">
        <f t="shared" si="12"/>
        <v/>
      </c>
      <c r="R106" s="93"/>
      <c r="S106" s="93"/>
      <c r="T106" s="93"/>
      <c r="U106" s="93"/>
      <c r="V106" s="93"/>
      <c r="W106" s="93"/>
      <c r="X106" s="93"/>
      <c r="Y106" s="93"/>
      <c r="Z106" s="93"/>
      <c r="AA106" s="93" t="s">
        <v>1</v>
      </c>
      <c r="AB106" s="93">
        <f>341</f>
        <v>341</v>
      </c>
      <c r="AC106" s="93">
        <f>6000</f>
        <v>6000</v>
      </c>
      <c r="AD106" s="94">
        <f t="shared" si="13"/>
        <v>17.595307917888562</v>
      </c>
      <c r="AE106" s="93"/>
      <c r="AF106" s="57"/>
      <c r="AG106" s="57"/>
      <c r="AH106" s="57">
        <v>238</v>
      </c>
      <c r="AI106" s="57">
        <v>4300</v>
      </c>
      <c r="AJ106" s="94">
        <f t="shared" si="14"/>
        <v>18.067226890756302</v>
      </c>
    </row>
    <row r="107" spans="1:36" x14ac:dyDescent="0.3">
      <c r="A107" s="39" t="s">
        <v>237</v>
      </c>
      <c r="C107" s="93" t="s">
        <v>527</v>
      </c>
      <c r="D107" s="38" t="s">
        <v>1</v>
      </c>
      <c r="E107" s="93"/>
      <c r="F107" s="93"/>
      <c r="G107" s="94" t="str">
        <f t="shared" si="9"/>
        <v/>
      </c>
      <c r="H107" s="93"/>
      <c r="I107" s="93"/>
      <c r="J107" s="94" t="str">
        <f t="shared" si="10"/>
        <v/>
      </c>
      <c r="K107" s="93"/>
      <c r="L107" s="93"/>
      <c r="M107" s="94" t="str">
        <f t="shared" si="11"/>
        <v/>
      </c>
      <c r="N107" s="94"/>
      <c r="O107" s="93"/>
      <c r="P107" s="93"/>
      <c r="Q107" s="94" t="str">
        <f t="shared" si="12"/>
        <v/>
      </c>
      <c r="R107" s="93"/>
      <c r="S107" s="93"/>
      <c r="T107" s="93"/>
      <c r="U107" s="93"/>
      <c r="V107" s="93"/>
      <c r="W107" s="93"/>
      <c r="X107" s="93"/>
      <c r="Y107" s="93"/>
      <c r="Z107" s="93"/>
      <c r="AA107" s="93" t="s">
        <v>1</v>
      </c>
      <c r="AB107" s="93">
        <v>124</v>
      </c>
      <c r="AC107" s="93">
        <v>4000</v>
      </c>
      <c r="AD107" s="94">
        <f t="shared" si="13"/>
        <v>32.258064516129032</v>
      </c>
      <c r="AE107" s="93"/>
      <c r="AF107" s="57"/>
      <c r="AG107" s="57"/>
      <c r="AH107" s="57">
        <v>145</v>
      </c>
      <c r="AI107" s="57">
        <v>6000</v>
      </c>
      <c r="AJ107" s="94">
        <f t="shared" si="14"/>
        <v>41.379310344827587</v>
      </c>
    </row>
    <row r="108" spans="1:36" x14ac:dyDescent="0.3">
      <c r="A108" s="39" t="s">
        <v>238</v>
      </c>
      <c r="C108" s="93" t="s">
        <v>527</v>
      </c>
      <c r="D108" s="38" t="s">
        <v>1</v>
      </c>
      <c r="E108" s="93"/>
      <c r="F108" s="93"/>
      <c r="G108" s="94" t="str">
        <f t="shared" si="9"/>
        <v/>
      </c>
      <c r="H108" s="93"/>
      <c r="I108" s="93"/>
      <c r="J108" s="94" t="str">
        <f t="shared" si="10"/>
        <v/>
      </c>
      <c r="K108" s="93"/>
      <c r="L108" s="93"/>
      <c r="M108" s="94" t="str">
        <f t="shared" si="11"/>
        <v/>
      </c>
      <c r="N108" s="94"/>
      <c r="O108" s="93"/>
      <c r="P108" s="93"/>
      <c r="Q108" s="94" t="str">
        <f t="shared" si="12"/>
        <v/>
      </c>
      <c r="R108" s="93"/>
      <c r="S108" s="93"/>
      <c r="T108" s="93"/>
      <c r="U108" s="93"/>
      <c r="V108" s="93"/>
      <c r="W108" s="93"/>
      <c r="X108" s="93"/>
      <c r="Y108" s="93"/>
      <c r="Z108" s="93"/>
      <c r="AA108" s="93" t="s">
        <v>1</v>
      </c>
      <c r="AB108" s="93">
        <v>27</v>
      </c>
      <c r="AC108" s="93">
        <v>45000</v>
      </c>
      <c r="AD108" s="94">
        <f t="shared" si="13"/>
        <v>1666.6666666666667</v>
      </c>
      <c r="AE108" s="93"/>
      <c r="AF108" s="57"/>
      <c r="AG108" s="57"/>
      <c r="AH108" s="57">
        <v>593</v>
      </c>
      <c r="AI108" s="57">
        <v>15500</v>
      </c>
      <c r="AJ108" s="94">
        <f t="shared" si="14"/>
        <v>26.138279932546375</v>
      </c>
    </row>
    <row r="109" spans="1:36" x14ac:dyDescent="0.3">
      <c r="A109" s="39" t="s">
        <v>239</v>
      </c>
      <c r="C109" s="93" t="s">
        <v>527</v>
      </c>
      <c r="D109" s="38" t="s">
        <v>1</v>
      </c>
      <c r="E109" s="93"/>
      <c r="F109" s="93"/>
      <c r="G109" s="94" t="str">
        <f t="shared" si="9"/>
        <v/>
      </c>
      <c r="H109" s="93"/>
      <c r="I109" s="93"/>
      <c r="J109" s="94" t="str">
        <f t="shared" si="10"/>
        <v/>
      </c>
      <c r="K109" s="93"/>
      <c r="L109" s="93"/>
      <c r="M109" s="94" t="str">
        <f t="shared" si="11"/>
        <v/>
      </c>
      <c r="N109" s="94"/>
      <c r="O109" s="93"/>
      <c r="P109" s="93"/>
      <c r="Q109" s="94" t="str">
        <f t="shared" si="12"/>
        <v/>
      </c>
      <c r="R109" s="93"/>
      <c r="S109" s="93"/>
      <c r="T109" s="93"/>
      <c r="U109" s="93"/>
      <c r="V109" s="93"/>
      <c r="W109" s="93"/>
      <c r="X109" s="93"/>
      <c r="Y109" s="93"/>
      <c r="Z109" s="93"/>
      <c r="AA109" s="93" t="s">
        <v>1</v>
      </c>
      <c r="AB109" s="93">
        <f>3130+1319</f>
        <v>4449</v>
      </c>
      <c r="AC109" s="93">
        <f>65000+49000</f>
        <v>114000</v>
      </c>
      <c r="AD109" s="94">
        <f t="shared" si="13"/>
        <v>25.62373567093729</v>
      </c>
      <c r="AE109" s="93"/>
      <c r="AF109" s="57"/>
      <c r="AG109" s="57"/>
      <c r="AH109" s="57">
        <v>83</v>
      </c>
      <c r="AI109" s="57">
        <v>5200</v>
      </c>
      <c r="AJ109" s="94">
        <f t="shared" si="14"/>
        <v>62.650602409638552</v>
      </c>
    </row>
    <row r="110" spans="1:36" x14ac:dyDescent="0.3">
      <c r="A110" s="39" t="s">
        <v>164</v>
      </c>
      <c r="C110" s="93" t="s">
        <v>527</v>
      </c>
      <c r="D110" s="38" t="s">
        <v>1</v>
      </c>
      <c r="E110" s="93"/>
      <c r="F110" s="93"/>
      <c r="G110" s="94" t="str">
        <f t="shared" si="9"/>
        <v/>
      </c>
      <c r="H110" s="93"/>
      <c r="I110" s="93"/>
      <c r="J110" s="94" t="str">
        <f t="shared" si="10"/>
        <v/>
      </c>
      <c r="K110" s="93"/>
      <c r="L110" s="93"/>
      <c r="M110" s="94" t="str">
        <f t="shared" si="11"/>
        <v/>
      </c>
      <c r="N110" s="94"/>
      <c r="O110" s="93"/>
      <c r="P110" s="93"/>
      <c r="Q110" s="94" t="str">
        <f t="shared" si="12"/>
        <v/>
      </c>
      <c r="R110" s="93"/>
      <c r="S110" s="93"/>
      <c r="T110" s="93"/>
      <c r="U110" s="93"/>
      <c r="V110" s="93"/>
      <c r="W110" s="93"/>
      <c r="X110" s="93"/>
      <c r="Y110" s="93"/>
      <c r="Z110" s="93"/>
      <c r="AA110" s="93" t="s">
        <v>1</v>
      </c>
      <c r="AB110" s="93">
        <f>114+147</f>
        <v>261</v>
      </c>
      <c r="AC110" s="93">
        <f>3500+2700</f>
        <v>6200</v>
      </c>
      <c r="AD110" s="94">
        <f t="shared" si="13"/>
        <v>23.754789272030653</v>
      </c>
      <c r="AE110" s="93"/>
      <c r="AF110" s="57"/>
      <c r="AG110" s="57"/>
      <c r="AH110" s="57">
        <v>173</v>
      </c>
      <c r="AI110" s="57">
        <v>4700</v>
      </c>
      <c r="AJ110" s="94">
        <f t="shared" si="14"/>
        <v>27.167630057803468</v>
      </c>
    </row>
    <row r="111" spans="1:36" x14ac:dyDescent="0.3">
      <c r="A111" s="39" t="s">
        <v>150</v>
      </c>
      <c r="C111" s="93" t="s">
        <v>527</v>
      </c>
      <c r="D111" s="38" t="s">
        <v>1</v>
      </c>
      <c r="E111" s="93"/>
      <c r="F111" s="93"/>
      <c r="G111" s="94" t="str">
        <f t="shared" si="9"/>
        <v/>
      </c>
      <c r="H111" s="93"/>
      <c r="I111" s="93"/>
      <c r="J111" s="94" t="str">
        <f t="shared" si="10"/>
        <v/>
      </c>
      <c r="K111" s="93"/>
      <c r="L111" s="93"/>
      <c r="M111" s="94" t="str">
        <f t="shared" si="11"/>
        <v/>
      </c>
      <c r="N111" s="94"/>
      <c r="O111" s="93"/>
      <c r="P111" s="93"/>
      <c r="Q111" s="94" t="str">
        <f t="shared" si="12"/>
        <v/>
      </c>
      <c r="R111" s="93"/>
      <c r="S111" s="93"/>
      <c r="T111" s="93"/>
      <c r="U111" s="93"/>
      <c r="V111" s="93"/>
      <c r="W111" s="93"/>
      <c r="X111" s="93"/>
      <c r="Y111" s="93"/>
      <c r="Z111" s="93"/>
      <c r="AA111" s="93" t="s">
        <v>1</v>
      </c>
      <c r="AB111" s="93">
        <v>1826</v>
      </c>
      <c r="AC111" s="93">
        <v>18000</v>
      </c>
      <c r="AD111" s="94">
        <f t="shared" si="13"/>
        <v>9.857612267250822</v>
      </c>
      <c r="AE111" s="93"/>
      <c r="AF111" s="57"/>
      <c r="AG111" s="57"/>
      <c r="AH111" s="57">
        <v>703</v>
      </c>
      <c r="AI111" s="57">
        <v>9200</v>
      </c>
      <c r="AJ111" s="94">
        <f t="shared" si="14"/>
        <v>13.086770981507824</v>
      </c>
    </row>
    <row r="112" spans="1:36" x14ac:dyDescent="0.3">
      <c r="A112" s="39" t="s">
        <v>396</v>
      </c>
      <c r="C112" s="93" t="s">
        <v>527</v>
      </c>
      <c r="D112" s="38" t="s">
        <v>1</v>
      </c>
      <c r="E112" s="93"/>
      <c r="F112" s="93"/>
      <c r="G112" s="94" t="str">
        <f t="shared" si="9"/>
        <v/>
      </c>
      <c r="H112" s="93"/>
      <c r="I112" s="93"/>
      <c r="J112" s="94" t="str">
        <f t="shared" si="10"/>
        <v/>
      </c>
      <c r="K112" s="93"/>
      <c r="L112" s="93"/>
      <c r="M112" s="94" t="str">
        <f t="shared" si="11"/>
        <v/>
      </c>
      <c r="N112" s="94"/>
      <c r="O112" s="93"/>
      <c r="P112" s="93"/>
      <c r="Q112" s="94" t="str">
        <f t="shared" si="12"/>
        <v/>
      </c>
      <c r="R112" s="93"/>
      <c r="S112" s="93"/>
      <c r="T112" s="93"/>
      <c r="U112" s="93"/>
      <c r="V112" s="93"/>
      <c r="W112" s="93"/>
      <c r="X112" s="93"/>
      <c r="Y112" s="93"/>
      <c r="Z112" s="93"/>
      <c r="AA112" s="93" t="s">
        <v>1</v>
      </c>
      <c r="AB112" s="93">
        <v>7736</v>
      </c>
      <c r="AC112" s="93">
        <v>76000</v>
      </c>
      <c r="AD112" s="94">
        <f t="shared" si="13"/>
        <v>9.8241985522233719</v>
      </c>
      <c r="AE112" s="93"/>
      <c r="AF112" s="57"/>
      <c r="AG112" s="57"/>
      <c r="AH112" s="57"/>
      <c r="AI112" s="57"/>
      <c r="AJ112" s="94" t="str">
        <f t="shared" si="14"/>
        <v/>
      </c>
    </row>
    <row r="113" spans="1:36" x14ac:dyDescent="0.3">
      <c r="A113" s="39" t="s">
        <v>397</v>
      </c>
      <c r="C113" s="93" t="s">
        <v>527</v>
      </c>
      <c r="D113" s="38" t="s">
        <v>1</v>
      </c>
      <c r="E113" s="93"/>
      <c r="F113" s="93"/>
      <c r="G113" s="94" t="str">
        <f t="shared" si="9"/>
        <v/>
      </c>
      <c r="H113" s="93"/>
      <c r="I113" s="93"/>
      <c r="J113" s="94" t="str">
        <f t="shared" si="10"/>
        <v/>
      </c>
      <c r="K113" s="93"/>
      <c r="L113" s="93"/>
      <c r="M113" s="94" t="str">
        <f t="shared" si="11"/>
        <v/>
      </c>
      <c r="N113" s="94"/>
      <c r="O113" s="93"/>
      <c r="P113" s="93"/>
      <c r="Q113" s="94" t="str">
        <f t="shared" si="12"/>
        <v/>
      </c>
      <c r="R113" s="93"/>
      <c r="S113" s="93"/>
      <c r="T113" s="93"/>
      <c r="U113" s="93"/>
      <c r="V113" s="93"/>
      <c r="W113" s="93"/>
      <c r="X113" s="93"/>
      <c r="Y113" s="93"/>
      <c r="Z113" s="93"/>
      <c r="AA113" s="93" t="s">
        <v>1</v>
      </c>
      <c r="AB113" s="93">
        <v>514</v>
      </c>
      <c r="AC113" s="93">
        <v>3900</v>
      </c>
      <c r="AD113" s="94">
        <f t="shared" si="13"/>
        <v>7.5875486381322954</v>
      </c>
      <c r="AE113" s="93"/>
      <c r="AF113" s="57"/>
      <c r="AG113" s="57"/>
      <c r="AH113" s="57"/>
      <c r="AI113" s="57"/>
      <c r="AJ113" s="94" t="str">
        <f t="shared" si="14"/>
        <v/>
      </c>
    </row>
    <row r="114" spans="1:36" x14ac:dyDescent="0.3">
      <c r="A114" s="39" t="s">
        <v>151</v>
      </c>
      <c r="C114" s="93" t="s">
        <v>527</v>
      </c>
      <c r="D114" s="38" t="s">
        <v>1</v>
      </c>
      <c r="E114" s="93"/>
      <c r="F114" s="93"/>
      <c r="G114" s="94" t="str">
        <f t="shared" si="9"/>
        <v/>
      </c>
      <c r="H114" s="93"/>
      <c r="I114" s="93"/>
      <c r="J114" s="94" t="str">
        <f t="shared" si="10"/>
        <v/>
      </c>
      <c r="K114" s="93"/>
      <c r="L114" s="93"/>
      <c r="M114" s="94" t="str">
        <f t="shared" si="11"/>
        <v/>
      </c>
      <c r="N114" s="94"/>
      <c r="O114" s="93">
        <v>2388</v>
      </c>
      <c r="P114" s="93">
        <v>37145</v>
      </c>
      <c r="Q114" s="94">
        <f t="shared" si="12"/>
        <v>15.554857621440537</v>
      </c>
      <c r="R114" s="93"/>
      <c r="S114" s="93"/>
      <c r="T114" s="93"/>
      <c r="U114" s="93"/>
      <c r="V114" s="93"/>
      <c r="W114" s="93"/>
      <c r="X114" s="93"/>
      <c r="Y114" s="93"/>
      <c r="Z114" s="93"/>
      <c r="AA114" s="93" t="s">
        <v>1</v>
      </c>
      <c r="AB114" s="93">
        <v>2377</v>
      </c>
      <c r="AC114" s="93">
        <v>36000</v>
      </c>
      <c r="AD114" s="94">
        <f t="shared" si="13"/>
        <v>15.145140933950358</v>
      </c>
      <c r="AE114" s="93"/>
      <c r="AF114" s="57"/>
      <c r="AG114" s="57"/>
      <c r="AH114" s="57">
        <v>301</v>
      </c>
      <c r="AI114" s="57">
        <v>3500</v>
      </c>
      <c r="AJ114" s="94">
        <f t="shared" si="14"/>
        <v>11.627906976744185</v>
      </c>
    </row>
    <row r="115" spans="1:36" x14ac:dyDescent="0.3">
      <c r="A115" s="39" t="s">
        <v>240</v>
      </c>
      <c r="C115" s="93" t="s">
        <v>527</v>
      </c>
      <c r="D115" s="38" t="s">
        <v>1</v>
      </c>
      <c r="E115" s="93"/>
      <c r="F115" s="93"/>
      <c r="G115" s="94" t="str">
        <f t="shared" si="9"/>
        <v/>
      </c>
      <c r="H115" s="93"/>
      <c r="I115" s="93"/>
      <c r="J115" s="94" t="str">
        <f t="shared" si="10"/>
        <v/>
      </c>
      <c r="K115" s="93"/>
      <c r="L115" s="93"/>
      <c r="M115" s="94" t="str">
        <f t="shared" si="11"/>
        <v/>
      </c>
      <c r="N115" s="94"/>
      <c r="O115" s="93"/>
      <c r="P115" s="93"/>
      <c r="Q115" s="94" t="str">
        <f t="shared" si="12"/>
        <v/>
      </c>
      <c r="R115" s="93"/>
      <c r="S115" s="93"/>
      <c r="T115" s="93"/>
      <c r="U115" s="93"/>
      <c r="V115" s="93"/>
      <c r="W115" s="93"/>
      <c r="X115" s="93"/>
      <c r="Y115" s="93"/>
      <c r="Z115" s="93"/>
      <c r="AA115" s="93" t="s">
        <v>1</v>
      </c>
      <c r="AB115" s="93"/>
      <c r="AC115" s="93"/>
      <c r="AD115" s="94" t="str">
        <f t="shared" si="13"/>
        <v/>
      </c>
      <c r="AE115" s="93"/>
      <c r="AF115" s="57"/>
      <c r="AG115" s="57"/>
      <c r="AH115" s="57">
        <v>214</v>
      </c>
      <c r="AI115" s="57">
        <v>5100</v>
      </c>
      <c r="AJ115" s="94">
        <f t="shared" si="14"/>
        <v>23.831775700934578</v>
      </c>
    </row>
    <row r="116" spans="1:36" x14ac:dyDescent="0.3">
      <c r="A116" s="39" t="s">
        <v>82</v>
      </c>
      <c r="C116" s="93" t="s">
        <v>527</v>
      </c>
      <c r="D116" s="38" t="s">
        <v>1</v>
      </c>
      <c r="E116" s="93"/>
      <c r="F116" s="93"/>
      <c r="G116" s="94" t="str">
        <f t="shared" si="9"/>
        <v/>
      </c>
      <c r="H116" s="93"/>
      <c r="I116" s="93"/>
      <c r="J116" s="94" t="str">
        <f t="shared" si="10"/>
        <v/>
      </c>
      <c r="K116" s="93"/>
      <c r="L116" s="93"/>
      <c r="M116" s="94" t="str">
        <f t="shared" si="11"/>
        <v/>
      </c>
      <c r="N116" s="94"/>
      <c r="O116" s="93"/>
      <c r="P116" s="93"/>
      <c r="Q116" s="94" t="str">
        <f t="shared" si="12"/>
        <v/>
      </c>
      <c r="R116" s="93"/>
      <c r="S116" s="93"/>
      <c r="T116" s="93"/>
      <c r="U116" s="93"/>
      <c r="V116" s="93"/>
      <c r="W116" s="93"/>
      <c r="X116" s="93"/>
      <c r="Y116" s="93"/>
      <c r="Z116" s="93"/>
      <c r="AA116" s="93" t="s">
        <v>1</v>
      </c>
      <c r="AB116" s="93">
        <v>596</v>
      </c>
      <c r="AC116" s="93">
        <v>11000</v>
      </c>
      <c r="AD116" s="94">
        <f t="shared" si="13"/>
        <v>18.456375838926174</v>
      </c>
      <c r="AE116" s="93"/>
      <c r="AF116" s="57"/>
      <c r="AG116" s="57"/>
      <c r="AH116" s="57">
        <v>981</v>
      </c>
      <c r="AI116" s="57">
        <v>11400</v>
      </c>
      <c r="AJ116" s="94">
        <f t="shared" si="14"/>
        <v>11.62079510703364</v>
      </c>
    </row>
    <row r="117" spans="1:36" x14ac:dyDescent="0.3">
      <c r="A117" s="39" t="s">
        <v>241</v>
      </c>
      <c r="C117" s="93" t="s">
        <v>527</v>
      </c>
      <c r="D117" s="38" t="s">
        <v>1</v>
      </c>
      <c r="E117" s="93"/>
      <c r="F117" s="93"/>
      <c r="G117" s="94" t="str">
        <f t="shared" si="9"/>
        <v/>
      </c>
      <c r="H117" s="93"/>
      <c r="I117" s="93"/>
      <c r="J117" s="94" t="str">
        <f t="shared" si="10"/>
        <v/>
      </c>
      <c r="K117" s="93"/>
      <c r="L117" s="93"/>
      <c r="M117" s="94" t="str">
        <f t="shared" si="11"/>
        <v/>
      </c>
      <c r="N117" s="94"/>
      <c r="O117" s="93"/>
      <c r="P117" s="93"/>
      <c r="Q117" s="94" t="str">
        <f t="shared" si="12"/>
        <v/>
      </c>
      <c r="R117" s="93"/>
      <c r="S117" s="93"/>
      <c r="T117" s="93"/>
      <c r="U117" s="93"/>
      <c r="V117" s="93"/>
      <c r="W117" s="93"/>
      <c r="X117" s="93"/>
      <c r="Y117" s="93"/>
      <c r="Z117" s="93"/>
      <c r="AA117" s="93" t="s">
        <v>1</v>
      </c>
      <c r="AB117" s="93">
        <v>464</v>
      </c>
      <c r="AC117" s="93">
        <v>37000</v>
      </c>
      <c r="AD117" s="94">
        <f t="shared" si="13"/>
        <v>79.741379310344826</v>
      </c>
      <c r="AE117" s="93"/>
      <c r="AF117" s="57"/>
      <c r="AG117" s="57"/>
      <c r="AH117" s="57">
        <v>258</v>
      </c>
      <c r="AI117" s="57">
        <v>8300</v>
      </c>
      <c r="AJ117" s="94">
        <f t="shared" si="14"/>
        <v>32.170542635658911</v>
      </c>
    </row>
    <row r="118" spans="1:36" x14ac:dyDescent="0.3">
      <c r="A118" s="39" t="s">
        <v>242</v>
      </c>
      <c r="C118" s="93" t="s">
        <v>527</v>
      </c>
      <c r="D118" s="38" t="s">
        <v>1</v>
      </c>
      <c r="E118" s="93"/>
      <c r="F118" s="93"/>
      <c r="G118" s="94" t="str">
        <f t="shared" si="9"/>
        <v/>
      </c>
      <c r="H118" s="93"/>
      <c r="I118" s="93"/>
      <c r="J118" s="94" t="str">
        <f t="shared" si="10"/>
        <v/>
      </c>
      <c r="K118" s="93"/>
      <c r="L118" s="93"/>
      <c r="M118" s="94" t="str">
        <f t="shared" si="11"/>
        <v/>
      </c>
      <c r="N118" s="94"/>
      <c r="O118" s="93"/>
      <c r="P118" s="93"/>
      <c r="Q118" s="94" t="str">
        <f t="shared" si="12"/>
        <v/>
      </c>
      <c r="R118" s="93"/>
      <c r="S118" s="93"/>
      <c r="T118" s="93"/>
      <c r="U118" s="93"/>
      <c r="V118" s="93"/>
      <c r="W118" s="93"/>
      <c r="X118" s="93"/>
      <c r="Y118" s="93"/>
      <c r="Z118" s="93"/>
      <c r="AA118" s="93" t="s">
        <v>1</v>
      </c>
      <c r="AB118" s="93">
        <f>365</f>
        <v>365</v>
      </c>
      <c r="AC118" s="93">
        <v>21000</v>
      </c>
      <c r="AD118" s="94">
        <f t="shared" si="13"/>
        <v>57.534246575342465</v>
      </c>
      <c r="AE118" s="93"/>
      <c r="AF118" s="57"/>
      <c r="AG118" s="57"/>
      <c r="AH118" s="57">
        <v>78</v>
      </c>
      <c r="AI118" s="57">
        <v>4200</v>
      </c>
      <c r="AJ118" s="94">
        <f t="shared" si="14"/>
        <v>53.846153846153847</v>
      </c>
    </row>
    <row r="119" spans="1:36" x14ac:dyDescent="0.3">
      <c r="A119" s="39" t="s">
        <v>243</v>
      </c>
      <c r="C119" s="93" t="s">
        <v>527</v>
      </c>
      <c r="D119" s="38" t="s">
        <v>1</v>
      </c>
      <c r="E119" s="93"/>
      <c r="F119" s="93"/>
      <c r="G119" s="94" t="str">
        <f t="shared" si="9"/>
        <v/>
      </c>
      <c r="H119" s="93"/>
      <c r="I119" s="93"/>
      <c r="J119" s="94" t="str">
        <f t="shared" si="10"/>
        <v/>
      </c>
      <c r="K119" s="93"/>
      <c r="L119" s="93"/>
      <c r="M119" s="94" t="str">
        <f t="shared" si="11"/>
        <v/>
      </c>
      <c r="N119" s="94"/>
      <c r="O119" s="93"/>
      <c r="P119" s="93"/>
      <c r="Q119" s="94" t="str">
        <f t="shared" si="12"/>
        <v/>
      </c>
      <c r="R119" s="93"/>
      <c r="S119" s="93"/>
      <c r="T119" s="93"/>
      <c r="U119" s="93"/>
      <c r="V119" s="93"/>
      <c r="W119" s="93"/>
      <c r="X119" s="93"/>
      <c r="Y119" s="93"/>
      <c r="Z119" s="93"/>
      <c r="AA119" s="93" t="s">
        <v>1</v>
      </c>
      <c r="AB119" s="93"/>
      <c r="AC119" s="93"/>
      <c r="AD119" s="94" t="str">
        <f t="shared" si="13"/>
        <v/>
      </c>
      <c r="AE119" s="93"/>
      <c r="AF119" s="57"/>
      <c r="AG119" s="57"/>
      <c r="AH119" s="57">
        <v>1153</v>
      </c>
      <c r="AI119" s="57">
        <v>17000</v>
      </c>
      <c r="AJ119" s="94">
        <f t="shared" si="14"/>
        <v>14.744145706851691</v>
      </c>
    </row>
    <row r="120" spans="1:36" x14ac:dyDescent="0.3">
      <c r="A120" s="39" t="s">
        <v>152</v>
      </c>
      <c r="C120" s="93" t="s">
        <v>527</v>
      </c>
      <c r="D120" s="38" t="s">
        <v>1</v>
      </c>
      <c r="E120" s="93"/>
      <c r="F120" s="93"/>
      <c r="G120" s="94" t="str">
        <f t="shared" si="9"/>
        <v/>
      </c>
      <c r="H120" s="93"/>
      <c r="I120" s="93"/>
      <c r="J120" s="94" t="str">
        <f t="shared" si="10"/>
        <v/>
      </c>
      <c r="K120" s="93"/>
      <c r="L120" s="93"/>
      <c r="M120" s="94" t="str">
        <f t="shared" si="11"/>
        <v/>
      </c>
      <c r="N120" s="94"/>
      <c r="O120" s="93">
        <v>430</v>
      </c>
      <c r="P120" s="93">
        <v>38600</v>
      </c>
      <c r="Q120" s="94">
        <f t="shared" si="12"/>
        <v>89.767441860465112</v>
      </c>
      <c r="R120" s="93"/>
      <c r="S120" s="93"/>
      <c r="T120" s="93"/>
      <c r="U120" s="93"/>
      <c r="V120" s="93"/>
      <c r="W120" s="93"/>
      <c r="X120" s="93"/>
      <c r="Y120" s="93"/>
      <c r="Z120" s="93"/>
      <c r="AA120" s="93" t="s">
        <v>1</v>
      </c>
      <c r="AB120" s="93">
        <v>244</v>
      </c>
      <c r="AC120" s="93">
        <v>18000</v>
      </c>
      <c r="AD120" s="94">
        <f t="shared" si="13"/>
        <v>73.770491803278688</v>
      </c>
      <c r="AE120" s="93"/>
      <c r="AF120" s="57"/>
      <c r="AG120" s="57"/>
      <c r="AH120" s="57">
        <v>383</v>
      </c>
      <c r="AI120" s="57">
        <v>26700</v>
      </c>
      <c r="AJ120" s="94">
        <f t="shared" si="14"/>
        <v>69.712793733681465</v>
      </c>
    </row>
    <row r="121" spans="1:36" x14ac:dyDescent="0.3">
      <c r="A121" s="39" t="s">
        <v>247</v>
      </c>
      <c r="C121" s="93" t="s">
        <v>527</v>
      </c>
      <c r="D121" s="38" t="s">
        <v>1</v>
      </c>
      <c r="E121" s="93"/>
      <c r="F121" s="93"/>
      <c r="G121" s="94" t="str">
        <f t="shared" si="9"/>
        <v/>
      </c>
      <c r="H121" s="93"/>
      <c r="I121" s="93"/>
      <c r="J121" s="94" t="str">
        <f t="shared" si="10"/>
        <v/>
      </c>
      <c r="K121" s="93"/>
      <c r="L121" s="93"/>
      <c r="M121" s="94" t="str">
        <f t="shared" si="11"/>
        <v/>
      </c>
      <c r="N121" s="94"/>
      <c r="O121" s="93"/>
      <c r="P121" s="93"/>
      <c r="Q121" s="94" t="str">
        <f t="shared" si="12"/>
        <v/>
      </c>
      <c r="R121" s="93"/>
      <c r="S121" s="93"/>
      <c r="T121" s="93"/>
      <c r="U121" s="93"/>
      <c r="V121" s="93"/>
      <c r="W121" s="93"/>
      <c r="X121" s="93"/>
      <c r="Y121" s="93"/>
      <c r="Z121" s="93"/>
      <c r="AA121" s="93" t="s">
        <v>1</v>
      </c>
      <c r="AB121" s="93">
        <v>25</v>
      </c>
      <c r="AC121" s="93">
        <v>2000</v>
      </c>
      <c r="AD121" s="94">
        <f t="shared" si="13"/>
        <v>80</v>
      </c>
      <c r="AE121" s="93"/>
      <c r="AF121" s="57"/>
      <c r="AG121" s="57"/>
      <c r="AH121" s="57">
        <v>32</v>
      </c>
      <c r="AI121" s="57">
        <v>2500</v>
      </c>
      <c r="AJ121" s="94">
        <f t="shared" si="14"/>
        <v>78.125</v>
      </c>
    </row>
    <row r="122" spans="1:36" x14ac:dyDescent="0.3">
      <c r="A122" s="39" t="s">
        <v>244</v>
      </c>
      <c r="C122" s="93" t="s">
        <v>527</v>
      </c>
      <c r="D122" s="38" t="s">
        <v>1</v>
      </c>
      <c r="E122" s="93"/>
      <c r="F122" s="93"/>
      <c r="G122" s="94" t="str">
        <f t="shared" si="9"/>
        <v/>
      </c>
      <c r="H122" s="93"/>
      <c r="I122" s="93"/>
      <c r="J122" s="94" t="str">
        <f t="shared" si="10"/>
        <v/>
      </c>
      <c r="K122" s="93"/>
      <c r="L122" s="93"/>
      <c r="M122" s="94" t="str">
        <f t="shared" si="11"/>
        <v/>
      </c>
      <c r="N122" s="94"/>
      <c r="O122" s="93"/>
      <c r="P122" s="93"/>
      <c r="Q122" s="94" t="str">
        <f t="shared" si="12"/>
        <v/>
      </c>
      <c r="R122" s="93"/>
      <c r="S122" s="93"/>
      <c r="T122" s="93"/>
      <c r="U122" s="93"/>
      <c r="V122" s="93"/>
      <c r="W122" s="93"/>
      <c r="X122" s="93"/>
      <c r="Y122" s="93"/>
      <c r="Z122" s="93"/>
      <c r="AA122" s="93" t="s">
        <v>1</v>
      </c>
      <c r="AB122" s="93">
        <v>678</v>
      </c>
      <c r="AC122" s="93">
        <v>25000</v>
      </c>
      <c r="AD122" s="94">
        <f t="shared" si="13"/>
        <v>36.873156342182888</v>
      </c>
      <c r="AE122" s="93"/>
      <c r="AF122" s="57"/>
      <c r="AG122" s="57"/>
      <c r="AH122" s="57">
        <v>24</v>
      </c>
      <c r="AI122" s="57">
        <v>700</v>
      </c>
      <c r="AJ122" s="94">
        <f t="shared" si="14"/>
        <v>29.166666666666668</v>
      </c>
    </row>
    <row r="123" spans="1:36" x14ac:dyDescent="0.3">
      <c r="A123" s="39" t="s">
        <v>248</v>
      </c>
      <c r="C123" s="93" t="s">
        <v>527</v>
      </c>
      <c r="D123" s="38" t="s">
        <v>1</v>
      </c>
      <c r="E123" s="93"/>
      <c r="F123" s="93"/>
      <c r="G123" s="94" t="str">
        <f t="shared" si="9"/>
        <v/>
      </c>
      <c r="H123" s="93"/>
      <c r="I123" s="93"/>
      <c r="J123" s="94" t="str">
        <f t="shared" si="10"/>
        <v/>
      </c>
      <c r="K123" s="93"/>
      <c r="L123" s="93"/>
      <c r="M123" s="94" t="str">
        <f t="shared" si="11"/>
        <v/>
      </c>
      <c r="N123" s="94"/>
      <c r="O123" s="93"/>
      <c r="P123" s="93"/>
      <c r="Q123" s="94" t="str">
        <f t="shared" si="12"/>
        <v/>
      </c>
      <c r="R123" s="93"/>
      <c r="S123" s="93"/>
      <c r="T123" s="93"/>
      <c r="U123" s="93"/>
      <c r="V123" s="93"/>
      <c r="W123" s="93"/>
      <c r="X123" s="93"/>
      <c r="Y123" s="93"/>
      <c r="Z123" s="93"/>
      <c r="AA123" s="93" t="s">
        <v>1</v>
      </c>
      <c r="AB123" s="93">
        <v>86</v>
      </c>
      <c r="AC123" s="93">
        <v>4500</v>
      </c>
      <c r="AD123" s="94">
        <f t="shared" si="13"/>
        <v>52.325581395348834</v>
      </c>
      <c r="AE123" s="93"/>
      <c r="AF123" s="57"/>
      <c r="AG123" s="57"/>
      <c r="AH123" s="57">
        <v>43</v>
      </c>
      <c r="AI123" s="57">
        <v>2100</v>
      </c>
      <c r="AJ123" s="94">
        <f t="shared" si="14"/>
        <v>48.837209302325583</v>
      </c>
    </row>
    <row r="124" spans="1:36" x14ac:dyDescent="0.3">
      <c r="A124" s="39" t="s">
        <v>245</v>
      </c>
      <c r="C124" s="93" t="s">
        <v>527</v>
      </c>
      <c r="D124" s="38" t="s">
        <v>1</v>
      </c>
      <c r="E124" s="93"/>
      <c r="F124" s="93"/>
      <c r="G124" s="94" t="str">
        <f t="shared" si="9"/>
        <v/>
      </c>
      <c r="H124" s="93"/>
      <c r="I124" s="93"/>
      <c r="J124" s="94" t="str">
        <f t="shared" si="10"/>
        <v/>
      </c>
      <c r="K124" s="93"/>
      <c r="L124" s="93"/>
      <c r="M124" s="94" t="str">
        <f t="shared" si="11"/>
        <v/>
      </c>
      <c r="N124" s="94"/>
      <c r="O124" s="93"/>
      <c r="P124" s="93"/>
      <c r="Q124" s="94" t="str">
        <f t="shared" si="12"/>
        <v/>
      </c>
      <c r="R124" s="93"/>
      <c r="S124" s="93"/>
      <c r="T124" s="93"/>
      <c r="U124" s="93"/>
      <c r="V124" s="93"/>
      <c r="W124" s="93"/>
      <c r="X124" s="93"/>
      <c r="Y124" s="93"/>
      <c r="Z124" s="93"/>
      <c r="AA124" s="93" t="s">
        <v>1</v>
      </c>
      <c r="AB124" s="93">
        <v>100</v>
      </c>
      <c r="AC124" s="93">
        <v>23000</v>
      </c>
      <c r="AD124" s="94">
        <f t="shared" si="13"/>
        <v>230</v>
      </c>
      <c r="AE124" s="93"/>
      <c r="AF124" s="57"/>
      <c r="AG124" s="57"/>
      <c r="AH124" s="57">
        <v>99</v>
      </c>
      <c r="AI124" s="57">
        <v>14000</v>
      </c>
      <c r="AJ124" s="94">
        <f t="shared" si="14"/>
        <v>141.41414141414143</v>
      </c>
    </row>
    <row r="125" spans="1:36" x14ac:dyDescent="0.3">
      <c r="A125" s="39" t="s">
        <v>393</v>
      </c>
      <c r="C125" s="93" t="s">
        <v>527</v>
      </c>
      <c r="D125" s="38" t="s">
        <v>1</v>
      </c>
      <c r="E125" s="93"/>
      <c r="F125" s="93"/>
      <c r="G125" s="94" t="str">
        <f t="shared" si="9"/>
        <v/>
      </c>
      <c r="H125" s="93"/>
      <c r="I125" s="93"/>
      <c r="J125" s="94" t="str">
        <f t="shared" si="10"/>
        <v/>
      </c>
      <c r="K125" s="93"/>
      <c r="L125" s="93"/>
      <c r="M125" s="94" t="str">
        <f t="shared" si="11"/>
        <v/>
      </c>
      <c r="N125" s="94"/>
      <c r="O125" s="93"/>
      <c r="P125" s="93"/>
      <c r="Q125" s="94" t="str">
        <f t="shared" si="12"/>
        <v/>
      </c>
      <c r="R125" s="93"/>
      <c r="S125" s="93"/>
      <c r="T125" s="93"/>
      <c r="U125" s="93"/>
      <c r="V125" s="93"/>
      <c r="W125" s="93"/>
      <c r="X125" s="93"/>
      <c r="Y125" s="93"/>
      <c r="Z125" s="93"/>
      <c r="AA125" s="93" t="s">
        <v>1</v>
      </c>
      <c r="AB125" s="93">
        <v>51</v>
      </c>
      <c r="AC125" s="93">
        <v>4600</v>
      </c>
      <c r="AD125" s="94">
        <f t="shared" si="13"/>
        <v>90.196078431372555</v>
      </c>
      <c r="AE125" s="93"/>
      <c r="AF125" s="57"/>
      <c r="AG125" s="57"/>
      <c r="AH125" s="57"/>
      <c r="AI125" s="57"/>
      <c r="AJ125" s="94" t="str">
        <f t="shared" si="14"/>
        <v/>
      </c>
    </row>
    <row r="126" spans="1:36" x14ac:dyDescent="0.3">
      <c r="A126" s="39" t="s">
        <v>249</v>
      </c>
      <c r="C126" s="93" t="s">
        <v>527</v>
      </c>
      <c r="D126" s="38" t="s">
        <v>1</v>
      </c>
      <c r="E126" s="93"/>
      <c r="F126" s="93"/>
      <c r="G126" s="94" t="str">
        <f t="shared" si="9"/>
        <v/>
      </c>
      <c r="H126" s="93"/>
      <c r="I126" s="93"/>
      <c r="J126" s="94" t="str">
        <f t="shared" si="10"/>
        <v/>
      </c>
      <c r="K126" s="93"/>
      <c r="L126" s="93"/>
      <c r="M126" s="94" t="str">
        <f t="shared" si="11"/>
        <v/>
      </c>
      <c r="N126" s="94"/>
      <c r="O126" s="93"/>
      <c r="P126" s="93"/>
      <c r="Q126" s="94" t="str">
        <f t="shared" si="12"/>
        <v/>
      </c>
      <c r="R126" s="93"/>
      <c r="S126" s="93"/>
      <c r="T126" s="93"/>
      <c r="U126" s="93"/>
      <c r="V126" s="93"/>
      <c r="W126" s="93"/>
      <c r="X126" s="93"/>
      <c r="Y126" s="93"/>
      <c r="Z126" s="93"/>
      <c r="AA126" s="93" t="s">
        <v>1</v>
      </c>
      <c r="AB126" s="93">
        <v>165</v>
      </c>
      <c r="AC126" s="93">
        <v>21000</v>
      </c>
      <c r="AD126" s="94">
        <f t="shared" si="13"/>
        <v>127.27272727272727</v>
      </c>
      <c r="AE126" s="93"/>
      <c r="AF126" s="57"/>
      <c r="AG126" s="57"/>
      <c r="AH126" s="57">
        <v>16</v>
      </c>
      <c r="AI126" s="57">
        <v>1900</v>
      </c>
      <c r="AJ126" s="94">
        <f t="shared" si="14"/>
        <v>118.75</v>
      </c>
    </row>
    <row r="127" spans="1:36" x14ac:dyDescent="0.3">
      <c r="A127" s="39" t="s">
        <v>394</v>
      </c>
      <c r="C127" s="93" t="s">
        <v>527</v>
      </c>
      <c r="D127" s="38" t="s">
        <v>1</v>
      </c>
      <c r="E127" s="93"/>
      <c r="F127" s="93"/>
      <c r="G127" s="94" t="str">
        <f t="shared" si="9"/>
        <v/>
      </c>
      <c r="H127" s="93"/>
      <c r="I127" s="93"/>
      <c r="J127" s="94" t="str">
        <f t="shared" si="10"/>
        <v/>
      </c>
      <c r="K127" s="93"/>
      <c r="L127" s="93"/>
      <c r="M127" s="94" t="str">
        <f t="shared" si="11"/>
        <v/>
      </c>
      <c r="N127" s="94"/>
      <c r="O127" s="93"/>
      <c r="P127" s="93"/>
      <c r="Q127" s="94" t="str">
        <f t="shared" si="12"/>
        <v/>
      </c>
      <c r="R127" s="93"/>
      <c r="S127" s="93"/>
      <c r="T127" s="93"/>
      <c r="U127" s="93"/>
      <c r="V127" s="93"/>
      <c r="W127" s="93"/>
      <c r="X127" s="93"/>
      <c r="Y127" s="93"/>
      <c r="Z127" s="93"/>
      <c r="AA127" s="93" t="s">
        <v>1</v>
      </c>
      <c r="AB127" s="93">
        <v>90</v>
      </c>
      <c r="AC127" s="93">
        <v>25000</v>
      </c>
      <c r="AD127" s="94">
        <f t="shared" si="13"/>
        <v>277.77777777777777</v>
      </c>
      <c r="AE127" s="93"/>
      <c r="AF127" s="57"/>
      <c r="AG127" s="57"/>
      <c r="AH127" s="57"/>
      <c r="AI127" s="57"/>
      <c r="AJ127" s="94" t="str">
        <f t="shared" si="14"/>
        <v/>
      </c>
    </row>
    <row r="128" spans="1:36" x14ac:dyDescent="0.3">
      <c r="A128" s="39" t="s">
        <v>250</v>
      </c>
      <c r="C128" s="93" t="s">
        <v>527</v>
      </c>
      <c r="D128" s="38" t="s">
        <v>1</v>
      </c>
      <c r="E128" s="93"/>
      <c r="F128" s="93"/>
      <c r="G128" s="94" t="str">
        <f t="shared" si="9"/>
        <v/>
      </c>
      <c r="H128" s="93"/>
      <c r="I128" s="93"/>
      <c r="J128" s="94" t="str">
        <f t="shared" si="10"/>
        <v/>
      </c>
      <c r="K128" s="93"/>
      <c r="L128" s="93"/>
      <c r="M128" s="94" t="str">
        <f t="shared" si="11"/>
        <v/>
      </c>
      <c r="N128" s="94"/>
      <c r="O128" s="93"/>
      <c r="P128" s="93"/>
      <c r="Q128" s="94" t="str">
        <f t="shared" si="12"/>
        <v/>
      </c>
      <c r="R128" s="93"/>
      <c r="S128" s="93"/>
      <c r="T128" s="93"/>
      <c r="U128" s="93"/>
      <c r="V128" s="93"/>
      <c r="W128" s="93"/>
      <c r="X128" s="93"/>
      <c r="Y128" s="93"/>
      <c r="Z128" s="93"/>
      <c r="AA128" s="93" t="s">
        <v>1</v>
      </c>
      <c r="AB128" s="93"/>
      <c r="AC128" s="93"/>
      <c r="AD128" s="94" t="str">
        <f t="shared" si="13"/>
        <v/>
      </c>
      <c r="AE128" s="93"/>
      <c r="AF128" s="57"/>
      <c r="AG128" s="57"/>
      <c r="AH128" s="57">
        <v>8</v>
      </c>
      <c r="AI128" s="57">
        <v>1100</v>
      </c>
      <c r="AJ128" s="94">
        <f t="shared" si="14"/>
        <v>137.5</v>
      </c>
    </row>
    <row r="129" spans="1:36" x14ac:dyDescent="0.3">
      <c r="A129" s="39" t="s">
        <v>251</v>
      </c>
      <c r="C129" s="93" t="s">
        <v>527</v>
      </c>
      <c r="D129" s="38" t="s">
        <v>1</v>
      </c>
      <c r="E129" s="93"/>
      <c r="F129" s="93"/>
      <c r="G129" s="94" t="str">
        <f t="shared" si="9"/>
        <v/>
      </c>
      <c r="H129" s="93"/>
      <c r="I129" s="93"/>
      <c r="J129" s="94" t="str">
        <f t="shared" si="10"/>
        <v/>
      </c>
      <c r="K129" s="93"/>
      <c r="L129" s="93"/>
      <c r="M129" s="94" t="str">
        <f t="shared" si="11"/>
        <v/>
      </c>
      <c r="N129" s="94"/>
      <c r="O129" s="93"/>
      <c r="P129" s="93"/>
      <c r="Q129" s="94" t="str">
        <f t="shared" si="12"/>
        <v/>
      </c>
      <c r="R129" s="93"/>
      <c r="S129" s="93"/>
      <c r="T129" s="93"/>
      <c r="U129" s="93"/>
      <c r="V129" s="93"/>
      <c r="W129" s="93"/>
      <c r="X129" s="93"/>
      <c r="Y129" s="93"/>
      <c r="Z129" s="93"/>
      <c r="AA129" s="93" t="s">
        <v>1</v>
      </c>
      <c r="AB129" s="93"/>
      <c r="AC129" s="93"/>
      <c r="AD129" s="94" t="str">
        <f t="shared" si="13"/>
        <v/>
      </c>
      <c r="AE129" s="93"/>
      <c r="AF129" s="57"/>
      <c r="AG129" s="57"/>
      <c r="AH129" s="57">
        <v>8</v>
      </c>
      <c r="AI129" s="57">
        <v>800</v>
      </c>
      <c r="AJ129" s="94">
        <f t="shared" si="14"/>
        <v>100</v>
      </c>
    </row>
    <row r="130" spans="1:36" x14ac:dyDescent="0.3">
      <c r="A130" s="39" t="s">
        <v>252</v>
      </c>
      <c r="C130" s="93" t="s">
        <v>527</v>
      </c>
      <c r="D130" s="38" t="s">
        <v>1</v>
      </c>
      <c r="E130" s="93"/>
      <c r="F130" s="93"/>
      <c r="G130" s="94" t="str">
        <f t="shared" si="9"/>
        <v/>
      </c>
      <c r="H130" s="93"/>
      <c r="I130" s="93"/>
      <c r="J130" s="94" t="str">
        <f t="shared" si="10"/>
        <v/>
      </c>
      <c r="K130" s="93"/>
      <c r="L130" s="93"/>
      <c r="M130" s="94" t="str">
        <f t="shared" si="11"/>
        <v/>
      </c>
      <c r="N130" s="94"/>
      <c r="O130" s="93"/>
      <c r="P130" s="93"/>
      <c r="Q130" s="94" t="str">
        <f t="shared" si="12"/>
        <v/>
      </c>
      <c r="R130" s="93"/>
      <c r="S130" s="93"/>
      <c r="T130" s="93"/>
      <c r="U130" s="93"/>
      <c r="V130" s="93"/>
      <c r="W130" s="93"/>
      <c r="X130" s="93"/>
      <c r="Y130" s="93"/>
      <c r="Z130" s="93"/>
      <c r="AA130" s="93" t="s">
        <v>1</v>
      </c>
      <c r="AB130" s="93">
        <f>203+249</f>
        <v>452</v>
      </c>
      <c r="AC130" s="93">
        <f>10000+18000</f>
        <v>28000</v>
      </c>
      <c r="AD130" s="94">
        <f t="shared" si="13"/>
        <v>61.946902654867259</v>
      </c>
      <c r="AE130" s="93"/>
      <c r="AF130" s="57"/>
      <c r="AG130" s="57"/>
      <c r="AH130" s="57">
        <v>97</v>
      </c>
      <c r="AI130" s="57">
        <v>4700</v>
      </c>
      <c r="AJ130" s="94">
        <f t="shared" si="14"/>
        <v>48.453608247422679</v>
      </c>
    </row>
    <row r="131" spans="1:36" x14ac:dyDescent="0.3">
      <c r="A131" s="39" t="s">
        <v>644</v>
      </c>
      <c r="C131" s="93" t="s">
        <v>527</v>
      </c>
      <c r="D131" s="38" t="s">
        <v>1</v>
      </c>
      <c r="E131" s="93"/>
      <c r="F131" s="93"/>
      <c r="G131" s="94" t="str">
        <f t="shared" si="9"/>
        <v/>
      </c>
      <c r="H131" s="93"/>
      <c r="I131" s="93"/>
      <c r="J131" s="94" t="str">
        <f t="shared" si="10"/>
        <v/>
      </c>
      <c r="K131" s="93"/>
      <c r="L131" s="93"/>
      <c r="M131" s="94" t="str">
        <f t="shared" si="11"/>
        <v/>
      </c>
      <c r="N131" s="94"/>
      <c r="O131" s="93"/>
      <c r="P131" s="93"/>
      <c r="Q131" s="94" t="str">
        <f t="shared" si="12"/>
        <v/>
      </c>
      <c r="R131" s="93"/>
      <c r="S131" s="93"/>
      <c r="T131" s="93"/>
      <c r="U131" s="93"/>
      <c r="V131" s="93"/>
      <c r="W131" s="93"/>
      <c r="X131" s="93"/>
      <c r="Y131" s="93"/>
      <c r="Z131" s="93"/>
      <c r="AA131" s="93" t="s">
        <v>1</v>
      </c>
      <c r="AB131" s="93">
        <v>866</v>
      </c>
      <c r="AC131" s="93">
        <v>21000</v>
      </c>
      <c r="AD131" s="94">
        <f t="shared" si="13"/>
        <v>24.249422632794456</v>
      </c>
      <c r="AE131" s="93"/>
      <c r="AF131" s="57"/>
      <c r="AG131" s="57"/>
      <c r="AH131" s="57"/>
      <c r="AI131" s="57"/>
      <c r="AJ131" s="94" t="str">
        <f t="shared" si="14"/>
        <v/>
      </c>
    </row>
    <row r="132" spans="1:36" x14ac:dyDescent="0.3">
      <c r="A132" s="39" t="s">
        <v>644</v>
      </c>
      <c r="C132" s="93" t="s">
        <v>527</v>
      </c>
      <c r="D132" s="38" t="s">
        <v>1</v>
      </c>
      <c r="E132" s="93"/>
      <c r="F132" s="93"/>
      <c r="G132" s="94" t="str">
        <f t="shared" ref="G132:G195" si="15">IFERROR(F132/E132,"")</f>
        <v/>
      </c>
      <c r="H132" s="93"/>
      <c r="I132" s="93"/>
      <c r="J132" s="94" t="str">
        <f t="shared" ref="J132:J195" si="16">IFERROR(I132/H132,"")</f>
        <v/>
      </c>
      <c r="K132" s="93"/>
      <c r="L132" s="93"/>
      <c r="M132" s="94" t="str">
        <f t="shared" ref="M132:M195" si="17">IFERROR(L132/K132,"")</f>
        <v/>
      </c>
      <c r="N132" s="94"/>
      <c r="O132" s="93"/>
      <c r="P132" s="93"/>
      <c r="Q132" s="94" t="str">
        <f t="shared" ref="Q132:Q195" si="18">IFERROR(P132/O132,"")</f>
        <v/>
      </c>
      <c r="R132" s="93"/>
      <c r="S132" s="93"/>
      <c r="T132" s="93"/>
      <c r="U132" s="93"/>
      <c r="V132" s="93"/>
      <c r="W132" s="93"/>
      <c r="X132" s="93"/>
      <c r="Y132" s="93"/>
      <c r="Z132" s="93"/>
      <c r="AA132" s="93" t="s">
        <v>1</v>
      </c>
      <c r="AB132" s="93">
        <v>117</v>
      </c>
      <c r="AC132" s="93">
        <v>11000</v>
      </c>
      <c r="AD132" s="94">
        <f t="shared" ref="AD132:AD195" si="19">IFERROR(AC132/AB132,"")</f>
        <v>94.017094017094024</v>
      </c>
      <c r="AE132" s="93"/>
      <c r="AF132" s="57"/>
      <c r="AG132" s="57"/>
      <c r="AH132" s="57"/>
      <c r="AI132" s="57"/>
      <c r="AJ132" s="94" t="str">
        <f t="shared" ref="AJ132:AJ195" si="20">IFERROR(AI132/AH132,"")</f>
        <v/>
      </c>
    </row>
    <row r="133" spans="1:36" x14ac:dyDescent="0.3">
      <c r="A133" s="39" t="s">
        <v>399</v>
      </c>
      <c r="C133" s="93" t="s">
        <v>527</v>
      </c>
      <c r="D133" s="38" t="s">
        <v>1</v>
      </c>
      <c r="E133" s="93"/>
      <c r="F133" s="93"/>
      <c r="G133" s="94" t="str">
        <f t="shared" si="15"/>
        <v/>
      </c>
      <c r="H133" s="93"/>
      <c r="I133" s="93"/>
      <c r="J133" s="94" t="str">
        <f t="shared" si="16"/>
        <v/>
      </c>
      <c r="K133" s="93"/>
      <c r="L133" s="93"/>
      <c r="M133" s="94" t="str">
        <f t="shared" si="17"/>
        <v/>
      </c>
      <c r="N133" s="94"/>
      <c r="O133" s="93"/>
      <c r="P133" s="93"/>
      <c r="Q133" s="94" t="str">
        <f t="shared" si="18"/>
        <v/>
      </c>
      <c r="R133" s="93"/>
      <c r="S133" s="93"/>
      <c r="T133" s="93"/>
      <c r="U133" s="93"/>
      <c r="V133" s="93"/>
      <c r="W133" s="93"/>
      <c r="X133" s="93"/>
      <c r="Y133" s="93"/>
      <c r="Z133" s="93"/>
      <c r="AA133" s="93" t="s">
        <v>1</v>
      </c>
      <c r="AB133" s="93">
        <v>406</v>
      </c>
      <c r="AC133" s="93">
        <v>15000</v>
      </c>
      <c r="AD133" s="94">
        <f t="shared" si="19"/>
        <v>36.945812807881772</v>
      </c>
      <c r="AE133" s="93"/>
      <c r="AF133" s="57"/>
      <c r="AG133" s="57"/>
      <c r="AH133" s="57"/>
      <c r="AI133" s="57"/>
      <c r="AJ133" s="94" t="str">
        <f t="shared" si="20"/>
        <v/>
      </c>
    </row>
    <row r="134" spans="1:36" x14ac:dyDescent="0.3">
      <c r="A134" s="39" t="s">
        <v>400</v>
      </c>
      <c r="C134" s="93" t="s">
        <v>527</v>
      </c>
      <c r="D134" s="38" t="s">
        <v>1</v>
      </c>
      <c r="E134" s="93"/>
      <c r="F134" s="93"/>
      <c r="G134" s="94" t="str">
        <f t="shared" si="15"/>
        <v/>
      </c>
      <c r="H134" s="93"/>
      <c r="I134" s="93"/>
      <c r="J134" s="94" t="str">
        <f t="shared" si="16"/>
        <v/>
      </c>
      <c r="K134" s="93"/>
      <c r="L134" s="93"/>
      <c r="M134" s="94" t="str">
        <f t="shared" si="17"/>
        <v/>
      </c>
      <c r="N134" s="94"/>
      <c r="O134" s="93"/>
      <c r="P134" s="93"/>
      <c r="Q134" s="94" t="str">
        <f t="shared" si="18"/>
        <v/>
      </c>
      <c r="R134" s="93"/>
      <c r="S134" s="93"/>
      <c r="T134" s="93"/>
      <c r="U134" s="93"/>
      <c r="V134" s="93"/>
      <c r="W134" s="93"/>
      <c r="X134" s="93"/>
      <c r="Y134" s="93"/>
      <c r="Z134" s="93"/>
      <c r="AA134" s="93" t="s">
        <v>1</v>
      </c>
      <c r="AB134" s="93">
        <v>1038</v>
      </c>
      <c r="AC134" s="93">
        <v>22000</v>
      </c>
      <c r="AD134" s="94">
        <f t="shared" si="19"/>
        <v>21.194605009633911</v>
      </c>
      <c r="AE134" s="93"/>
      <c r="AF134" s="57"/>
      <c r="AG134" s="57"/>
      <c r="AH134" s="57"/>
      <c r="AI134" s="57"/>
      <c r="AJ134" s="94" t="str">
        <f t="shared" si="20"/>
        <v/>
      </c>
    </row>
    <row r="135" spans="1:36" x14ac:dyDescent="0.3">
      <c r="A135" s="39" t="s">
        <v>253</v>
      </c>
      <c r="C135" s="93" t="s">
        <v>527</v>
      </c>
      <c r="D135" s="38" t="s">
        <v>1</v>
      </c>
      <c r="E135" s="93"/>
      <c r="F135" s="93"/>
      <c r="G135" s="94" t="str">
        <f t="shared" si="15"/>
        <v/>
      </c>
      <c r="H135" s="93"/>
      <c r="I135" s="93"/>
      <c r="J135" s="94" t="str">
        <f t="shared" si="16"/>
        <v/>
      </c>
      <c r="K135" s="93"/>
      <c r="L135" s="93"/>
      <c r="M135" s="94" t="str">
        <f t="shared" si="17"/>
        <v/>
      </c>
      <c r="N135" s="94"/>
      <c r="O135" s="93"/>
      <c r="P135" s="93"/>
      <c r="Q135" s="94" t="str">
        <f t="shared" si="18"/>
        <v/>
      </c>
      <c r="R135" s="93"/>
      <c r="S135" s="93"/>
      <c r="T135" s="93"/>
      <c r="U135" s="93"/>
      <c r="V135" s="93"/>
      <c r="W135" s="93"/>
      <c r="X135" s="93"/>
      <c r="Y135" s="93"/>
      <c r="Z135" s="93"/>
      <c r="AA135" s="93" t="s">
        <v>1</v>
      </c>
      <c r="AB135" s="93"/>
      <c r="AC135" s="93"/>
      <c r="AD135" s="94" t="str">
        <f t="shared" si="19"/>
        <v/>
      </c>
      <c r="AE135" s="93"/>
      <c r="AF135" s="57"/>
      <c r="AG135" s="57"/>
      <c r="AH135" s="57">
        <v>315</v>
      </c>
      <c r="AI135" s="57">
        <v>3000</v>
      </c>
      <c r="AJ135" s="94">
        <f t="shared" si="20"/>
        <v>9.5238095238095237</v>
      </c>
    </row>
    <row r="136" spans="1:36" x14ac:dyDescent="0.3">
      <c r="A136" s="39" t="s">
        <v>254</v>
      </c>
      <c r="C136" s="93" t="s">
        <v>527</v>
      </c>
      <c r="D136" s="38" t="s">
        <v>1</v>
      </c>
      <c r="E136" s="93"/>
      <c r="F136" s="93"/>
      <c r="G136" s="94" t="str">
        <f t="shared" si="15"/>
        <v/>
      </c>
      <c r="H136" s="93"/>
      <c r="I136" s="93"/>
      <c r="J136" s="94" t="str">
        <f t="shared" si="16"/>
        <v/>
      </c>
      <c r="K136" s="93"/>
      <c r="L136" s="93"/>
      <c r="M136" s="94" t="str">
        <f t="shared" si="17"/>
        <v/>
      </c>
      <c r="N136" s="94"/>
      <c r="O136" s="93"/>
      <c r="P136" s="93"/>
      <c r="Q136" s="94" t="str">
        <f t="shared" si="18"/>
        <v/>
      </c>
      <c r="R136" s="93"/>
      <c r="S136" s="93"/>
      <c r="T136" s="93"/>
      <c r="U136" s="93"/>
      <c r="V136" s="93"/>
      <c r="W136" s="93"/>
      <c r="X136" s="93"/>
      <c r="Y136" s="93"/>
      <c r="Z136" s="93"/>
      <c r="AA136" s="93" t="s">
        <v>1</v>
      </c>
      <c r="AB136" s="93">
        <v>3757</v>
      </c>
      <c r="AC136" s="93">
        <v>76000</v>
      </c>
      <c r="AD136" s="94">
        <f t="shared" si="19"/>
        <v>20.228906042054831</v>
      </c>
      <c r="AE136" s="93"/>
      <c r="AF136" s="57"/>
      <c r="AG136" s="57"/>
      <c r="AH136" s="57">
        <v>433</v>
      </c>
      <c r="AI136" s="57">
        <v>5300</v>
      </c>
      <c r="AJ136" s="94">
        <f t="shared" si="20"/>
        <v>12.240184757505773</v>
      </c>
    </row>
    <row r="137" spans="1:36" x14ac:dyDescent="0.3">
      <c r="A137" s="39" t="s">
        <v>255</v>
      </c>
      <c r="C137" s="93" t="s">
        <v>527</v>
      </c>
      <c r="D137" s="38" t="s">
        <v>1</v>
      </c>
      <c r="E137" s="93"/>
      <c r="F137" s="93"/>
      <c r="G137" s="94" t="str">
        <f t="shared" si="15"/>
        <v/>
      </c>
      <c r="H137" s="93"/>
      <c r="I137" s="93"/>
      <c r="J137" s="94" t="str">
        <f t="shared" si="16"/>
        <v/>
      </c>
      <c r="K137" s="93"/>
      <c r="L137" s="93"/>
      <c r="M137" s="94" t="str">
        <f t="shared" si="17"/>
        <v/>
      </c>
      <c r="N137" s="94"/>
      <c r="O137" s="93"/>
      <c r="P137" s="93"/>
      <c r="Q137" s="94" t="str">
        <f t="shared" si="18"/>
        <v/>
      </c>
      <c r="R137" s="93"/>
      <c r="S137" s="93"/>
      <c r="T137" s="93"/>
      <c r="U137" s="93"/>
      <c r="V137" s="93"/>
      <c r="W137" s="93"/>
      <c r="X137" s="93"/>
      <c r="Y137" s="93"/>
      <c r="Z137" s="93"/>
      <c r="AA137" s="93" t="s">
        <v>1</v>
      </c>
      <c r="AB137" s="93"/>
      <c r="AC137" s="93"/>
      <c r="AD137" s="94" t="str">
        <f t="shared" si="19"/>
        <v/>
      </c>
      <c r="AE137" s="93"/>
      <c r="AF137" s="57"/>
      <c r="AG137" s="57"/>
      <c r="AH137" s="57">
        <v>23</v>
      </c>
      <c r="AI137" s="57">
        <v>1500</v>
      </c>
      <c r="AJ137" s="94">
        <f t="shared" si="20"/>
        <v>65.217391304347828</v>
      </c>
    </row>
    <row r="138" spans="1:36" x14ac:dyDescent="0.3">
      <c r="A138" s="39" t="s">
        <v>401</v>
      </c>
      <c r="C138" s="93" t="s">
        <v>527</v>
      </c>
      <c r="D138" s="38" t="s">
        <v>1</v>
      </c>
      <c r="E138" s="93"/>
      <c r="F138" s="93"/>
      <c r="G138" s="94" t="str">
        <f t="shared" si="15"/>
        <v/>
      </c>
      <c r="H138" s="93"/>
      <c r="I138" s="93"/>
      <c r="J138" s="94" t="str">
        <f t="shared" si="16"/>
        <v/>
      </c>
      <c r="K138" s="93"/>
      <c r="L138" s="93"/>
      <c r="M138" s="94" t="str">
        <f t="shared" si="17"/>
        <v/>
      </c>
      <c r="N138" s="94"/>
      <c r="O138" s="93"/>
      <c r="P138" s="93"/>
      <c r="Q138" s="94" t="str">
        <f t="shared" si="18"/>
        <v/>
      </c>
      <c r="R138" s="93"/>
      <c r="S138" s="93"/>
      <c r="T138" s="93"/>
      <c r="U138" s="93"/>
      <c r="V138" s="93"/>
      <c r="W138" s="93"/>
      <c r="X138" s="93"/>
      <c r="Y138" s="93"/>
      <c r="Z138" s="93"/>
      <c r="AA138" s="93" t="s">
        <v>1</v>
      </c>
      <c r="AB138" s="93">
        <v>767</v>
      </c>
      <c r="AC138" s="93">
        <v>43000</v>
      </c>
      <c r="AD138" s="94">
        <f t="shared" si="19"/>
        <v>56.0625814863103</v>
      </c>
      <c r="AE138" s="93"/>
      <c r="AF138" s="57"/>
      <c r="AG138" s="57"/>
      <c r="AH138" s="57"/>
      <c r="AI138" s="57"/>
      <c r="AJ138" s="94" t="str">
        <f t="shared" si="20"/>
        <v/>
      </c>
    </row>
    <row r="139" spans="1:36" x14ac:dyDescent="0.3">
      <c r="A139" s="39" t="s">
        <v>402</v>
      </c>
      <c r="C139" s="93" t="s">
        <v>527</v>
      </c>
      <c r="D139" s="38" t="s">
        <v>1</v>
      </c>
      <c r="E139" s="93"/>
      <c r="F139" s="93"/>
      <c r="G139" s="94" t="str">
        <f t="shared" si="15"/>
        <v/>
      </c>
      <c r="H139" s="93"/>
      <c r="I139" s="93"/>
      <c r="J139" s="94" t="str">
        <f t="shared" si="16"/>
        <v/>
      </c>
      <c r="K139" s="93"/>
      <c r="L139" s="93"/>
      <c r="M139" s="94" t="str">
        <f t="shared" si="17"/>
        <v/>
      </c>
      <c r="N139" s="94"/>
      <c r="O139" s="93"/>
      <c r="P139" s="93"/>
      <c r="Q139" s="94" t="str">
        <f t="shared" si="18"/>
        <v/>
      </c>
      <c r="R139" s="93"/>
      <c r="S139" s="93"/>
      <c r="T139" s="93"/>
      <c r="U139" s="93"/>
      <c r="V139" s="93"/>
      <c r="W139" s="93"/>
      <c r="X139" s="93"/>
      <c r="Y139" s="93"/>
      <c r="Z139" s="93"/>
      <c r="AA139" s="93" t="s">
        <v>1</v>
      </c>
      <c r="AB139" s="93">
        <v>1570</v>
      </c>
      <c r="AC139" s="93">
        <v>19000</v>
      </c>
      <c r="AD139" s="94">
        <f t="shared" si="19"/>
        <v>12.101910828025478</v>
      </c>
      <c r="AE139" s="93"/>
      <c r="AF139" s="57"/>
      <c r="AG139" s="57"/>
      <c r="AH139" s="57"/>
      <c r="AI139" s="57"/>
      <c r="AJ139" s="94" t="str">
        <f t="shared" si="20"/>
        <v/>
      </c>
    </row>
    <row r="140" spans="1:36" x14ac:dyDescent="0.3">
      <c r="A140" s="39" t="s">
        <v>403</v>
      </c>
      <c r="C140" s="93" t="s">
        <v>527</v>
      </c>
      <c r="D140" s="38" t="s">
        <v>1</v>
      </c>
      <c r="E140" s="93"/>
      <c r="F140" s="93"/>
      <c r="G140" s="94" t="str">
        <f t="shared" si="15"/>
        <v/>
      </c>
      <c r="H140" s="93"/>
      <c r="I140" s="93"/>
      <c r="J140" s="94" t="str">
        <f t="shared" si="16"/>
        <v/>
      </c>
      <c r="K140" s="93"/>
      <c r="L140" s="93"/>
      <c r="M140" s="94" t="str">
        <f t="shared" si="17"/>
        <v/>
      </c>
      <c r="N140" s="94"/>
      <c r="O140" s="93"/>
      <c r="P140" s="93"/>
      <c r="Q140" s="94" t="str">
        <f t="shared" si="18"/>
        <v/>
      </c>
      <c r="R140" s="93"/>
      <c r="S140" s="93"/>
      <c r="T140" s="93"/>
      <c r="U140" s="93"/>
      <c r="V140" s="93"/>
      <c r="W140" s="93"/>
      <c r="X140" s="93"/>
      <c r="Y140" s="93"/>
      <c r="Z140" s="93"/>
      <c r="AA140" s="93" t="s">
        <v>1</v>
      </c>
      <c r="AB140" s="93">
        <v>700</v>
      </c>
      <c r="AC140" s="93">
        <v>5800</v>
      </c>
      <c r="AD140" s="94">
        <f t="shared" si="19"/>
        <v>8.2857142857142865</v>
      </c>
      <c r="AE140" s="93"/>
      <c r="AF140" s="57"/>
      <c r="AG140" s="57"/>
      <c r="AH140" s="57"/>
      <c r="AI140" s="57"/>
      <c r="AJ140" s="94" t="str">
        <f t="shared" si="20"/>
        <v/>
      </c>
    </row>
    <row r="141" spans="1:36" x14ac:dyDescent="0.3">
      <c r="A141" s="39" t="s">
        <v>256</v>
      </c>
      <c r="C141" s="93" t="s">
        <v>527</v>
      </c>
      <c r="D141" s="38" t="s">
        <v>1</v>
      </c>
      <c r="E141" s="93"/>
      <c r="F141" s="93"/>
      <c r="G141" s="94" t="str">
        <f t="shared" si="15"/>
        <v/>
      </c>
      <c r="H141" s="93"/>
      <c r="I141" s="93"/>
      <c r="J141" s="94" t="str">
        <f t="shared" si="16"/>
        <v/>
      </c>
      <c r="K141" s="93"/>
      <c r="L141" s="93"/>
      <c r="M141" s="94" t="str">
        <f t="shared" si="17"/>
        <v/>
      </c>
      <c r="N141" s="94"/>
      <c r="O141" s="93"/>
      <c r="P141" s="93"/>
      <c r="Q141" s="94" t="str">
        <f t="shared" si="18"/>
        <v/>
      </c>
      <c r="R141" s="93"/>
      <c r="S141" s="93"/>
      <c r="T141" s="93"/>
      <c r="U141" s="93"/>
      <c r="V141" s="93"/>
      <c r="W141" s="93"/>
      <c r="X141" s="93"/>
      <c r="Y141" s="93"/>
      <c r="Z141" s="93"/>
      <c r="AA141" s="93" t="s">
        <v>1</v>
      </c>
      <c r="AB141" s="93">
        <v>87</v>
      </c>
      <c r="AC141" s="93">
        <v>7700</v>
      </c>
      <c r="AD141" s="94">
        <f t="shared" si="19"/>
        <v>88.505747126436788</v>
      </c>
      <c r="AE141" s="93"/>
      <c r="AF141" s="57"/>
      <c r="AG141" s="57"/>
      <c r="AH141" s="57">
        <v>19</v>
      </c>
      <c r="AI141" s="57">
        <v>2000</v>
      </c>
      <c r="AJ141" s="94">
        <f t="shared" si="20"/>
        <v>105.26315789473684</v>
      </c>
    </row>
    <row r="142" spans="1:36" x14ac:dyDescent="0.3">
      <c r="A142" s="39" t="s">
        <v>405</v>
      </c>
      <c r="C142" s="93" t="s">
        <v>527</v>
      </c>
      <c r="D142" s="38" t="s">
        <v>1</v>
      </c>
      <c r="E142" s="93"/>
      <c r="F142" s="93"/>
      <c r="G142" s="94" t="str">
        <f t="shared" si="15"/>
        <v/>
      </c>
      <c r="H142" s="93"/>
      <c r="I142" s="93"/>
      <c r="J142" s="94" t="str">
        <f t="shared" si="16"/>
        <v/>
      </c>
      <c r="K142" s="93"/>
      <c r="L142" s="93"/>
      <c r="M142" s="94" t="str">
        <f t="shared" si="17"/>
        <v/>
      </c>
      <c r="N142" s="94"/>
      <c r="O142" s="93"/>
      <c r="P142" s="93"/>
      <c r="Q142" s="94" t="str">
        <f t="shared" si="18"/>
        <v/>
      </c>
      <c r="R142" s="93"/>
      <c r="S142" s="93"/>
      <c r="T142" s="93"/>
      <c r="U142" s="93"/>
      <c r="V142" s="93"/>
      <c r="W142" s="93"/>
      <c r="X142" s="93"/>
      <c r="Y142" s="93"/>
      <c r="Z142" s="93"/>
      <c r="AA142" s="93" t="s">
        <v>1</v>
      </c>
      <c r="AB142" s="93">
        <f>815+14</f>
        <v>829</v>
      </c>
      <c r="AC142" s="93">
        <f>130000+2000</f>
        <v>132000</v>
      </c>
      <c r="AD142" s="94">
        <f t="shared" si="19"/>
        <v>159.22798552472858</v>
      </c>
      <c r="AE142" s="93"/>
      <c r="AF142" s="57"/>
      <c r="AG142" s="57"/>
      <c r="AH142" s="57">
        <v>30</v>
      </c>
      <c r="AI142" s="57">
        <v>3000</v>
      </c>
      <c r="AJ142" s="94">
        <f t="shared" si="20"/>
        <v>100</v>
      </c>
    </row>
    <row r="143" spans="1:36" x14ac:dyDescent="0.3">
      <c r="A143" s="39" t="s">
        <v>404</v>
      </c>
      <c r="C143" s="93" t="s">
        <v>527</v>
      </c>
      <c r="D143" s="38" t="s">
        <v>1</v>
      </c>
      <c r="E143" s="93"/>
      <c r="F143" s="93"/>
      <c r="G143" s="94" t="str">
        <f t="shared" si="15"/>
        <v/>
      </c>
      <c r="H143" s="93"/>
      <c r="I143" s="93"/>
      <c r="J143" s="94" t="str">
        <f t="shared" si="16"/>
        <v/>
      </c>
      <c r="K143" s="93"/>
      <c r="L143" s="93"/>
      <c r="M143" s="94" t="str">
        <f t="shared" si="17"/>
        <v/>
      </c>
      <c r="N143" s="94"/>
      <c r="O143" s="93"/>
      <c r="P143" s="93"/>
      <c r="Q143" s="94" t="str">
        <f t="shared" si="18"/>
        <v/>
      </c>
      <c r="R143" s="93"/>
      <c r="S143" s="93"/>
      <c r="T143" s="93"/>
      <c r="U143" s="93"/>
      <c r="V143" s="93"/>
      <c r="W143" s="93"/>
      <c r="X143" s="93"/>
      <c r="Y143" s="93"/>
      <c r="Z143" s="93"/>
      <c r="AA143" s="93" t="s">
        <v>1</v>
      </c>
      <c r="AB143" s="93">
        <f>596+27</f>
        <v>623</v>
      </c>
      <c r="AC143" s="93">
        <f>35000+1600</f>
        <v>36600</v>
      </c>
      <c r="AD143" s="94">
        <f t="shared" si="19"/>
        <v>58.747993579454253</v>
      </c>
      <c r="AE143" s="93"/>
      <c r="AF143" s="57"/>
      <c r="AG143" s="57"/>
      <c r="AH143" s="57"/>
      <c r="AI143" s="57"/>
      <c r="AJ143" s="94" t="str">
        <f t="shared" si="20"/>
        <v/>
      </c>
    </row>
    <row r="144" spans="1:36" x14ac:dyDescent="0.3">
      <c r="A144" s="39" t="s">
        <v>153</v>
      </c>
      <c r="C144" s="93" t="s">
        <v>527</v>
      </c>
      <c r="D144" s="38" t="s">
        <v>1</v>
      </c>
      <c r="E144" s="93"/>
      <c r="F144" s="93"/>
      <c r="G144" s="94" t="str">
        <f t="shared" si="15"/>
        <v/>
      </c>
      <c r="H144" s="93"/>
      <c r="I144" s="93"/>
      <c r="J144" s="94" t="str">
        <f t="shared" si="16"/>
        <v/>
      </c>
      <c r="K144" s="93"/>
      <c r="L144" s="93"/>
      <c r="M144" s="94" t="str">
        <f t="shared" si="17"/>
        <v/>
      </c>
      <c r="N144" s="94"/>
      <c r="O144" s="93"/>
      <c r="P144" s="93"/>
      <c r="Q144" s="94" t="str">
        <f t="shared" si="18"/>
        <v/>
      </c>
      <c r="R144" s="93"/>
      <c r="S144" s="93"/>
      <c r="T144" s="93"/>
      <c r="U144" s="93"/>
      <c r="V144" s="93"/>
      <c r="W144" s="93"/>
      <c r="X144" s="93"/>
      <c r="Y144" s="93"/>
      <c r="Z144" s="93"/>
      <c r="AA144" s="93" t="s">
        <v>1</v>
      </c>
      <c r="AB144" s="93"/>
      <c r="AC144" s="93"/>
      <c r="AD144" s="94" t="str">
        <f t="shared" si="19"/>
        <v/>
      </c>
      <c r="AE144" s="93"/>
      <c r="AF144" s="57"/>
      <c r="AG144" s="57"/>
      <c r="AH144" s="57">
        <v>23</v>
      </c>
      <c r="AI144" s="57">
        <v>12400</v>
      </c>
      <c r="AJ144" s="94">
        <f t="shared" si="20"/>
        <v>539.13043478260875</v>
      </c>
    </row>
    <row r="145" spans="1:36" x14ac:dyDescent="0.3">
      <c r="A145" s="39" t="s">
        <v>246</v>
      </c>
      <c r="C145" s="93" t="s">
        <v>527</v>
      </c>
      <c r="D145" s="38" t="s">
        <v>1</v>
      </c>
      <c r="E145" s="93"/>
      <c r="F145" s="93"/>
      <c r="G145" s="94" t="str">
        <f t="shared" si="15"/>
        <v/>
      </c>
      <c r="H145" s="93"/>
      <c r="I145" s="93"/>
      <c r="J145" s="94" t="str">
        <f t="shared" si="16"/>
        <v/>
      </c>
      <c r="K145" s="93"/>
      <c r="L145" s="93"/>
      <c r="M145" s="94" t="str">
        <f t="shared" si="17"/>
        <v/>
      </c>
      <c r="N145" s="94"/>
      <c r="O145" s="93"/>
      <c r="P145" s="93"/>
      <c r="Q145" s="94" t="str">
        <f t="shared" si="18"/>
        <v/>
      </c>
      <c r="R145" s="93"/>
      <c r="S145" s="93"/>
      <c r="T145" s="93"/>
      <c r="U145" s="93"/>
      <c r="V145" s="93"/>
      <c r="W145" s="93"/>
      <c r="X145" s="93"/>
      <c r="Y145" s="93"/>
      <c r="Z145" s="93"/>
      <c r="AA145" s="93" t="s">
        <v>1</v>
      </c>
      <c r="AB145" s="93">
        <f>41</f>
        <v>41</v>
      </c>
      <c r="AC145" s="93">
        <v>18000</v>
      </c>
      <c r="AD145" s="94">
        <f t="shared" si="19"/>
        <v>439.02439024390242</v>
      </c>
      <c r="AE145" s="93"/>
      <c r="AF145" s="57"/>
      <c r="AG145" s="57"/>
      <c r="AH145" s="57">
        <v>141</v>
      </c>
      <c r="AI145" s="57">
        <v>57600</v>
      </c>
      <c r="AJ145" s="94">
        <f t="shared" si="20"/>
        <v>408.51063829787233</v>
      </c>
    </row>
    <row r="146" spans="1:36" x14ac:dyDescent="0.3">
      <c r="A146" s="39" t="s">
        <v>625</v>
      </c>
      <c r="C146" s="93" t="s">
        <v>527</v>
      </c>
      <c r="D146" s="38" t="s">
        <v>1</v>
      </c>
      <c r="E146" s="93"/>
      <c r="F146" s="93"/>
      <c r="G146" s="94" t="str">
        <f t="shared" si="15"/>
        <v/>
      </c>
      <c r="H146" s="93"/>
      <c r="I146" s="93"/>
      <c r="J146" s="94" t="str">
        <f t="shared" si="16"/>
        <v/>
      </c>
      <c r="K146" s="93"/>
      <c r="L146" s="93"/>
      <c r="M146" s="94" t="str">
        <f t="shared" si="17"/>
        <v/>
      </c>
      <c r="N146" s="94"/>
      <c r="O146" s="93"/>
      <c r="P146" s="93"/>
      <c r="Q146" s="94" t="str">
        <f t="shared" si="18"/>
        <v/>
      </c>
      <c r="R146" s="93"/>
      <c r="S146" s="93"/>
      <c r="T146" s="93"/>
      <c r="U146" s="93"/>
      <c r="V146" s="93"/>
      <c r="W146" s="93"/>
      <c r="X146" s="93"/>
      <c r="Y146" s="93"/>
      <c r="Z146" s="93"/>
      <c r="AA146" s="93" t="s">
        <v>1</v>
      </c>
      <c r="AB146" s="93">
        <f>16+25+27+72</f>
        <v>140</v>
      </c>
      <c r="AC146" s="93">
        <f>4300+8800+6000+1400+2900</f>
        <v>23400</v>
      </c>
      <c r="AD146" s="94">
        <f t="shared" si="19"/>
        <v>167.14285714285714</v>
      </c>
      <c r="AE146" s="93"/>
      <c r="AF146" s="57"/>
      <c r="AG146" s="57"/>
      <c r="AH146" s="57">
        <v>18</v>
      </c>
      <c r="AI146" s="57">
        <v>4300</v>
      </c>
      <c r="AJ146" s="94">
        <f t="shared" si="20"/>
        <v>238.88888888888889</v>
      </c>
    </row>
    <row r="147" spans="1:36" x14ac:dyDescent="0.3">
      <c r="A147" s="39" t="s">
        <v>626</v>
      </c>
      <c r="C147" s="93" t="s">
        <v>527</v>
      </c>
      <c r="D147" s="38" t="s">
        <v>1</v>
      </c>
      <c r="E147" s="93"/>
      <c r="F147" s="93"/>
      <c r="G147" s="94" t="str">
        <f t="shared" si="15"/>
        <v/>
      </c>
      <c r="H147" s="93"/>
      <c r="I147" s="93"/>
      <c r="J147" s="94" t="str">
        <f t="shared" si="16"/>
        <v/>
      </c>
      <c r="K147" s="93"/>
      <c r="L147" s="93"/>
      <c r="M147" s="94" t="str">
        <f t="shared" si="17"/>
        <v/>
      </c>
      <c r="N147" s="94"/>
      <c r="O147" s="93"/>
      <c r="P147" s="93"/>
      <c r="Q147" s="94" t="str">
        <f t="shared" si="18"/>
        <v/>
      </c>
      <c r="R147" s="93"/>
      <c r="S147" s="93"/>
      <c r="T147" s="93"/>
      <c r="U147" s="93"/>
      <c r="V147" s="93"/>
      <c r="W147" s="93"/>
      <c r="X147" s="93"/>
      <c r="Y147" s="93"/>
      <c r="Z147" s="93"/>
      <c r="AA147" s="93" t="s">
        <v>1</v>
      </c>
      <c r="AB147" s="93">
        <v>10</v>
      </c>
      <c r="AC147" s="93">
        <v>6000</v>
      </c>
      <c r="AD147" s="94">
        <f t="shared" si="19"/>
        <v>600</v>
      </c>
      <c r="AE147" s="93"/>
      <c r="AF147" s="57"/>
      <c r="AG147" s="57"/>
      <c r="AH147" s="57"/>
      <c r="AI147" s="57"/>
      <c r="AJ147" s="94" t="str">
        <f t="shared" si="20"/>
        <v/>
      </c>
    </row>
    <row r="148" spans="1:36" x14ac:dyDescent="0.3">
      <c r="A148" s="39" t="s">
        <v>627</v>
      </c>
      <c r="C148" s="93" t="s">
        <v>527</v>
      </c>
      <c r="D148" s="38" t="s">
        <v>1</v>
      </c>
      <c r="E148" s="93"/>
      <c r="F148" s="93"/>
      <c r="G148" s="94" t="str">
        <f t="shared" si="15"/>
        <v/>
      </c>
      <c r="H148" s="93"/>
      <c r="I148" s="93"/>
      <c r="J148" s="94" t="str">
        <f t="shared" si="16"/>
        <v/>
      </c>
      <c r="K148" s="93"/>
      <c r="L148" s="93"/>
      <c r="M148" s="94" t="str">
        <f t="shared" si="17"/>
        <v/>
      </c>
      <c r="N148" s="94"/>
      <c r="O148" s="93"/>
      <c r="P148" s="93"/>
      <c r="Q148" s="94" t="str">
        <f t="shared" si="18"/>
        <v/>
      </c>
      <c r="R148" s="93"/>
      <c r="S148" s="93"/>
      <c r="T148" s="93"/>
      <c r="U148" s="93"/>
      <c r="V148" s="93"/>
      <c r="W148" s="93"/>
      <c r="X148" s="93"/>
      <c r="Y148" s="93"/>
      <c r="Z148" s="93"/>
      <c r="AA148" s="93" t="s">
        <v>1</v>
      </c>
      <c r="AB148" s="93">
        <v>8</v>
      </c>
      <c r="AC148" s="93">
        <v>2300</v>
      </c>
      <c r="AD148" s="94">
        <f t="shared" si="19"/>
        <v>287.5</v>
      </c>
      <c r="AE148" s="93"/>
      <c r="AF148" s="57"/>
      <c r="AG148" s="57"/>
      <c r="AH148" s="57"/>
      <c r="AI148" s="57"/>
      <c r="AJ148" s="94" t="str">
        <f t="shared" si="20"/>
        <v/>
      </c>
    </row>
    <row r="149" spans="1:36" x14ac:dyDescent="0.3">
      <c r="A149" s="39" t="s">
        <v>83</v>
      </c>
      <c r="B149" s="38" t="s">
        <v>518</v>
      </c>
      <c r="C149" s="93" t="s">
        <v>527</v>
      </c>
      <c r="D149" s="38" t="s">
        <v>1</v>
      </c>
      <c r="E149" s="93"/>
      <c r="F149" s="93"/>
      <c r="G149" s="94" t="str">
        <f t="shared" si="15"/>
        <v/>
      </c>
      <c r="H149" s="93"/>
      <c r="I149" s="93"/>
      <c r="J149" s="94" t="str">
        <f t="shared" si="16"/>
        <v/>
      </c>
      <c r="K149" s="93"/>
      <c r="L149" s="93"/>
      <c r="M149" s="94" t="str">
        <f t="shared" si="17"/>
        <v/>
      </c>
      <c r="N149" s="94"/>
      <c r="O149" s="93"/>
      <c r="P149" s="93"/>
      <c r="Q149" s="94" t="str">
        <f t="shared" si="18"/>
        <v/>
      </c>
      <c r="R149" s="93"/>
      <c r="S149" s="93"/>
      <c r="T149" s="93"/>
      <c r="U149" s="93"/>
      <c r="V149" s="93"/>
      <c r="W149" s="93"/>
      <c r="X149" s="93"/>
      <c r="Y149" s="93"/>
      <c r="Z149" s="93"/>
      <c r="AA149" s="93" t="s">
        <v>1</v>
      </c>
      <c r="AB149" s="93">
        <v>105</v>
      </c>
      <c r="AC149" s="93">
        <v>53000</v>
      </c>
      <c r="AD149" s="94">
        <f t="shared" si="19"/>
        <v>504.76190476190476</v>
      </c>
      <c r="AE149" s="93"/>
      <c r="AF149" s="57"/>
      <c r="AG149" s="57"/>
      <c r="AH149" s="57"/>
      <c r="AI149" s="57"/>
      <c r="AJ149" s="94" t="str">
        <f t="shared" si="20"/>
        <v/>
      </c>
    </row>
    <row r="150" spans="1:36" x14ac:dyDescent="0.3">
      <c r="A150" s="39" t="s">
        <v>398</v>
      </c>
      <c r="C150" s="93" t="s">
        <v>527</v>
      </c>
      <c r="D150" s="38" t="s">
        <v>1</v>
      </c>
      <c r="E150" s="93"/>
      <c r="F150" s="93"/>
      <c r="G150" s="94" t="str">
        <f t="shared" si="15"/>
        <v/>
      </c>
      <c r="H150" s="93"/>
      <c r="I150" s="93"/>
      <c r="J150" s="94" t="str">
        <f t="shared" si="16"/>
        <v/>
      </c>
      <c r="K150" s="93"/>
      <c r="L150" s="93"/>
      <c r="M150" s="94" t="str">
        <f t="shared" si="17"/>
        <v/>
      </c>
      <c r="N150" s="94"/>
      <c r="O150" s="93"/>
      <c r="P150" s="93"/>
      <c r="Q150" s="94" t="str">
        <f t="shared" si="18"/>
        <v/>
      </c>
      <c r="R150" s="93"/>
      <c r="S150" s="93"/>
      <c r="T150" s="93"/>
      <c r="U150" s="93"/>
      <c r="V150" s="93"/>
      <c r="W150" s="93"/>
      <c r="X150" s="93"/>
      <c r="Y150" s="93"/>
      <c r="Z150" s="93"/>
      <c r="AA150" s="93" t="s">
        <v>1</v>
      </c>
      <c r="AB150" s="93">
        <v>48</v>
      </c>
      <c r="AC150" s="93">
        <v>14000</v>
      </c>
      <c r="AD150" s="94">
        <f t="shared" si="19"/>
        <v>291.66666666666669</v>
      </c>
      <c r="AE150" s="93"/>
      <c r="AF150" s="57"/>
      <c r="AG150" s="57"/>
      <c r="AH150" s="57"/>
      <c r="AI150" s="57"/>
      <c r="AJ150" s="94" t="str">
        <f t="shared" si="20"/>
        <v/>
      </c>
    </row>
    <row r="151" spans="1:36" x14ac:dyDescent="0.3">
      <c r="A151" s="39" t="s">
        <v>257</v>
      </c>
      <c r="C151" s="93" t="s">
        <v>527</v>
      </c>
      <c r="D151" s="38" t="s">
        <v>1</v>
      </c>
      <c r="E151" s="93"/>
      <c r="F151" s="93"/>
      <c r="G151" s="94" t="str">
        <f t="shared" si="15"/>
        <v/>
      </c>
      <c r="H151" s="93"/>
      <c r="I151" s="93"/>
      <c r="J151" s="94" t="str">
        <f t="shared" si="16"/>
        <v/>
      </c>
      <c r="K151" s="93"/>
      <c r="L151" s="93"/>
      <c r="M151" s="94" t="str">
        <f t="shared" si="17"/>
        <v/>
      </c>
      <c r="N151" s="94"/>
      <c r="O151" s="93"/>
      <c r="P151" s="93"/>
      <c r="Q151" s="94" t="str">
        <f t="shared" si="18"/>
        <v/>
      </c>
      <c r="R151" s="93"/>
      <c r="S151" s="93"/>
      <c r="T151" s="93"/>
      <c r="U151" s="93"/>
      <c r="V151" s="93"/>
      <c r="W151" s="93"/>
      <c r="X151" s="93"/>
      <c r="Y151" s="93"/>
      <c r="Z151" s="93"/>
      <c r="AA151" s="93" t="s">
        <v>1</v>
      </c>
      <c r="AB151" s="93"/>
      <c r="AC151" s="93"/>
      <c r="AD151" s="94" t="str">
        <f t="shared" si="19"/>
        <v/>
      </c>
      <c r="AE151" s="93"/>
      <c r="AF151" s="57"/>
      <c r="AG151" s="57"/>
      <c r="AH151" s="57">
        <v>48</v>
      </c>
      <c r="AI151" s="57">
        <v>1100</v>
      </c>
      <c r="AJ151" s="94">
        <f t="shared" si="20"/>
        <v>22.916666666666668</v>
      </c>
    </row>
    <row r="152" spans="1:36" x14ac:dyDescent="0.3">
      <c r="A152" s="39" t="s">
        <v>52</v>
      </c>
      <c r="C152" s="93" t="s">
        <v>527</v>
      </c>
      <c r="D152" s="38" t="s">
        <v>1</v>
      </c>
      <c r="E152" s="93"/>
      <c r="F152" s="93"/>
      <c r="G152" s="94" t="str">
        <f t="shared" si="15"/>
        <v/>
      </c>
      <c r="H152" s="93"/>
      <c r="I152" s="93"/>
      <c r="J152" s="94" t="str">
        <f t="shared" si="16"/>
        <v/>
      </c>
      <c r="K152" s="93"/>
      <c r="L152" s="93"/>
      <c r="M152" s="94" t="str">
        <f t="shared" si="17"/>
        <v/>
      </c>
      <c r="N152" s="94"/>
      <c r="O152" s="93"/>
      <c r="P152" s="93"/>
      <c r="Q152" s="94" t="str">
        <f t="shared" si="18"/>
        <v/>
      </c>
      <c r="R152" s="93"/>
      <c r="S152" s="93"/>
      <c r="T152" s="93"/>
      <c r="U152" s="93"/>
      <c r="V152" s="93"/>
      <c r="W152" s="93"/>
      <c r="X152" s="93"/>
      <c r="Y152" s="93"/>
      <c r="Z152" s="93"/>
      <c r="AA152" s="93" t="s">
        <v>1</v>
      </c>
      <c r="AB152" s="93">
        <v>479</v>
      </c>
      <c r="AC152" s="93">
        <v>17000</v>
      </c>
      <c r="AD152" s="94">
        <f t="shared" si="19"/>
        <v>35.490605427974948</v>
      </c>
      <c r="AE152" s="93"/>
      <c r="AF152" s="57"/>
      <c r="AG152" s="57"/>
      <c r="AH152" s="57"/>
      <c r="AI152" s="57"/>
      <c r="AJ152" s="94" t="str">
        <f t="shared" si="20"/>
        <v/>
      </c>
    </row>
    <row r="153" spans="1:36" x14ac:dyDescent="0.3">
      <c r="A153" s="39" t="s">
        <v>406</v>
      </c>
      <c r="C153" s="93" t="s">
        <v>527</v>
      </c>
      <c r="D153" s="38" t="s">
        <v>1</v>
      </c>
      <c r="E153" s="93"/>
      <c r="F153" s="93"/>
      <c r="G153" s="94" t="str">
        <f t="shared" si="15"/>
        <v/>
      </c>
      <c r="H153" s="93"/>
      <c r="I153" s="93"/>
      <c r="J153" s="94" t="str">
        <f t="shared" si="16"/>
        <v/>
      </c>
      <c r="K153" s="93"/>
      <c r="L153" s="93"/>
      <c r="M153" s="94" t="str">
        <f t="shared" si="17"/>
        <v/>
      </c>
      <c r="N153" s="94"/>
      <c r="O153" s="93"/>
      <c r="P153" s="93"/>
      <c r="Q153" s="94" t="str">
        <f t="shared" si="18"/>
        <v/>
      </c>
      <c r="R153" s="93"/>
      <c r="S153" s="93"/>
      <c r="T153" s="93"/>
      <c r="U153" s="93"/>
      <c r="V153" s="93"/>
      <c r="W153" s="93"/>
      <c r="X153" s="93"/>
      <c r="Y153" s="93"/>
      <c r="Z153" s="93"/>
      <c r="AA153" s="93" t="s">
        <v>1</v>
      </c>
      <c r="AB153" s="93">
        <v>63</v>
      </c>
      <c r="AC153" s="93">
        <v>4700</v>
      </c>
      <c r="AD153" s="94">
        <f t="shared" si="19"/>
        <v>74.603174603174608</v>
      </c>
      <c r="AE153" s="93"/>
      <c r="AF153" s="57"/>
      <c r="AG153" s="57"/>
      <c r="AH153" s="57"/>
      <c r="AI153" s="57"/>
      <c r="AJ153" s="94" t="str">
        <f t="shared" si="20"/>
        <v/>
      </c>
    </row>
    <row r="154" spans="1:36" x14ac:dyDescent="0.3">
      <c r="A154" s="39" t="s">
        <v>154</v>
      </c>
      <c r="C154" s="93" t="s">
        <v>527</v>
      </c>
      <c r="D154" s="38" t="s">
        <v>1</v>
      </c>
      <c r="E154" s="93"/>
      <c r="F154" s="93"/>
      <c r="G154" s="94" t="str">
        <f t="shared" si="15"/>
        <v/>
      </c>
      <c r="H154" s="93"/>
      <c r="I154" s="93"/>
      <c r="J154" s="94" t="str">
        <f t="shared" si="16"/>
        <v/>
      </c>
      <c r="K154" s="93"/>
      <c r="L154" s="93"/>
      <c r="M154" s="94" t="str">
        <f t="shared" si="17"/>
        <v/>
      </c>
      <c r="N154" s="94"/>
      <c r="O154" s="93"/>
      <c r="P154" s="93"/>
      <c r="Q154" s="94" t="str">
        <f t="shared" si="18"/>
        <v/>
      </c>
      <c r="R154" s="93"/>
      <c r="S154" s="93"/>
      <c r="T154" s="93"/>
      <c r="U154" s="93"/>
      <c r="V154" s="93"/>
      <c r="W154" s="93"/>
      <c r="X154" s="93"/>
      <c r="Y154" s="93"/>
      <c r="Z154" s="93"/>
      <c r="AA154" s="93" t="s">
        <v>1</v>
      </c>
      <c r="AB154" s="93">
        <f>498+203+219</f>
        <v>920</v>
      </c>
      <c r="AC154" s="93">
        <f>43000+26000+22000</f>
        <v>91000</v>
      </c>
      <c r="AD154" s="94">
        <f t="shared" si="19"/>
        <v>98.913043478260875</v>
      </c>
      <c r="AE154" s="93"/>
      <c r="AF154" s="57"/>
      <c r="AG154" s="57"/>
      <c r="AH154" s="57">
        <v>672</v>
      </c>
      <c r="AI154" s="57">
        <v>84000</v>
      </c>
      <c r="AJ154" s="94">
        <f t="shared" si="20"/>
        <v>125</v>
      </c>
    </row>
    <row r="155" spans="1:36" x14ac:dyDescent="0.3">
      <c r="A155" s="39" t="s">
        <v>628</v>
      </c>
      <c r="C155" s="93" t="s">
        <v>527</v>
      </c>
      <c r="D155" s="38" t="s">
        <v>1</v>
      </c>
      <c r="E155" s="93"/>
      <c r="F155" s="93"/>
      <c r="G155" s="94" t="str">
        <f t="shared" si="15"/>
        <v/>
      </c>
      <c r="H155" s="93"/>
      <c r="I155" s="93"/>
      <c r="J155" s="94" t="str">
        <f t="shared" si="16"/>
        <v/>
      </c>
      <c r="K155" s="93"/>
      <c r="L155" s="93"/>
      <c r="M155" s="94" t="str">
        <f t="shared" si="17"/>
        <v/>
      </c>
      <c r="N155" s="94"/>
      <c r="O155" s="93"/>
      <c r="P155" s="93"/>
      <c r="Q155" s="94" t="str">
        <f t="shared" si="18"/>
        <v/>
      </c>
      <c r="R155" s="93"/>
      <c r="S155" s="93"/>
      <c r="T155" s="93"/>
      <c r="U155" s="93"/>
      <c r="V155" s="93"/>
      <c r="W155" s="93"/>
      <c r="X155" s="93"/>
      <c r="Y155" s="93"/>
      <c r="Z155" s="93"/>
      <c r="AA155" s="93" t="s">
        <v>1</v>
      </c>
      <c r="AB155" s="93">
        <f>2630</f>
        <v>2630</v>
      </c>
      <c r="AC155" s="93">
        <v>262000</v>
      </c>
      <c r="AD155" s="94">
        <f t="shared" si="19"/>
        <v>99.619771863117876</v>
      </c>
      <c r="AE155" s="93"/>
      <c r="AF155" s="57"/>
      <c r="AG155" s="57"/>
      <c r="AH155" s="57">
        <v>2716</v>
      </c>
      <c r="AI155" s="57">
        <v>212500</v>
      </c>
      <c r="AJ155" s="94">
        <f t="shared" si="20"/>
        <v>78.240058910162006</v>
      </c>
    </row>
    <row r="156" spans="1:36" x14ac:dyDescent="0.3">
      <c r="A156" s="39" t="s">
        <v>629</v>
      </c>
      <c r="C156" s="93" t="s">
        <v>527</v>
      </c>
      <c r="D156" s="38" t="s">
        <v>1</v>
      </c>
      <c r="E156" s="93"/>
      <c r="F156" s="93"/>
      <c r="G156" s="94" t="str">
        <f t="shared" si="15"/>
        <v/>
      </c>
      <c r="H156" s="93"/>
      <c r="I156" s="93"/>
      <c r="J156" s="94" t="str">
        <f t="shared" si="16"/>
        <v/>
      </c>
      <c r="K156" s="93"/>
      <c r="L156" s="93"/>
      <c r="M156" s="94" t="str">
        <f t="shared" si="17"/>
        <v/>
      </c>
      <c r="N156" s="94"/>
      <c r="O156" s="93"/>
      <c r="P156" s="93"/>
      <c r="Q156" s="94" t="str">
        <f t="shared" si="18"/>
        <v/>
      </c>
      <c r="R156" s="93"/>
      <c r="S156" s="93"/>
      <c r="T156" s="93"/>
      <c r="U156" s="93"/>
      <c r="V156" s="93"/>
      <c r="W156" s="93"/>
      <c r="X156" s="93"/>
      <c r="Y156" s="93"/>
      <c r="Z156" s="93"/>
      <c r="AA156" s="93" t="s">
        <v>1</v>
      </c>
      <c r="AB156" s="93">
        <v>1283</v>
      </c>
      <c r="AC156" s="93">
        <v>179000</v>
      </c>
      <c r="AD156" s="94">
        <f t="shared" si="19"/>
        <v>139.51675759937646</v>
      </c>
      <c r="AE156" s="93"/>
      <c r="AF156" s="57"/>
      <c r="AG156" s="57"/>
      <c r="AH156" s="57">
        <v>848</v>
      </c>
      <c r="AI156" s="57">
        <v>107000</v>
      </c>
      <c r="AJ156" s="94">
        <f t="shared" si="20"/>
        <v>126.17924528301887</v>
      </c>
    </row>
    <row r="157" spans="1:36" x14ac:dyDescent="0.3">
      <c r="A157" s="39" t="s">
        <v>258</v>
      </c>
      <c r="C157" s="93" t="s">
        <v>527</v>
      </c>
      <c r="D157" s="38" t="s">
        <v>1</v>
      </c>
      <c r="E157" s="93"/>
      <c r="F157" s="93"/>
      <c r="G157" s="94" t="str">
        <f t="shared" si="15"/>
        <v/>
      </c>
      <c r="H157" s="93"/>
      <c r="I157" s="93"/>
      <c r="J157" s="94" t="str">
        <f t="shared" si="16"/>
        <v/>
      </c>
      <c r="K157" s="93"/>
      <c r="L157" s="93"/>
      <c r="M157" s="94" t="str">
        <f t="shared" si="17"/>
        <v/>
      </c>
      <c r="N157" s="94"/>
      <c r="O157" s="93"/>
      <c r="P157" s="93"/>
      <c r="Q157" s="94" t="str">
        <f t="shared" si="18"/>
        <v/>
      </c>
      <c r="R157" s="93"/>
      <c r="S157" s="93"/>
      <c r="T157" s="93"/>
      <c r="U157" s="93"/>
      <c r="V157" s="93"/>
      <c r="W157" s="93"/>
      <c r="X157" s="93"/>
      <c r="Y157" s="93"/>
      <c r="Z157" s="93"/>
      <c r="AA157" s="93" t="s">
        <v>1</v>
      </c>
      <c r="AB157" s="93">
        <f>410</f>
        <v>410</v>
      </c>
      <c r="AC157" s="93">
        <v>77000</v>
      </c>
      <c r="AD157" s="94">
        <f t="shared" si="19"/>
        <v>187.80487804878049</v>
      </c>
      <c r="AE157" s="93"/>
      <c r="AF157" s="57"/>
      <c r="AG157" s="57"/>
      <c r="AH157" s="57">
        <v>398</v>
      </c>
      <c r="AI157" s="57">
        <v>82000</v>
      </c>
      <c r="AJ157" s="94">
        <f t="shared" si="20"/>
        <v>206.03015075376885</v>
      </c>
    </row>
    <row r="158" spans="1:36" x14ac:dyDescent="0.3">
      <c r="A158" s="39" t="s">
        <v>630</v>
      </c>
      <c r="C158" s="93" t="s">
        <v>527</v>
      </c>
      <c r="D158" s="38" t="s">
        <v>1</v>
      </c>
      <c r="E158" s="93"/>
      <c r="F158" s="93"/>
      <c r="G158" s="94" t="str">
        <f t="shared" si="15"/>
        <v/>
      </c>
      <c r="H158" s="93"/>
      <c r="I158" s="93"/>
      <c r="J158" s="94" t="str">
        <f t="shared" si="16"/>
        <v/>
      </c>
      <c r="K158" s="93"/>
      <c r="L158" s="93"/>
      <c r="M158" s="94" t="str">
        <f t="shared" si="17"/>
        <v/>
      </c>
      <c r="N158" s="94"/>
      <c r="O158" s="93"/>
      <c r="P158" s="93"/>
      <c r="Q158" s="94" t="str">
        <f t="shared" si="18"/>
        <v/>
      </c>
      <c r="R158" s="93"/>
      <c r="S158" s="93"/>
      <c r="T158" s="93"/>
      <c r="U158" s="93"/>
      <c r="V158" s="93"/>
      <c r="W158" s="93"/>
      <c r="X158" s="93"/>
      <c r="Y158" s="93"/>
      <c r="Z158" s="93"/>
      <c r="AA158" s="93" t="s">
        <v>1</v>
      </c>
      <c r="AB158" s="93">
        <f>4300+1141</f>
        <v>5441</v>
      </c>
      <c r="AC158" s="93">
        <f>760000+166000</f>
        <v>926000</v>
      </c>
      <c r="AD158" s="94">
        <f t="shared" si="19"/>
        <v>170.18930343686822</v>
      </c>
      <c r="AE158" s="93"/>
      <c r="AF158" s="57"/>
      <c r="AG158" s="57"/>
      <c r="AH158" s="57">
        <v>3808</v>
      </c>
      <c r="AI158" s="57">
        <v>533000</v>
      </c>
      <c r="AJ158" s="94">
        <f t="shared" si="20"/>
        <v>139.96848739495798</v>
      </c>
    </row>
    <row r="159" spans="1:36" x14ac:dyDescent="0.3">
      <c r="A159" s="39" t="s">
        <v>631</v>
      </c>
      <c r="C159" s="93" t="s">
        <v>527</v>
      </c>
      <c r="D159" s="38" t="s">
        <v>1</v>
      </c>
      <c r="E159" s="93"/>
      <c r="F159" s="93"/>
      <c r="G159" s="94" t="str">
        <f t="shared" si="15"/>
        <v/>
      </c>
      <c r="H159" s="93"/>
      <c r="I159" s="93"/>
      <c r="J159" s="94" t="str">
        <f t="shared" si="16"/>
        <v/>
      </c>
      <c r="K159" s="93"/>
      <c r="L159" s="93"/>
      <c r="M159" s="94" t="str">
        <f t="shared" si="17"/>
        <v/>
      </c>
      <c r="N159" s="94"/>
      <c r="O159" s="93"/>
      <c r="P159" s="93"/>
      <c r="Q159" s="94" t="str">
        <f t="shared" si="18"/>
        <v/>
      </c>
      <c r="R159" s="93"/>
      <c r="S159" s="93"/>
      <c r="T159" s="93"/>
      <c r="U159" s="93"/>
      <c r="V159" s="93"/>
      <c r="W159" s="93"/>
      <c r="X159" s="93"/>
      <c r="Y159" s="93"/>
      <c r="Z159" s="93"/>
      <c r="AA159" s="93" t="s">
        <v>1</v>
      </c>
      <c r="AB159" s="93">
        <f>96</f>
        <v>96</v>
      </c>
      <c r="AC159" s="93">
        <v>40000</v>
      </c>
      <c r="AD159" s="94">
        <f t="shared" si="19"/>
        <v>416.66666666666669</v>
      </c>
      <c r="AE159" s="93"/>
      <c r="AF159" s="57"/>
      <c r="AG159" s="57"/>
      <c r="AH159" s="57">
        <v>41</v>
      </c>
      <c r="AI159" s="57">
        <v>10000</v>
      </c>
      <c r="AJ159" s="94">
        <f t="shared" si="20"/>
        <v>243.90243902439025</v>
      </c>
    </row>
    <row r="160" spans="1:36" x14ac:dyDescent="0.3">
      <c r="A160" s="39" t="s">
        <v>259</v>
      </c>
      <c r="C160" s="93" t="s">
        <v>527</v>
      </c>
      <c r="D160" s="38" t="s">
        <v>1</v>
      </c>
      <c r="E160" s="93"/>
      <c r="F160" s="93"/>
      <c r="G160" s="94" t="str">
        <f t="shared" si="15"/>
        <v/>
      </c>
      <c r="H160" s="93"/>
      <c r="I160" s="93"/>
      <c r="J160" s="94" t="str">
        <f t="shared" si="16"/>
        <v/>
      </c>
      <c r="K160" s="93"/>
      <c r="L160" s="93"/>
      <c r="M160" s="94" t="str">
        <f t="shared" si="17"/>
        <v/>
      </c>
      <c r="N160" s="94"/>
      <c r="O160" s="93"/>
      <c r="P160" s="93"/>
      <c r="Q160" s="94" t="str">
        <f t="shared" si="18"/>
        <v/>
      </c>
      <c r="R160" s="93"/>
      <c r="S160" s="93"/>
      <c r="T160" s="93"/>
      <c r="U160" s="93"/>
      <c r="V160" s="93"/>
      <c r="W160" s="93"/>
      <c r="X160" s="93"/>
      <c r="Y160" s="93"/>
      <c r="Z160" s="93"/>
      <c r="AA160" s="93" t="s">
        <v>1</v>
      </c>
      <c r="AB160" s="93"/>
      <c r="AC160" s="93">
        <v>8000</v>
      </c>
      <c r="AD160" s="94" t="str">
        <f t="shared" si="19"/>
        <v/>
      </c>
      <c r="AE160" s="93"/>
      <c r="AF160" s="57"/>
      <c r="AG160" s="57"/>
      <c r="AH160" s="57">
        <v>13</v>
      </c>
      <c r="AI160" s="57">
        <v>2600</v>
      </c>
      <c r="AJ160" s="94">
        <f t="shared" si="20"/>
        <v>200</v>
      </c>
    </row>
    <row r="161" spans="1:36" x14ac:dyDescent="0.3">
      <c r="A161" s="39" t="s">
        <v>260</v>
      </c>
      <c r="C161" s="93" t="s">
        <v>527</v>
      </c>
      <c r="D161" s="38" t="s">
        <v>1</v>
      </c>
      <c r="E161" s="93"/>
      <c r="F161" s="93"/>
      <c r="G161" s="94" t="str">
        <f t="shared" si="15"/>
        <v/>
      </c>
      <c r="H161" s="93"/>
      <c r="I161" s="93"/>
      <c r="J161" s="94" t="str">
        <f t="shared" si="16"/>
        <v/>
      </c>
      <c r="K161" s="93"/>
      <c r="L161" s="93"/>
      <c r="M161" s="94" t="str">
        <f t="shared" si="17"/>
        <v/>
      </c>
      <c r="N161" s="94"/>
      <c r="O161" s="93"/>
      <c r="P161" s="93"/>
      <c r="Q161" s="94" t="str">
        <f t="shared" si="18"/>
        <v/>
      </c>
      <c r="R161" s="93"/>
      <c r="S161" s="93"/>
      <c r="T161" s="93"/>
      <c r="U161" s="93"/>
      <c r="V161" s="93"/>
      <c r="W161" s="93"/>
      <c r="X161" s="93"/>
      <c r="Y161" s="93"/>
      <c r="Z161" s="93"/>
      <c r="AA161" s="93" t="s">
        <v>1</v>
      </c>
      <c r="AB161" s="93">
        <v>84</v>
      </c>
      <c r="AC161" s="93">
        <v>16000</v>
      </c>
      <c r="AD161" s="94">
        <f t="shared" si="19"/>
        <v>190.47619047619048</v>
      </c>
      <c r="AE161" s="93"/>
      <c r="AF161" s="57"/>
      <c r="AG161" s="57"/>
      <c r="AH161" s="57">
        <v>32</v>
      </c>
      <c r="AI161" s="57">
        <v>4300</v>
      </c>
      <c r="AJ161" s="94">
        <f t="shared" si="20"/>
        <v>134.375</v>
      </c>
    </row>
    <row r="162" spans="1:36" x14ac:dyDescent="0.3">
      <c r="A162" s="39" t="s">
        <v>407</v>
      </c>
      <c r="C162" s="93" t="s">
        <v>527</v>
      </c>
      <c r="D162" s="38" t="s">
        <v>1</v>
      </c>
      <c r="E162" s="93"/>
      <c r="F162" s="93"/>
      <c r="G162" s="94" t="str">
        <f t="shared" si="15"/>
        <v/>
      </c>
      <c r="H162" s="93"/>
      <c r="I162" s="93"/>
      <c r="J162" s="94" t="str">
        <f t="shared" si="16"/>
        <v/>
      </c>
      <c r="K162" s="93"/>
      <c r="L162" s="93"/>
      <c r="M162" s="94" t="str">
        <f t="shared" si="17"/>
        <v/>
      </c>
      <c r="N162" s="94"/>
      <c r="O162" s="93"/>
      <c r="P162" s="93"/>
      <c r="Q162" s="94" t="str">
        <f t="shared" si="18"/>
        <v/>
      </c>
      <c r="R162" s="93"/>
      <c r="S162" s="93"/>
      <c r="T162" s="93"/>
      <c r="U162" s="93"/>
      <c r="V162" s="93"/>
      <c r="W162" s="93"/>
      <c r="X162" s="93"/>
      <c r="Y162" s="93"/>
      <c r="Z162" s="93"/>
      <c r="AA162" s="93" t="s">
        <v>1</v>
      </c>
      <c r="AB162" s="93">
        <v>310</v>
      </c>
      <c r="AC162" s="93">
        <v>63000</v>
      </c>
      <c r="AD162" s="94">
        <f t="shared" si="19"/>
        <v>203.2258064516129</v>
      </c>
      <c r="AE162" s="93"/>
      <c r="AF162" s="57"/>
      <c r="AG162" s="57"/>
      <c r="AH162" s="57">
        <v>38</v>
      </c>
      <c r="AI162" s="57">
        <v>5300</v>
      </c>
      <c r="AJ162" s="94">
        <f t="shared" si="20"/>
        <v>139.47368421052633</v>
      </c>
    </row>
    <row r="163" spans="1:36" x14ac:dyDescent="0.3">
      <c r="A163" s="39" t="s">
        <v>632</v>
      </c>
      <c r="C163" s="93" t="s">
        <v>527</v>
      </c>
      <c r="D163" s="38" t="s">
        <v>1</v>
      </c>
      <c r="E163" s="93"/>
      <c r="F163" s="93"/>
      <c r="G163" s="94" t="str">
        <f t="shared" si="15"/>
        <v/>
      </c>
      <c r="H163" s="93"/>
      <c r="I163" s="93"/>
      <c r="J163" s="94" t="str">
        <f t="shared" si="16"/>
        <v/>
      </c>
      <c r="K163" s="93"/>
      <c r="L163" s="93"/>
      <c r="M163" s="94" t="str">
        <f t="shared" si="17"/>
        <v/>
      </c>
      <c r="N163" s="94"/>
      <c r="O163" s="93"/>
      <c r="P163" s="93"/>
      <c r="Q163" s="94" t="str">
        <f t="shared" si="18"/>
        <v/>
      </c>
      <c r="R163" s="93"/>
      <c r="S163" s="93"/>
      <c r="T163" s="93"/>
      <c r="U163" s="93"/>
      <c r="V163" s="93"/>
      <c r="W163" s="93"/>
      <c r="X163" s="93"/>
      <c r="Y163" s="93"/>
      <c r="Z163" s="93"/>
      <c r="AA163" s="93" t="s">
        <v>1</v>
      </c>
      <c r="AB163" s="93"/>
      <c r="AC163" s="93"/>
      <c r="AD163" s="94" t="str">
        <f t="shared" si="19"/>
        <v/>
      </c>
      <c r="AE163" s="93"/>
      <c r="AF163" s="57"/>
      <c r="AG163" s="57"/>
      <c r="AH163" s="57">
        <v>19</v>
      </c>
      <c r="AI163" s="57">
        <v>2000</v>
      </c>
      <c r="AJ163" s="94">
        <f t="shared" si="20"/>
        <v>105.26315789473684</v>
      </c>
    </row>
    <row r="164" spans="1:36" x14ac:dyDescent="0.3">
      <c r="A164" s="39" t="s">
        <v>261</v>
      </c>
      <c r="C164" s="93" t="s">
        <v>527</v>
      </c>
      <c r="D164" s="38" t="s">
        <v>1</v>
      </c>
      <c r="E164" s="93"/>
      <c r="F164" s="93"/>
      <c r="G164" s="94" t="str">
        <f t="shared" si="15"/>
        <v/>
      </c>
      <c r="H164" s="93"/>
      <c r="I164" s="93"/>
      <c r="J164" s="94" t="str">
        <f t="shared" si="16"/>
        <v/>
      </c>
      <c r="K164" s="93"/>
      <c r="L164" s="93"/>
      <c r="M164" s="94" t="str">
        <f t="shared" si="17"/>
        <v/>
      </c>
      <c r="N164" s="94"/>
      <c r="O164" s="93"/>
      <c r="P164" s="93"/>
      <c r="Q164" s="94" t="str">
        <f t="shared" si="18"/>
        <v/>
      </c>
      <c r="R164" s="93"/>
      <c r="S164" s="93"/>
      <c r="T164" s="93"/>
      <c r="U164" s="93"/>
      <c r="V164" s="93"/>
      <c r="W164" s="93"/>
      <c r="X164" s="93"/>
      <c r="Y164" s="93"/>
      <c r="Z164" s="93"/>
      <c r="AA164" s="93" t="s">
        <v>1</v>
      </c>
      <c r="AB164" s="93"/>
      <c r="AC164" s="93"/>
      <c r="AD164" s="94" t="str">
        <f t="shared" si="19"/>
        <v/>
      </c>
      <c r="AE164" s="93"/>
      <c r="AF164" s="57"/>
      <c r="AG164" s="57"/>
      <c r="AH164" s="57">
        <v>238</v>
      </c>
      <c r="AI164" s="57">
        <v>14300</v>
      </c>
      <c r="AJ164" s="94">
        <f t="shared" si="20"/>
        <v>60.084033613445378</v>
      </c>
    </row>
    <row r="165" spans="1:36" x14ac:dyDescent="0.3">
      <c r="A165" s="39" t="s">
        <v>155</v>
      </c>
      <c r="C165" s="90" t="s">
        <v>527</v>
      </c>
      <c r="D165" s="90" t="s">
        <v>441</v>
      </c>
      <c r="E165" s="93"/>
      <c r="F165" s="93"/>
      <c r="G165" s="94" t="str">
        <f t="shared" si="15"/>
        <v/>
      </c>
      <c r="H165" s="93"/>
      <c r="I165" s="93"/>
      <c r="J165" s="94" t="str">
        <f t="shared" si="16"/>
        <v/>
      </c>
      <c r="K165" s="93"/>
      <c r="L165" s="93"/>
      <c r="M165" s="94" t="str">
        <f t="shared" si="17"/>
        <v/>
      </c>
      <c r="N165" s="94"/>
      <c r="O165" s="93">
        <f>(4000+4500)/2</f>
        <v>4250</v>
      </c>
      <c r="P165" s="93">
        <v>38821</v>
      </c>
      <c r="Q165" s="94">
        <f t="shared" si="18"/>
        <v>9.1343529411764699</v>
      </c>
      <c r="R165" s="93"/>
      <c r="S165" s="93"/>
      <c r="T165" s="93"/>
      <c r="U165" s="93"/>
      <c r="V165" s="93"/>
      <c r="W165" s="93"/>
      <c r="X165" s="93"/>
      <c r="Y165" s="93"/>
      <c r="Z165" s="93"/>
      <c r="AA165" s="93" t="s">
        <v>1</v>
      </c>
      <c r="AB165" s="93">
        <v>1035</v>
      </c>
      <c r="AC165" s="93">
        <v>36000</v>
      </c>
      <c r="AD165" s="94">
        <f t="shared" si="19"/>
        <v>34.782608695652172</v>
      </c>
      <c r="AE165" s="93"/>
      <c r="AF165" s="57"/>
      <c r="AG165" s="57"/>
      <c r="AH165" s="57">
        <v>293</v>
      </c>
      <c r="AI165" s="57">
        <v>11700</v>
      </c>
      <c r="AJ165" s="94">
        <f t="shared" si="20"/>
        <v>39.931740614334473</v>
      </c>
    </row>
    <row r="166" spans="1:36" x14ac:dyDescent="0.3">
      <c r="A166" s="39" t="s">
        <v>410</v>
      </c>
      <c r="C166" s="93" t="s">
        <v>527</v>
      </c>
      <c r="D166" s="38" t="s">
        <v>1</v>
      </c>
      <c r="E166" s="93"/>
      <c r="F166" s="93"/>
      <c r="G166" s="94" t="str">
        <f t="shared" si="15"/>
        <v/>
      </c>
      <c r="H166" s="93"/>
      <c r="I166" s="93"/>
      <c r="J166" s="94" t="str">
        <f t="shared" si="16"/>
        <v/>
      </c>
      <c r="K166" s="93"/>
      <c r="L166" s="93"/>
      <c r="M166" s="94" t="str">
        <f t="shared" si="17"/>
        <v/>
      </c>
      <c r="N166" s="94"/>
      <c r="O166" s="93"/>
      <c r="P166" s="93"/>
      <c r="Q166" s="94" t="str">
        <f t="shared" si="18"/>
        <v/>
      </c>
      <c r="R166" s="93"/>
      <c r="S166" s="93"/>
      <c r="T166" s="93"/>
      <c r="U166" s="93"/>
      <c r="V166" s="93"/>
      <c r="W166" s="93"/>
      <c r="X166" s="93"/>
      <c r="Y166" s="93"/>
      <c r="Z166" s="93"/>
      <c r="AA166" s="93" t="s">
        <v>1</v>
      </c>
      <c r="AB166" s="93"/>
      <c r="AC166" s="93"/>
      <c r="AD166" s="94" t="str">
        <f t="shared" si="19"/>
        <v/>
      </c>
      <c r="AE166" s="93"/>
      <c r="AF166" s="57"/>
      <c r="AG166" s="57"/>
      <c r="AH166" s="57">
        <v>124</v>
      </c>
      <c r="AI166" s="57">
        <v>12600</v>
      </c>
      <c r="AJ166" s="94">
        <f t="shared" si="20"/>
        <v>101.61290322580645</v>
      </c>
    </row>
    <row r="167" spans="1:36" x14ac:dyDescent="0.3">
      <c r="A167" s="39" t="s">
        <v>633</v>
      </c>
      <c r="C167" s="93" t="s">
        <v>527</v>
      </c>
      <c r="D167" s="38" t="s">
        <v>1</v>
      </c>
      <c r="E167" s="93"/>
      <c r="F167" s="93"/>
      <c r="G167" s="94" t="str">
        <f t="shared" si="15"/>
        <v/>
      </c>
      <c r="H167" s="93"/>
      <c r="I167" s="93"/>
      <c r="J167" s="94" t="str">
        <f t="shared" si="16"/>
        <v/>
      </c>
      <c r="K167" s="93"/>
      <c r="L167" s="93"/>
      <c r="M167" s="94" t="str">
        <f t="shared" si="17"/>
        <v/>
      </c>
      <c r="N167" s="94"/>
      <c r="O167" s="93"/>
      <c r="P167" s="93"/>
      <c r="Q167" s="94" t="str">
        <f t="shared" si="18"/>
        <v/>
      </c>
      <c r="R167" s="93"/>
      <c r="S167" s="93"/>
      <c r="T167" s="93"/>
      <c r="U167" s="93"/>
      <c r="V167" s="93"/>
      <c r="W167" s="93"/>
      <c r="X167" s="93"/>
      <c r="Y167" s="93"/>
      <c r="Z167" s="93"/>
      <c r="AA167" s="93" t="s">
        <v>1</v>
      </c>
      <c r="AB167" s="93">
        <f>401</f>
        <v>401</v>
      </c>
      <c r="AC167" s="93">
        <v>47000</v>
      </c>
      <c r="AD167" s="94">
        <f t="shared" si="19"/>
        <v>117.2069825436409</v>
      </c>
      <c r="AE167" s="93"/>
      <c r="AF167" s="57"/>
      <c r="AG167" s="57"/>
      <c r="AH167" s="57">
        <v>19</v>
      </c>
      <c r="AI167" s="57">
        <v>3500</v>
      </c>
      <c r="AJ167" s="94">
        <f t="shared" si="20"/>
        <v>184.21052631578948</v>
      </c>
    </row>
    <row r="168" spans="1:36" x14ac:dyDescent="0.3">
      <c r="A168" s="39" t="s">
        <v>634</v>
      </c>
      <c r="C168" s="93" t="s">
        <v>527</v>
      </c>
      <c r="D168" s="38" t="s">
        <v>1</v>
      </c>
      <c r="E168" s="93"/>
      <c r="F168" s="93"/>
      <c r="G168" s="94" t="str">
        <f t="shared" si="15"/>
        <v/>
      </c>
      <c r="H168" s="93"/>
      <c r="I168" s="93"/>
      <c r="J168" s="94" t="str">
        <f t="shared" si="16"/>
        <v/>
      </c>
      <c r="K168" s="93"/>
      <c r="L168" s="93"/>
      <c r="M168" s="94" t="str">
        <f t="shared" si="17"/>
        <v/>
      </c>
      <c r="N168" s="94"/>
      <c r="O168" s="93"/>
      <c r="P168" s="93"/>
      <c r="Q168" s="94" t="str">
        <f t="shared" si="18"/>
        <v/>
      </c>
      <c r="R168" s="93"/>
      <c r="S168" s="93"/>
      <c r="T168" s="93"/>
      <c r="U168" s="93"/>
      <c r="V168" s="93"/>
      <c r="W168" s="93"/>
      <c r="X168" s="93"/>
      <c r="Y168" s="93"/>
      <c r="Z168" s="93"/>
      <c r="AA168" s="93" t="s">
        <v>1</v>
      </c>
      <c r="AB168" s="93"/>
      <c r="AC168" s="93"/>
      <c r="AD168" s="94" t="str">
        <f t="shared" si="19"/>
        <v/>
      </c>
      <c r="AE168" s="93"/>
      <c r="AF168" s="57"/>
      <c r="AG168" s="57"/>
      <c r="AH168" s="57">
        <v>26</v>
      </c>
      <c r="AI168" s="57">
        <v>3700</v>
      </c>
      <c r="AJ168" s="94">
        <f t="shared" si="20"/>
        <v>142.30769230769232</v>
      </c>
    </row>
    <row r="169" spans="1:36" x14ac:dyDescent="0.3">
      <c r="A169" s="39" t="s">
        <v>291</v>
      </c>
      <c r="C169" s="93" t="s">
        <v>527</v>
      </c>
      <c r="D169" s="38" t="s">
        <v>1</v>
      </c>
      <c r="E169" s="93"/>
      <c r="F169" s="93"/>
      <c r="G169" s="94" t="str">
        <f t="shared" si="15"/>
        <v/>
      </c>
      <c r="H169" s="93"/>
      <c r="I169" s="93"/>
      <c r="J169" s="94" t="str">
        <f t="shared" si="16"/>
        <v/>
      </c>
      <c r="K169" s="93"/>
      <c r="L169" s="93"/>
      <c r="M169" s="94" t="str">
        <f t="shared" si="17"/>
        <v/>
      </c>
      <c r="N169" s="94"/>
      <c r="O169" s="93"/>
      <c r="P169" s="93"/>
      <c r="Q169" s="94" t="str">
        <f t="shared" si="18"/>
        <v/>
      </c>
      <c r="R169" s="93"/>
      <c r="S169" s="93"/>
      <c r="T169" s="93"/>
      <c r="U169" s="93"/>
      <c r="V169" s="93"/>
      <c r="W169" s="93"/>
      <c r="X169" s="93"/>
      <c r="Y169" s="93"/>
      <c r="Z169" s="93"/>
      <c r="AA169" s="93" t="s">
        <v>1</v>
      </c>
      <c r="AB169" s="93">
        <v>9</v>
      </c>
      <c r="AC169" s="93">
        <v>3000</v>
      </c>
      <c r="AD169" s="94">
        <f t="shared" si="19"/>
        <v>333.33333333333331</v>
      </c>
      <c r="AE169" s="93"/>
      <c r="AF169" s="57"/>
      <c r="AG169" s="57"/>
      <c r="AH169" s="57">
        <v>6</v>
      </c>
      <c r="AI169" s="57">
        <v>1200</v>
      </c>
      <c r="AJ169" s="94">
        <f t="shared" si="20"/>
        <v>200</v>
      </c>
    </row>
    <row r="170" spans="1:36" x14ac:dyDescent="0.3">
      <c r="A170" s="39" t="s">
        <v>262</v>
      </c>
      <c r="C170" s="93" t="s">
        <v>527</v>
      </c>
      <c r="D170" s="38" t="s">
        <v>1</v>
      </c>
      <c r="E170" s="93"/>
      <c r="F170" s="93"/>
      <c r="G170" s="94" t="str">
        <f t="shared" si="15"/>
        <v/>
      </c>
      <c r="H170" s="93"/>
      <c r="I170" s="93"/>
      <c r="J170" s="94" t="str">
        <f t="shared" si="16"/>
        <v/>
      </c>
      <c r="K170" s="93"/>
      <c r="L170" s="93"/>
      <c r="M170" s="94" t="str">
        <f t="shared" si="17"/>
        <v/>
      </c>
      <c r="N170" s="94"/>
      <c r="O170" s="93"/>
      <c r="P170" s="93"/>
      <c r="Q170" s="94" t="str">
        <f t="shared" si="18"/>
        <v/>
      </c>
      <c r="R170" s="93"/>
      <c r="S170" s="93"/>
      <c r="T170" s="93"/>
      <c r="U170" s="93"/>
      <c r="V170" s="93"/>
      <c r="W170" s="93"/>
      <c r="X170" s="93"/>
      <c r="Y170" s="93"/>
      <c r="Z170" s="93"/>
      <c r="AA170" s="93" t="s">
        <v>1</v>
      </c>
      <c r="AB170" s="93">
        <f>608+7</f>
        <v>615</v>
      </c>
      <c r="AC170" s="93">
        <f>24000+2000</f>
        <v>26000</v>
      </c>
      <c r="AD170" s="94">
        <f t="shared" si="19"/>
        <v>42.27642276422764</v>
      </c>
      <c r="AE170" s="93"/>
      <c r="AF170" s="57"/>
      <c r="AG170" s="57"/>
      <c r="AH170" s="57">
        <v>287</v>
      </c>
      <c r="AI170" s="57">
        <v>15800</v>
      </c>
      <c r="AJ170" s="94">
        <f t="shared" si="20"/>
        <v>55.052264808362366</v>
      </c>
    </row>
    <row r="171" spans="1:36" x14ac:dyDescent="0.3">
      <c r="A171" s="39" t="s">
        <v>263</v>
      </c>
      <c r="C171" s="93" t="s">
        <v>527</v>
      </c>
      <c r="D171" s="38" t="s">
        <v>1</v>
      </c>
      <c r="E171" s="93"/>
      <c r="F171" s="93"/>
      <c r="G171" s="94" t="str">
        <f t="shared" si="15"/>
        <v/>
      </c>
      <c r="H171" s="93"/>
      <c r="I171" s="93"/>
      <c r="J171" s="94" t="str">
        <f t="shared" si="16"/>
        <v/>
      </c>
      <c r="K171" s="93"/>
      <c r="L171" s="93"/>
      <c r="M171" s="94" t="str">
        <f t="shared" si="17"/>
        <v/>
      </c>
      <c r="N171" s="94"/>
      <c r="O171" s="93"/>
      <c r="P171" s="93"/>
      <c r="Q171" s="94" t="str">
        <f t="shared" si="18"/>
        <v/>
      </c>
      <c r="R171" s="93"/>
      <c r="S171" s="93"/>
      <c r="T171" s="93"/>
      <c r="U171" s="93"/>
      <c r="V171" s="93"/>
      <c r="W171" s="93"/>
      <c r="X171" s="93"/>
      <c r="Y171" s="93"/>
      <c r="Z171" s="93"/>
      <c r="AA171" s="93" t="s">
        <v>1</v>
      </c>
      <c r="AB171" s="93"/>
      <c r="AC171" s="93"/>
      <c r="AD171" s="94" t="str">
        <f t="shared" si="19"/>
        <v/>
      </c>
      <c r="AE171" s="93"/>
      <c r="AF171" s="57"/>
      <c r="AG171" s="57"/>
      <c r="AH171" s="57">
        <v>17</v>
      </c>
      <c r="AI171" s="57">
        <v>2700</v>
      </c>
      <c r="AJ171" s="94">
        <f t="shared" si="20"/>
        <v>158.8235294117647</v>
      </c>
    </row>
    <row r="172" spans="1:36" x14ac:dyDescent="0.3">
      <c r="A172" s="39" t="s">
        <v>264</v>
      </c>
      <c r="C172" s="93" t="s">
        <v>527</v>
      </c>
      <c r="D172" s="38" t="s">
        <v>1</v>
      </c>
      <c r="E172" s="93"/>
      <c r="F172" s="93"/>
      <c r="G172" s="94" t="str">
        <f t="shared" si="15"/>
        <v/>
      </c>
      <c r="H172" s="93"/>
      <c r="I172" s="93"/>
      <c r="J172" s="94" t="str">
        <f t="shared" si="16"/>
        <v/>
      </c>
      <c r="K172" s="93"/>
      <c r="L172" s="93"/>
      <c r="M172" s="94" t="str">
        <f t="shared" si="17"/>
        <v/>
      </c>
      <c r="N172" s="94"/>
      <c r="O172" s="93"/>
      <c r="P172" s="93"/>
      <c r="Q172" s="94" t="str">
        <f t="shared" si="18"/>
        <v/>
      </c>
      <c r="R172" s="93"/>
      <c r="S172" s="93"/>
      <c r="T172" s="93"/>
      <c r="U172" s="93"/>
      <c r="V172" s="93"/>
      <c r="W172" s="93"/>
      <c r="X172" s="93"/>
      <c r="Y172" s="93"/>
      <c r="Z172" s="93"/>
      <c r="AA172" s="93" t="s">
        <v>1</v>
      </c>
      <c r="AB172" s="93">
        <f>89+37</f>
        <v>126</v>
      </c>
      <c r="AC172" s="93">
        <f>14000+6800</f>
        <v>20800</v>
      </c>
      <c r="AD172" s="94">
        <f t="shared" si="19"/>
        <v>165.07936507936509</v>
      </c>
      <c r="AE172" s="93"/>
      <c r="AF172" s="57"/>
      <c r="AG172" s="57"/>
      <c r="AH172" s="57">
        <v>44</v>
      </c>
      <c r="AI172" s="57">
        <v>5000</v>
      </c>
      <c r="AJ172" s="94">
        <f t="shared" si="20"/>
        <v>113.63636363636364</v>
      </c>
    </row>
    <row r="173" spans="1:36" x14ac:dyDescent="0.3">
      <c r="A173" s="39" t="s">
        <v>635</v>
      </c>
      <c r="C173" s="93" t="s">
        <v>527</v>
      </c>
      <c r="D173" s="38" t="s">
        <v>1</v>
      </c>
      <c r="E173" s="93"/>
      <c r="F173" s="93"/>
      <c r="G173" s="94" t="str">
        <f t="shared" si="15"/>
        <v/>
      </c>
      <c r="H173" s="93"/>
      <c r="I173" s="93"/>
      <c r="J173" s="94" t="str">
        <f t="shared" si="16"/>
        <v/>
      </c>
      <c r="K173" s="93"/>
      <c r="L173" s="93"/>
      <c r="M173" s="94" t="str">
        <f t="shared" si="17"/>
        <v/>
      </c>
      <c r="N173" s="94"/>
      <c r="O173" s="93"/>
      <c r="P173" s="93"/>
      <c r="Q173" s="94" t="str">
        <f t="shared" si="18"/>
        <v/>
      </c>
      <c r="R173" s="93"/>
      <c r="S173" s="93"/>
      <c r="T173" s="93"/>
      <c r="U173" s="93"/>
      <c r="V173" s="93"/>
      <c r="W173" s="93"/>
      <c r="X173" s="93"/>
      <c r="Y173" s="93"/>
      <c r="Z173" s="93"/>
      <c r="AA173" s="93" t="s">
        <v>1</v>
      </c>
      <c r="AB173" s="93">
        <v>37</v>
      </c>
      <c r="AC173" s="93">
        <v>6800</v>
      </c>
      <c r="AD173" s="94">
        <f t="shared" si="19"/>
        <v>183.78378378378378</v>
      </c>
      <c r="AE173" s="93"/>
      <c r="AF173" s="57"/>
      <c r="AG173" s="57"/>
      <c r="AH173" s="57">
        <v>34</v>
      </c>
      <c r="AI173" s="57">
        <v>6000</v>
      </c>
      <c r="AJ173" s="94">
        <f t="shared" si="20"/>
        <v>176.47058823529412</v>
      </c>
    </row>
    <row r="174" spans="1:36" x14ac:dyDescent="0.3">
      <c r="A174" s="39" t="s">
        <v>409</v>
      </c>
      <c r="C174" s="93" t="s">
        <v>527</v>
      </c>
      <c r="D174" s="38" t="s">
        <v>1</v>
      </c>
      <c r="E174" s="93"/>
      <c r="F174" s="93"/>
      <c r="G174" s="94" t="str">
        <f t="shared" si="15"/>
        <v/>
      </c>
      <c r="H174" s="93"/>
      <c r="I174" s="93"/>
      <c r="J174" s="94" t="str">
        <f t="shared" si="16"/>
        <v/>
      </c>
      <c r="K174" s="93"/>
      <c r="L174" s="93"/>
      <c r="M174" s="94" t="str">
        <f t="shared" si="17"/>
        <v/>
      </c>
      <c r="N174" s="94"/>
      <c r="O174" s="93"/>
      <c r="P174" s="93"/>
      <c r="Q174" s="94" t="str">
        <f t="shared" si="18"/>
        <v/>
      </c>
      <c r="R174" s="93"/>
      <c r="S174" s="93"/>
      <c r="T174" s="93"/>
      <c r="U174" s="93"/>
      <c r="V174" s="93"/>
      <c r="W174" s="93"/>
      <c r="X174" s="93"/>
      <c r="Y174" s="93"/>
      <c r="Z174" s="93"/>
      <c r="AA174" s="93" t="s">
        <v>1</v>
      </c>
      <c r="AB174" s="93">
        <v>961</v>
      </c>
      <c r="AC174" s="93">
        <v>317000</v>
      </c>
      <c r="AD174" s="94">
        <f t="shared" si="19"/>
        <v>329.86472424557752</v>
      </c>
      <c r="AE174" s="93"/>
      <c r="AF174" s="57"/>
      <c r="AG174" s="57"/>
      <c r="AH174" s="57"/>
      <c r="AI174" s="57"/>
      <c r="AJ174" s="94" t="str">
        <f t="shared" si="20"/>
        <v/>
      </c>
    </row>
    <row r="175" spans="1:36" x14ac:dyDescent="0.3">
      <c r="A175" s="39" t="s">
        <v>292</v>
      </c>
      <c r="C175" s="93" t="s">
        <v>527</v>
      </c>
      <c r="D175" s="38" t="s">
        <v>1</v>
      </c>
      <c r="E175" s="93"/>
      <c r="F175" s="93"/>
      <c r="G175" s="94" t="str">
        <f t="shared" si="15"/>
        <v/>
      </c>
      <c r="H175" s="93"/>
      <c r="I175" s="93"/>
      <c r="J175" s="94" t="str">
        <f t="shared" si="16"/>
        <v/>
      </c>
      <c r="K175" s="93"/>
      <c r="L175" s="93"/>
      <c r="M175" s="94" t="str">
        <f t="shared" si="17"/>
        <v/>
      </c>
      <c r="N175" s="94"/>
      <c r="O175" s="93"/>
      <c r="P175" s="93"/>
      <c r="Q175" s="94" t="str">
        <f t="shared" si="18"/>
        <v/>
      </c>
      <c r="R175" s="93"/>
      <c r="S175" s="93"/>
      <c r="T175" s="93"/>
      <c r="U175" s="93"/>
      <c r="V175" s="93"/>
      <c r="W175" s="93"/>
      <c r="X175" s="93"/>
      <c r="Y175" s="93"/>
      <c r="Z175" s="93"/>
      <c r="AA175" s="93" t="s">
        <v>1</v>
      </c>
      <c r="AB175" s="93">
        <v>699</v>
      </c>
      <c r="AC175" s="93">
        <v>139000</v>
      </c>
      <c r="AD175" s="94">
        <f t="shared" si="19"/>
        <v>198.8555078683834</v>
      </c>
      <c r="AE175" s="93"/>
      <c r="AF175" s="57"/>
      <c r="AG175" s="57"/>
      <c r="AH175" s="57">
        <v>1524</v>
      </c>
      <c r="AI175" s="57">
        <v>264000</v>
      </c>
      <c r="AJ175" s="94">
        <f t="shared" si="20"/>
        <v>173.22834645669292</v>
      </c>
    </row>
    <row r="176" spans="1:36" x14ac:dyDescent="0.3">
      <c r="A176" s="39" t="s">
        <v>157</v>
      </c>
      <c r="C176" s="93" t="s">
        <v>527</v>
      </c>
      <c r="D176" s="38" t="s">
        <v>1</v>
      </c>
      <c r="E176" s="93"/>
      <c r="F176" s="93"/>
      <c r="G176" s="94" t="str">
        <f t="shared" si="15"/>
        <v/>
      </c>
      <c r="H176" s="93"/>
      <c r="I176" s="93"/>
      <c r="J176" s="94" t="str">
        <f t="shared" si="16"/>
        <v/>
      </c>
      <c r="K176" s="93"/>
      <c r="L176" s="93"/>
      <c r="M176" s="94" t="str">
        <f t="shared" si="17"/>
        <v/>
      </c>
      <c r="N176" s="94"/>
      <c r="O176" s="93"/>
      <c r="P176" s="93"/>
      <c r="Q176" s="94" t="str">
        <f t="shared" si="18"/>
        <v/>
      </c>
      <c r="R176" s="93"/>
      <c r="S176" s="93"/>
      <c r="T176" s="93"/>
      <c r="U176" s="93"/>
      <c r="V176" s="93"/>
      <c r="W176" s="93"/>
      <c r="X176" s="93"/>
      <c r="Y176" s="93"/>
      <c r="Z176" s="93"/>
      <c r="AA176" s="93" t="s">
        <v>1</v>
      </c>
      <c r="AB176" s="93"/>
      <c r="AC176" s="93"/>
      <c r="AD176" s="94" t="str">
        <f t="shared" si="19"/>
        <v/>
      </c>
      <c r="AE176" s="93"/>
      <c r="AF176" s="57"/>
      <c r="AG176" s="57"/>
      <c r="AH176" s="57">
        <v>287</v>
      </c>
      <c r="AI176" s="57">
        <v>77000</v>
      </c>
      <c r="AJ176" s="94">
        <f t="shared" si="20"/>
        <v>268.29268292682929</v>
      </c>
    </row>
    <row r="177" spans="1:36" x14ac:dyDescent="0.3">
      <c r="A177" s="39" t="s">
        <v>265</v>
      </c>
      <c r="C177" s="93" t="s">
        <v>527</v>
      </c>
      <c r="D177" s="38" t="s">
        <v>1</v>
      </c>
      <c r="E177" s="93"/>
      <c r="F177" s="93"/>
      <c r="G177" s="94" t="str">
        <f t="shared" si="15"/>
        <v/>
      </c>
      <c r="H177" s="93"/>
      <c r="I177" s="93"/>
      <c r="J177" s="94" t="str">
        <f t="shared" si="16"/>
        <v/>
      </c>
      <c r="K177" s="93"/>
      <c r="L177" s="93"/>
      <c r="M177" s="94" t="str">
        <f t="shared" si="17"/>
        <v/>
      </c>
      <c r="N177" s="94"/>
      <c r="O177" s="93"/>
      <c r="P177" s="93"/>
      <c r="Q177" s="94" t="str">
        <f t="shared" si="18"/>
        <v/>
      </c>
      <c r="R177" s="93"/>
      <c r="S177" s="93"/>
      <c r="T177" s="93"/>
      <c r="U177" s="93"/>
      <c r="V177" s="93"/>
      <c r="W177" s="93"/>
      <c r="X177" s="93"/>
      <c r="Y177" s="93"/>
      <c r="Z177" s="93"/>
      <c r="AA177" s="93" t="s">
        <v>1</v>
      </c>
      <c r="AB177" s="93"/>
      <c r="AC177" s="93"/>
      <c r="AD177" s="94" t="str">
        <f t="shared" si="19"/>
        <v/>
      </c>
      <c r="AE177" s="93"/>
      <c r="AF177" s="57"/>
      <c r="AG177" s="57"/>
      <c r="AH177" s="57">
        <v>51</v>
      </c>
      <c r="AI177" s="57">
        <v>17000</v>
      </c>
      <c r="AJ177" s="94">
        <f t="shared" si="20"/>
        <v>333.33333333333331</v>
      </c>
    </row>
    <row r="178" spans="1:36" x14ac:dyDescent="0.3">
      <c r="A178" s="39" t="s">
        <v>636</v>
      </c>
      <c r="C178" s="93" t="s">
        <v>527</v>
      </c>
      <c r="D178" s="38" t="s">
        <v>1</v>
      </c>
      <c r="E178" s="93"/>
      <c r="F178" s="93"/>
      <c r="G178" s="94" t="str">
        <f t="shared" si="15"/>
        <v/>
      </c>
      <c r="H178" s="93"/>
      <c r="I178" s="93"/>
      <c r="J178" s="94" t="str">
        <f t="shared" si="16"/>
        <v/>
      </c>
      <c r="K178" s="93"/>
      <c r="L178" s="93"/>
      <c r="M178" s="94" t="str">
        <f t="shared" si="17"/>
        <v/>
      </c>
      <c r="N178" s="94"/>
      <c r="O178" s="93"/>
      <c r="P178" s="93"/>
      <c r="Q178" s="94" t="str">
        <f t="shared" si="18"/>
        <v/>
      </c>
      <c r="R178" s="93"/>
      <c r="S178" s="93"/>
      <c r="T178" s="93"/>
      <c r="U178" s="93"/>
      <c r="V178" s="93"/>
      <c r="W178" s="93"/>
      <c r="X178" s="93"/>
      <c r="Y178" s="93"/>
      <c r="Z178" s="93"/>
      <c r="AA178" s="93" t="s">
        <v>1</v>
      </c>
      <c r="AB178" s="93"/>
      <c r="AC178" s="93"/>
      <c r="AD178" s="94" t="str">
        <f t="shared" si="19"/>
        <v/>
      </c>
      <c r="AE178" s="93"/>
      <c r="AF178" s="57"/>
      <c r="AG178" s="57"/>
      <c r="AH178" s="57">
        <v>5</v>
      </c>
      <c r="AI178" s="57">
        <v>2300</v>
      </c>
      <c r="AJ178" s="94">
        <f t="shared" si="20"/>
        <v>460</v>
      </c>
    </row>
    <row r="179" spans="1:36" x14ac:dyDescent="0.3">
      <c r="A179" s="39" t="s">
        <v>40</v>
      </c>
      <c r="B179" s="38" t="s">
        <v>519</v>
      </c>
      <c r="C179" s="93" t="s">
        <v>527</v>
      </c>
      <c r="D179" s="38" t="s">
        <v>1</v>
      </c>
      <c r="E179" s="93"/>
      <c r="F179" s="93"/>
      <c r="G179" s="94" t="str">
        <f t="shared" si="15"/>
        <v/>
      </c>
      <c r="H179" s="93"/>
      <c r="I179" s="93"/>
      <c r="J179" s="94" t="str">
        <f t="shared" si="16"/>
        <v/>
      </c>
      <c r="K179" s="93"/>
      <c r="L179" s="93"/>
      <c r="M179" s="94" t="str">
        <f t="shared" si="17"/>
        <v/>
      </c>
      <c r="N179" s="94"/>
      <c r="O179" s="93"/>
      <c r="P179" s="93"/>
      <c r="Q179" s="94" t="str">
        <f t="shared" si="18"/>
        <v/>
      </c>
      <c r="R179" s="93"/>
      <c r="S179" s="93"/>
      <c r="T179" s="93"/>
      <c r="U179" s="93"/>
      <c r="V179" s="93"/>
      <c r="W179" s="93"/>
      <c r="X179" s="93"/>
      <c r="Y179" s="93"/>
      <c r="Z179" s="93"/>
      <c r="AA179" s="93" t="s">
        <v>1</v>
      </c>
      <c r="AB179" s="93">
        <v>1824</v>
      </c>
      <c r="AC179" s="93">
        <v>415000</v>
      </c>
      <c r="AD179" s="94">
        <f t="shared" si="19"/>
        <v>227.5219298245614</v>
      </c>
      <c r="AE179" s="93"/>
      <c r="AF179" s="57"/>
      <c r="AG179" s="57"/>
      <c r="AH179" s="57"/>
      <c r="AI179" s="57"/>
      <c r="AJ179" s="94" t="str">
        <f t="shared" si="20"/>
        <v/>
      </c>
    </row>
    <row r="180" spans="1:36" x14ac:dyDescent="0.3">
      <c r="A180" s="39" t="s">
        <v>522</v>
      </c>
      <c r="B180" s="38" t="s">
        <v>521</v>
      </c>
      <c r="C180" s="93" t="s">
        <v>527</v>
      </c>
      <c r="D180" s="38" t="s">
        <v>1</v>
      </c>
      <c r="E180" s="93"/>
      <c r="F180" s="93"/>
      <c r="G180" s="94" t="str">
        <f t="shared" si="15"/>
        <v/>
      </c>
      <c r="H180" s="93"/>
      <c r="I180" s="93"/>
      <c r="J180" s="94" t="str">
        <f t="shared" si="16"/>
        <v/>
      </c>
      <c r="K180" s="93"/>
      <c r="L180" s="93"/>
      <c r="M180" s="94" t="str">
        <f t="shared" si="17"/>
        <v/>
      </c>
      <c r="N180" s="94"/>
      <c r="O180" s="93"/>
      <c r="P180" s="93"/>
      <c r="Q180" s="94" t="str">
        <f t="shared" si="18"/>
        <v/>
      </c>
      <c r="R180" s="93"/>
      <c r="S180" s="93"/>
      <c r="T180" s="93"/>
      <c r="U180" s="93"/>
      <c r="V180" s="93"/>
      <c r="W180" s="93"/>
      <c r="X180" s="93"/>
      <c r="Y180" s="93"/>
      <c r="Z180" s="93"/>
      <c r="AA180" s="93" t="s">
        <v>1</v>
      </c>
      <c r="AB180" s="93">
        <v>137</v>
      </c>
      <c r="AC180" s="93">
        <v>20000</v>
      </c>
      <c r="AD180" s="94">
        <f t="shared" si="19"/>
        <v>145.98540145985402</v>
      </c>
      <c r="AE180" s="93"/>
      <c r="AF180" s="57"/>
      <c r="AG180" s="57"/>
      <c r="AH180" s="57">
        <v>52</v>
      </c>
      <c r="AI180" s="57">
        <v>6700</v>
      </c>
      <c r="AJ180" s="94">
        <f t="shared" si="20"/>
        <v>128.84615384615384</v>
      </c>
    </row>
    <row r="181" spans="1:36" x14ac:dyDescent="0.3">
      <c r="A181" s="39" t="s">
        <v>637</v>
      </c>
      <c r="C181" s="93" t="s">
        <v>527</v>
      </c>
      <c r="D181" s="38" t="s">
        <v>1</v>
      </c>
      <c r="E181" s="93"/>
      <c r="F181" s="93"/>
      <c r="G181" s="94" t="str">
        <f t="shared" si="15"/>
        <v/>
      </c>
      <c r="H181" s="93"/>
      <c r="I181" s="93"/>
      <c r="J181" s="94" t="str">
        <f t="shared" si="16"/>
        <v/>
      </c>
      <c r="K181" s="93"/>
      <c r="L181" s="93"/>
      <c r="M181" s="94" t="str">
        <f t="shared" si="17"/>
        <v/>
      </c>
      <c r="N181" s="94"/>
      <c r="O181" s="93"/>
      <c r="P181" s="93"/>
      <c r="Q181" s="94" t="str">
        <f t="shared" si="18"/>
        <v/>
      </c>
      <c r="R181" s="93"/>
      <c r="S181" s="93"/>
      <c r="T181" s="93"/>
      <c r="U181" s="93"/>
      <c r="V181" s="93"/>
      <c r="W181" s="93"/>
      <c r="X181" s="93"/>
      <c r="Y181" s="93"/>
      <c r="Z181" s="93"/>
      <c r="AA181" s="93" t="s">
        <v>1</v>
      </c>
      <c r="AB181" s="93">
        <f>115+85</f>
        <v>200</v>
      </c>
      <c r="AC181" s="93">
        <f>43000+11000</f>
        <v>54000</v>
      </c>
      <c r="AD181" s="94">
        <f t="shared" si="19"/>
        <v>270</v>
      </c>
      <c r="AE181" s="93"/>
      <c r="AF181" s="57"/>
      <c r="AG181" s="57"/>
      <c r="AH181" s="57">
        <v>24</v>
      </c>
      <c r="AI181" s="57">
        <v>6300</v>
      </c>
      <c r="AJ181" s="94">
        <f t="shared" si="20"/>
        <v>262.5</v>
      </c>
    </row>
    <row r="182" spans="1:36" x14ac:dyDescent="0.3">
      <c r="A182" s="39" t="s">
        <v>638</v>
      </c>
      <c r="C182" s="93" t="s">
        <v>527</v>
      </c>
      <c r="D182" s="38" t="s">
        <v>1</v>
      </c>
      <c r="E182" s="93"/>
      <c r="F182" s="93"/>
      <c r="G182" s="94" t="str">
        <f t="shared" si="15"/>
        <v/>
      </c>
      <c r="H182" s="93"/>
      <c r="I182" s="93"/>
      <c r="J182" s="94" t="str">
        <f t="shared" si="16"/>
        <v/>
      </c>
      <c r="K182" s="93"/>
      <c r="L182" s="93"/>
      <c r="M182" s="94" t="str">
        <f t="shared" si="17"/>
        <v/>
      </c>
      <c r="N182" s="94"/>
      <c r="O182" s="93"/>
      <c r="P182" s="93"/>
      <c r="Q182" s="94" t="str">
        <f t="shared" si="18"/>
        <v/>
      </c>
      <c r="R182" s="93"/>
      <c r="S182" s="93"/>
      <c r="T182" s="93"/>
      <c r="U182" s="93"/>
      <c r="V182" s="93"/>
      <c r="W182" s="93"/>
      <c r="X182" s="93"/>
      <c r="Y182" s="93"/>
      <c r="Z182" s="93"/>
      <c r="AA182" s="93" t="s">
        <v>1</v>
      </c>
      <c r="AB182" s="93"/>
      <c r="AC182" s="93"/>
      <c r="AD182" s="94" t="str">
        <f t="shared" si="19"/>
        <v/>
      </c>
      <c r="AE182" s="93"/>
      <c r="AF182" s="57"/>
      <c r="AG182" s="57"/>
      <c r="AH182" s="57">
        <v>6</v>
      </c>
      <c r="AI182" s="57">
        <v>1500</v>
      </c>
      <c r="AJ182" s="94">
        <f t="shared" si="20"/>
        <v>250</v>
      </c>
    </row>
    <row r="183" spans="1:36" x14ac:dyDescent="0.3">
      <c r="A183" s="39" t="s">
        <v>272</v>
      </c>
      <c r="C183" s="93" t="s">
        <v>527</v>
      </c>
      <c r="D183" s="38" t="s">
        <v>1</v>
      </c>
      <c r="E183" s="93"/>
      <c r="F183" s="93"/>
      <c r="G183" s="94" t="str">
        <f t="shared" si="15"/>
        <v/>
      </c>
      <c r="H183" s="93"/>
      <c r="I183" s="93"/>
      <c r="J183" s="94" t="str">
        <f t="shared" si="16"/>
        <v/>
      </c>
      <c r="K183" s="93"/>
      <c r="L183" s="93"/>
      <c r="M183" s="94" t="str">
        <f t="shared" si="17"/>
        <v/>
      </c>
      <c r="N183" s="94"/>
      <c r="O183" s="93"/>
      <c r="P183" s="93"/>
      <c r="Q183" s="94" t="str">
        <f t="shared" si="18"/>
        <v/>
      </c>
      <c r="R183" s="93"/>
      <c r="S183" s="93"/>
      <c r="T183" s="93"/>
      <c r="U183" s="93"/>
      <c r="V183" s="93"/>
      <c r="W183" s="93"/>
      <c r="X183" s="93"/>
      <c r="Y183" s="93"/>
      <c r="Z183" s="93"/>
      <c r="AA183" s="93" t="s">
        <v>1</v>
      </c>
      <c r="AB183" s="93"/>
      <c r="AC183" s="93"/>
      <c r="AD183" s="94" t="str">
        <f t="shared" si="19"/>
        <v/>
      </c>
      <c r="AE183" s="93"/>
      <c r="AF183" s="57"/>
      <c r="AG183" s="57"/>
      <c r="AH183" s="57">
        <v>307</v>
      </c>
      <c r="AI183" s="57">
        <v>69600</v>
      </c>
      <c r="AJ183" s="94">
        <f t="shared" si="20"/>
        <v>226.71009771986971</v>
      </c>
    </row>
    <row r="184" spans="1:36" x14ac:dyDescent="0.3">
      <c r="A184" s="39" t="s">
        <v>408</v>
      </c>
      <c r="C184" s="93" t="s">
        <v>527</v>
      </c>
      <c r="D184" s="38" t="s">
        <v>1</v>
      </c>
      <c r="E184" s="93"/>
      <c r="F184" s="93"/>
      <c r="G184" s="94" t="str">
        <f t="shared" si="15"/>
        <v/>
      </c>
      <c r="H184" s="93"/>
      <c r="I184" s="93"/>
      <c r="J184" s="94" t="str">
        <f t="shared" si="16"/>
        <v/>
      </c>
      <c r="K184" s="93"/>
      <c r="L184" s="93"/>
      <c r="M184" s="94" t="str">
        <f t="shared" si="17"/>
        <v/>
      </c>
      <c r="N184" s="94"/>
      <c r="O184" s="93"/>
      <c r="P184" s="93"/>
      <c r="Q184" s="94" t="str">
        <f t="shared" si="18"/>
        <v/>
      </c>
      <c r="R184" s="93"/>
      <c r="S184" s="93"/>
      <c r="T184" s="93"/>
      <c r="U184" s="93"/>
      <c r="V184" s="93"/>
      <c r="W184" s="93"/>
      <c r="X184" s="93"/>
      <c r="Y184" s="93"/>
      <c r="Z184" s="93"/>
      <c r="AA184" s="93" t="s">
        <v>1</v>
      </c>
      <c r="AB184" s="93">
        <v>13</v>
      </c>
      <c r="AC184" s="93">
        <v>8700</v>
      </c>
      <c r="AD184" s="94">
        <f t="shared" si="19"/>
        <v>669.23076923076928</v>
      </c>
      <c r="AE184" s="93"/>
      <c r="AF184" s="57"/>
      <c r="AG184" s="57"/>
      <c r="AH184" s="57"/>
      <c r="AI184" s="57"/>
      <c r="AJ184" s="94" t="str">
        <f t="shared" si="20"/>
        <v/>
      </c>
    </row>
    <row r="185" spans="1:36" x14ac:dyDescent="0.3">
      <c r="A185" s="39" t="s">
        <v>342</v>
      </c>
      <c r="C185" s="93" t="s">
        <v>527</v>
      </c>
      <c r="D185" s="38" t="s">
        <v>1</v>
      </c>
      <c r="E185" s="93"/>
      <c r="F185" s="93"/>
      <c r="G185" s="94" t="str">
        <f t="shared" si="15"/>
        <v/>
      </c>
      <c r="H185" s="93"/>
      <c r="I185" s="93"/>
      <c r="J185" s="94" t="str">
        <f t="shared" si="16"/>
        <v/>
      </c>
      <c r="K185" s="93"/>
      <c r="L185" s="93"/>
      <c r="M185" s="94" t="str">
        <f t="shared" si="17"/>
        <v/>
      </c>
      <c r="N185" s="94"/>
      <c r="O185" s="93"/>
      <c r="P185" s="93"/>
      <c r="Q185" s="94" t="str">
        <f t="shared" si="18"/>
        <v/>
      </c>
      <c r="R185" s="93"/>
      <c r="S185" s="93"/>
      <c r="T185" s="93"/>
      <c r="U185" s="93"/>
      <c r="V185" s="93"/>
      <c r="W185" s="93"/>
      <c r="X185" s="93"/>
      <c r="Y185" s="93"/>
      <c r="Z185" s="93"/>
      <c r="AA185" s="93" t="s">
        <v>1</v>
      </c>
      <c r="AB185" s="93">
        <v>112</v>
      </c>
      <c r="AC185" s="93">
        <v>147000</v>
      </c>
      <c r="AD185" s="94">
        <f t="shared" si="19"/>
        <v>1312.5</v>
      </c>
      <c r="AE185" s="93"/>
      <c r="AF185" s="57"/>
      <c r="AG185" s="57"/>
      <c r="AH185" s="57"/>
      <c r="AI185" s="57"/>
      <c r="AJ185" s="94" t="str">
        <f t="shared" si="20"/>
        <v/>
      </c>
    </row>
    <row r="186" spans="1:36" x14ac:dyDescent="0.3">
      <c r="A186" s="39" t="s">
        <v>273</v>
      </c>
      <c r="C186" s="93" t="s">
        <v>527</v>
      </c>
      <c r="D186" s="38" t="s">
        <v>1</v>
      </c>
      <c r="E186" s="93"/>
      <c r="F186" s="93"/>
      <c r="G186" s="94" t="str">
        <f t="shared" si="15"/>
        <v/>
      </c>
      <c r="H186" s="93"/>
      <c r="I186" s="93"/>
      <c r="J186" s="94" t="str">
        <f t="shared" si="16"/>
        <v/>
      </c>
      <c r="K186" s="93"/>
      <c r="L186" s="93"/>
      <c r="M186" s="94" t="str">
        <f t="shared" si="17"/>
        <v/>
      </c>
      <c r="N186" s="94"/>
      <c r="O186" s="93"/>
      <c r="P186" s="93"/>
      <c r="Q186" s="94" t="str">
        <f t="shared" si="18"/>
        <v/>
      </c>
      <c r="R186" s="93"/>
      <c r="S186" s="93"/>
      <c r="T186" s="93"/>
      <c r="U186" s="93"/>
      <c r="V186" s="93"/>
      <c r="W186" s="93"/>
      <c r="X186" s="93"/>
      <c r="Y186" s="93"/>
      <c r="Z186" s="93"/>
      <c r="AA186" s="93" t="s">
        <v>1</v>
      </c>
      <c r="AB186" s="93">
        <v>14</v>
      </c>
      <c r="AC186" s="93">
        <v>5100</v>
      </c>
      <c r="AD186" s="94">
        <f t="shared" si="19"/>
        <v>364.28571428571428</v>
      </c>
      <c r="AE186" s="93"/>
      <c r="AF186" s="57"/>
      <c r="AG186" s="57"/>
      <c r="AH186" s="57">
        <v>9</v>
      </c>
      <c r="AI186" s="57">
        <v>1800</v>
      </c>
      <c r="AJ186" s="94">
        <f t="shared" si="20"/>
        <v>200</v>
      </c>
    </row>
    <row r="187" spans="1:36" x14ac:dyDescent="0.3">
      <c r="A187" s="39" t="s">
        <v>639</v>
      </c>
      <c r="C187" s="93" t="s">
        <v>527</v>
      </c>
      <c r="D187" s="38" t="s">
        <v>1</v>
      </c>
      <c r="E187" s="93"/>
      <c r="F187" s="93"/>
      <c r="G187" s="94" t="str">
        <f t="shared" si="15"/>
        <v/>
      </c>
      <c r="H187" s="93"/>
      <c r="I187" s="93"/>
      <c r="J187" s="94" t="str">
        <f t="shared" si="16"/>
        <v/>
      </c>
      <c r="K187" s="93"/>
      <c r="L187" s="93"/>
      <c r="M187" s="94" t="str">
        <f t="shared" si="17"/>
        <v/>
      </c>
      <c r="N187" s="94"/>
      <c r="O187" s="93"/>
      <c r="P187" s="93"/>
      <c r="Q187" s="94" t="str">
        <f t="shared" si="18"/>
        <v/>
      </c>
      <c r="R187" s="93"/>
      <c r="S187" s="93"/>
      <c r="T187" s="93"/>
      <c r="U187" s="93"/>
      <c r="V187" s="93"/>
      <c r="W187" s="93"/>
      <c r="X187" s="93"/>
      <c r="Y187" s="93"/>
      <c r="Z187" s="93"/>
      <c r="AA187" s="93" t="s">
        <v>1</v>
      </c>
      <c r="AB187" s="93">
        <v>12</v>
      </c>
      <c r="AC187" s="93">
        <v>6100</v>
      </c>
      <c r="AD187" s="94">
        <f t="shared" si="19"/>
        <v>508.33333333333331</v>
      </c>
      <c r="AE187" s="93"/>
      <c r="AF187" s="57"/>
      <c r="AG187" s="57"/>
      <c r="AH187" s="57">
        <v>4</v>
      </c>
      <c r="AI187" s="57">
        <v>2000</v>
      </c>
      <c r="AJ187" s="94">
        <f t="shared" si="20"/>
        <v>500</v>
      </c>
    </row>
    <row r="188" spans="1:36" x14ac:dyDescent="0.3">
      <c r="A188" s="39" t="s">
        <v>274</v>
      </c>
      <c r="C188" s="93" t="s">
        <v>527</v>
      </c>
      <c r="D188" s="38" t="s">
        <v>1</v>
      </c>
      <c r="E188" s="93"/>
      <c r="F188" s="93"/>
      <c r="G188" s="94" t="str">
        <f t="shared" si="15"/>
        <v/>
      </c>
      <c r="H188" s="93"/>
      <c r="I188" s="93"/>
      <c r="J188" s="94" t="str">
        <f t="shared" si="16"/>
        <v/>
      </c>
      <c r="K188" s="93"/>
      <c r="L188" s="93"/>
      <c r="M188" s="94" t="str">
        <f t="shared" si="17"/>
        <v/>
      </c>
      <c r="N188" s="94"/>
      <c r="O188" s="93"/>
      <c r="P188" s="93"/>
      <c r="Q188" s="94" t="str">
        <f t="shared" si="18"/>
        <v/>
      </c>
      <c r="R188" s="93"/>
      <c r="S188" s="93"/>
      <c r="T188" s="93"/>
      <c r="U188" s="93"/>
      <c r="V188" s="93"/>
      <c r="W188" s="93"/>
      <c r="X188" s="93"/>
      <c r="Y188" s="93"/>
      <c r="Z188" s="93"/>
      <c r="AA188" s="93" t="s">
        <v>1</v>
      </c>
      <c r="AB188" s="93">
        <v>78</v>
      </c>
      <c r="AC188" s="93">
        <v>47000</v>
      </c>
      <c r="AD188" s="94">
        <f t="shared" si="19"/>
        <v>602.56410256410254</v>
      </c>
      <c r="AE188" s="93"/>
      <c r="AF188" s="57"/>
      <c r="AG188" s="57"/>
      <c r="AH188" s="57">
        <v>1</v>
      </c>
      <c r="AI188" s="57">
        <v>1800</v>
      </c>
      <c r="AJ188" s="94">
        <f t="shared" si="20"/>
        <v>1800</v>
      </c>
    </row>
    <row r="189" spans="1:36" x14ac:dyDescent="0.3">
      <c r="A189" s="39" t="s">
        <v>275</v>
      </c>
      <c r="C189" s="93" t="s">
        <v>527</v>
      </c>
      <c r="D189" s="38" t="s">
        <v>1</v>
      </c>
      <c r="E189" s="93"/>
      <c r="F189" s="93"/>
      <c r="G189" s="94" t="str">
        <f t="shared" si="15"/>
        <v/>
      </c>
      <c r="H189" s="93"/>
      <c r="I189" s="93"/>
      <c r="J189" s="94" t="str">
        <f t="shared" si="16"/>
        <v/>
      </c>
      <c r="K189" s="93"/>
      <c r="L189" s="93"/>
      <c r="M189" s="94" t="str">
        <f t="shared" si="17"/>
        <v/>
      </c>
      <c r="N189" s="94"/>
      <c r="O189" s="93"/>
      <c r="P189" s="93"/>
      <c r="Q189" s="94" t="str">
        <f t="shared" si="18"/>
        <v/>
      </c>
      <c r="R189" s="93"/>
      <c r="S189" s="93"/>
      <c r="T189" s="93"/>
      <c r="U189" s="93"/>
      <c r="V189" s="93"/>
      <c r="W189" s="93"/>
      <c r="X189" s="93"/>
      <c r="Y189" s="93"/>
      <c r="Z189" s="93"/>
      <c r="AA189" s="93" t="s">
        <v>1</v>
      </c>
      <c r="AB189" s="93">
        <v>615</v>
      </c>
      <c r="AC189" s="93">
        <v>89000</v>
      </c>
      <c r="AD189" s="94">
        <f t="shared" si="19"/>
        <v>144.71544715447155</v>
      </c>
      <c r="AE189" s="93"/>
      <c r="AF189" s="57"/>
      <c r="AG189" s="57"/>
      <c r="AH189" s="57">
        <v>9</v>
      </c>
      <c r="AI189" s="57">
        <v>5000</v>
      </c>
      <c r="AJ189" s="94">
        <f t="shared" si="20"/>
        <v>555.55555555555554</v>
      </c>
    </row>
    <row r="190" spans="1:36" x14ac:dyDescent="0.3">
      <c r="A190" s="39" t="s">
        <v>266</v>
      </c>
      <c r="C190" s="93" t="s">
        <v>527</v>
      </c>
      <c r="D190" s="38" t="s">
        <v>1</v>
      </c>
      <c r="E190" s="93"/>
      <c r="F190" s="93"/>
      <c r="G190" s="94" t="str">
        <f t="shared" si="15"/>
        <v/>
      </c>
      <c r="H190" s="93"/>
      <c r="I190" s="93"/>
      <c r="J190" s="94" t="str">
        <f t="shared" si="16"/>
        <v/>
      </c>
      <c r="K190" s="93"/>
      <c r="L190" s="93"/>
      <c r="M190" s="94" t="str">
        <f t="shared" si="17"/>
        <v/>
      </c>
      <c r="N190" s="94"/>
      <c r="O190" s="93"/>
      <c r="P190" s="93"/>
      <c r="Q190" s="94" t="str">
        <f t="shared" si="18"/>
        <v/>
      </c>
      <c r="R190" s="93"/>
      <c r="S190" s="93"/>
      <c r="T190" s="93"/>
      <c r="U190" s="93"/>
      <c r="V190" s="93"/>
      <c r="W190" s="93"/>
      <c r="X190" s="93"/>
      <c r="Y190" s="93"/>
      <c r="Z190" s="93"/>
      <c r="AA190" s="93" t="s">
        <v>1</v>
      </c>
      <c r="AB190" s="93"/>
      <c r="AC190" s="93"/>
      <c r="AD190" s="94" t="str">
        <f t="shared" si="19"/>
        <v/>
      </c>
      <c r="AE190" s="93"/>
      <c r="AF190" s="57"/>
      <c r="AG190" s="57"/>
      <c r="AH190" s="57">
        <v>13</v>
      </c>
      <c r="AI190" s="57">
        <v>4000</v>
      </c>
      <c r="AJ190" s="94">
        <f t="shared" si="20"/>
        <v>307.69230769230768</v>
      </c>
    </row>
    <row r="191" spans="1:36" x14ac:dyDescent="0.3">
      <c r="A191" s="39" t="s">
        <v>276</v>
      </c>
      <c r="C191" s="93" t="s">
        <v>527</v>
      </c>
      <c r="D191" s="38" t="s">
        <v>1</v>
      </c>
      <c r="E191" s="93"/>
      <c r="F191" s="93"/>
      <c r="G191" s="94" t="str">
        <f t="shared" si="15"/>
        <v/>
      </c>
      <c r="H191" s="93"/>
      <c r="I191" s="93"/>
      <c r="J191" s="94" t="str">
        <f t="shared" si="16"/>
        <v/>
      </c>
      <c r="K191" s="93"/>
      <c r="L191" s="93"/>
      <c r="M191" s="94" t="str">
        <f t="shared" si="17"/>
        <v/>
      </c>
      <c r="N191" s="94"/>
      <c r="O191" s="93"/>
      <c r="P191" s="93"/>
      <c r="Q191" s="94" t="str">
        <f t="shared" si="18"/>
        <v/>
      </c>
      <c r="R191" s="93"/>
      <c r="S191" s="93"/>
      <c r="T191" s="93"/>
      <c r="U191" s="93"/>
      <c r="V191" s="93"/>
      <c r="W191" s="93"/>
      <c r="X191" s="93"/>
      <c r="Y191" s="93"/>
      <c r="Z191" s="93"/>
      <c r="AA191" s="93" t="s">
        <v>1</v>
      </c>
      <c r="AB191" s="93">
        <f>188+808+11</f>
        <v>1007</v>
      </c>
      <c r="AC191" s="93">
        <f>54000+170000+4600</f>
        <v>228600</v>
      </c>
      <c r="AD191" s="94">
        <f t="shared" si="19"/>
        <v>227.01092353525323</v>
      </c>
      <c r="AE191" s="93"/>
      <c r="AF191" s="57"/>
      <c r="AG191" s="57"/>
      <c r="AH191" s="57">
        <v>268</v>
      </c>
      <c r="AI191" s="57">
        <v>66000</v>
      </c>
      <c r="AJ191" s="94">
        <f t="shared" si="20"/>
        <v>246.26865671641792</v>
      </c>
    </row>
    <row r="192" spans="1:36" x14ac:dyDescent="0.3">
      <c r="A192" s="39" t="s">
        <v>156</v>
      </c>
      <c r="C192" s="93" t="s">
        <v>527</v>
      </c>
      <c r="D192" s="38" t="s">
        <v>1</v>
      </c>
      <c r="E192" s="93"/>
      <c r="F192" s="93"/>
      <c r="G192" s="94" t="str">
        <f t="shared" si="15"/>
        <v/>
      </c>
      <c r="H192" s="93"/>
      <c r="I192" s="93"/>
      <c r="J192" s="94" t="str">
        <f t="shared" si="16"/>
        <v/>
      </c>
      <c r="K192" s="93"/>
      <c r="L192" s="93"/>
      <c r="M192" s="94" t="str">
        <f t="shared" si="17"/>
        <v/>
      </c>
      <c r="N192" s="94"/>
      <c r="O192" s="93"/>
      <c r="P192" s="93"/>
      <c r="Q192" s="94" t="str">
        <f t="shared" si="18"/>
        <v/>
      </c>
      <c r="R192" s="93"/>
      <c r="S192" s="93"/>
      <c r="T192" s="93"/>
      <c r="U192" s="93"/>
      <c r="V192" s="93"/>
      <c r="W192" s="93"/>
      <c r="X192" s="93"/>
      <c r="Y192" s="93"/>
      <c r="Z192" s="93"/>
      <c r="AA192" s="93" t="s">
        <v>1</v>
      </c>
      <c r="AB192" s="93"/>
      <c r="AC192" s="93"/>
      <c r="AD192" s="94" t="str">
        <f t="shared" si="19"/>
        <v/>
      </c>
      <c r="AE192" s="93"/>
      <c r="AF192" s="57"/>
      <c r="AG192" s="57"/>
      <c r="AH192" s="57">
        <v>13</v>
      </c>
      <c r="AI192" s="57">
        <v>7600</v>
      </c>
      <c r="AJ192" s="94">
        <f t="shared" si="20"/>
        <v>584.61538461538464</v>
      </c>
    </row>
    <row r="193" spans="1:36" x14ac:dyDescent="0.3">
      <c r="A193" s="39" t="s">
        <v>277</v>
      </c>
      <c r="C193" s="93" t="s">
        <v>527</v>
      </c>
      <c r="D193" s="38" t="s">
        <v>1</v>
      </c>
      <c r="E193" s="93"/>
      <c r="F193" s="93"/>
      <c r="G193" s="94" t="str">
        <f t="shared" si="15"/>
        <v/>
      </c>
      <c r="H193" s="93"/>
      <c r="I193" s="93"/>
      <c r="J193" s="94" t="str">
        <f t="shared" si="16"/>
        <v/>
      </c>
      <c r="K193" s="93"/>
      <c r="L193" s="93"/>
      <c r="M193" s="94" t="str">
        <f t="shared" si="17"/>
        <v/>
      </c>
      <c r="N193" s="94"/>
      <c r="O193" s="93">
        <v>95741</v>
      </c>
      <c r="P193" s="93">
        <v>500000</v>
      </c>
      <c r="Q193" s="94">
        <f t="shared" si="18"/>
        <v>5.2224229953729333</v>
      </c>
      <c r="R193" s="93"/>
      <c r="S193" s="93"/>
      <c r="T193" s="93"/>
      <c r="U193" s="93"/>
      <c r="V193" s="93"/>
      <c r="W193" s="93"/>
      <c r="X193" s="93"/>
      <c r="Y193" s="93"/>
      <c r="Z193" s="93"/>
      <c r="AA193" s="93" t="s">
        <v>1</v>
      </c>
      <c r="AB193" s="93">
        <v>347</v>
      </c>
      <c r="AC193" s="93">
        <v>140000</v>
      </c>
      <c r="AD193" s="94">
        <f t="shared" si="19"/>
        <v>403.45821325648416</v>
      </c>
      <c r="AE193" s="93"/>
      <c r="AF193" s="57"/>
      <c r="AG193" s="57"/>
      <c r="AH193" s="57">
        <v>73</v>
      </c>
      <c r="AI193" s="57">
        <v>8300</v>
      </c>
      <c r="AJ193" s="94">
        <f t="shared" si="20"/>
        <v>113.6986301369863</v>
      </c>
    </row>
    <row r="194" spans="1:36" x14ac:dyDescent="0.3">
      <c r="A194" s="39" t="s">
        <v>640</v>
      </c>
      <c r="C194" s="93" t="s">
        <v>527</v>
      </c>
      <c r="D194" s="38" t="s">
        <v>1</v>
      </c>
      <c r="E194" s="93"/>
      <c r="F194" s="93"/>
      <c r="G194" s="94" t="str">
        <f t="shared" si="15"/>
        <v/>
      </c>
      <c r="H194" s="93"/>
      <c r="I194" s="93"/>
      <c r="J194" s="94" t="str">
        <f t="shared" si="16"/>
        <v/>
      </c>
      <c r="K194" s="93"/>
      <c r="L194" s="93"/>
      <c r="M194" s="94" t="str">
        <f t="shared" si="17"/>
        <v/>
      </c>
      <c r="N194" s="94"/>
      <c r="O194" s="93"/>
      <c r="P194" s="93"/>
      <c r="Q194" s="94" t="str">
        <f t="shared" si="18"/>
        <v/>
      </c>
      <c r="R194" s="93"/>
      <c r="S194" s="93"/>
      <c r="T194" s="93"/>
      <c r="U194" s="93"/>
      <c r="V194" s="93"/>
      <c r="W194" s="93"/>
      <c r="X194" s="93"/>
      <c r="Y194" s="93"/>
      <c r="Z194" s="93"/>
      <c r="AA194" s="93" t="s">
        <v>1</v>
      </c>
      <c r="AB194" s="93"/>
      <c r="AC194" s="93"/>
      <c r="AD194" s="94" t="str">
        <f t="shared" si="19"/>
        <v/>
      </c>
      <c r="AE194" s="93"/>
      <c r="AF194" s="57"/>
      <c r="AG194" s="57"/>
      <c r="AH194" s="57">
        <v>6</v>
      </c>
      <c r="AI194" s="57">
        <v>2000</v>
      </c>
      <c r="AJ194" s="94">
        <f t="shared" si="20"/>
        <v>333.33333333333331</v>
      </c>
    </row>
    <row r="195" spans="1:36" x14ac:dyDescent="0.3">
      <c r="A195" s="39" t="s">
        <v>267</v>
      </c>
      <c r="C195" s="93" t="s">
        <v>527</v>
      </c>
      <c r="D195" s="38" t="s">
        <v>1</v>
      </c>
      <c r="E195" s="93"/>
      <c r="F195" s="93"/>
      <c r="G195" s="94" t="str">
        <f t="shared" si="15"/>
        <v/>
      </c>
      <c r="H195" s="93"/>
      <c r="I195" s="93"/>
      <c r="J195" s="94" t="str">
        <f t="shared" si="16"/>
        <v/>
      </c>
      <c r="K195" s="93"/>
      <c r="L195" s="93"/>
      <c r="M195" s="94" t="str">
        <f t="shared" si="17"/>
        <v/>
      </c>
      <c r="N195" s="94"/>
      <c r="O195" s="93"/>
      <c r="P195" s="93"/>
      <c r="Q195" s="94" t="str">
        <f t="shared" si="18"/>
        <v/>
      </c>
      <c r="R195" s="93"/>
      <c r="S195" s="93"/>
      <c r="T195" s="93"/>
      <c r="U195" s="93"/>
      <c r="V195" s="93"/>
      <c r="W195" s="93"/>
      <c r="X195" s="93"/>
      <c r="Y195" s="93"/>
      <c r="Z195" s="93"/>
      <c r="AA195" s="93" t="s">
        <v>1</v>
      </c>
      <c r="AB195" s="93">
        <v>108</v>
      </c>
      <c r="AC195" s="93">
        <v>10000</v>
      </c>
      <c r="AD195" s="94">
        <f t="shared" si="19"/>
        <v>92.592592592592595</v>
      </c>
      <c r="AE195" s="93"/>
      <c r="AF195" s="57"/>
      <c r="AG195" s="57"/>
      <c r="AH195" s="57">
        <v>37</v>
      </c>
      <c r="AI195" s="57">
        <v>3500</v>
      </c>
      <c r="AJ195" s="94">
        <f t="shared" si="20"/>
        <v>94.594594594594597</v>
      </c>
    </row>
    <row r="196" spans="1:36" x14ac:dyDescent="0.3">
      <c r="A196" s="39" t="s">
        <v>278</v>
      </c>
      <c r="C196" s="93" t="s">
        <v>527</v>
      </c>
      <c r="D196" s="38" t="s">
        <v>1</v>
      </c>
      <c r="E196" s="93"/>
      <c r="F196" s="93"/>
      <c r="G196" s="94" t="str">
        <f t="shared" ref="G196:G215" si="21">IFERROR(F196/E196,"")</f>
        <v/>
      </c>
      <c r="H196" s="93"/>
      <c r="I196" s="93"/>
      <c r="J196" s="94" t="str">
        <f t="shared" ref="J196:J215" si="22">IFERROR(I196/H196,"")</f>
        <v/>
      </c>
      <c r="K196" s="93"/>
      <c r="L196" s="93"/>
      <c r="M196" s="94" t="str">
        <f t="shared" ref="M196:M215" si="23">IFERROR(L196/K196,"")</f>
        <v/>
      </c>
      <c r="N196" s="94"/>
      <c r="O196" s="93"/>
      <c r="P196" s="93"/>
      <c r="Q196" s="94" t="str">
        <f t="shared" ref="Q196:Q214" si="24">IFERROR(P196/O196,"")</f>
        <v/>
      </c>
      <c r="R196" s="93"/>
      <c r="S196" s="93"/>
      <c r="T196" s="93"/>
      <c r="U196" s="93"/>
      <c r="V196" s="93"/>
      <c r="W196" s="93"/>
      <c r="X196" s="93"/>
      <c r="Y196" s="93"/>
      <c r="Z196" s="93"/>
      <c r="AA196" s="93" t="s">
        <v>1</v>
      </c>
      <c r="AB196" s="93">
        <v>543</v>
      </c>
      <c r="AC196" s="93">
        <v>19000</v>
      </c>
      <c r="AD196" s="94">
        <f t="shared" ref="AD196:AD215" si="25">IFERROR(AC196/AB196,"")</f>
        <v>34.990791896869247</v>
      </c>
      <c r="AE196" s="93"/>
      <c r="AF196" s="57"/>
      <c r="AG196" s="57"/>
      <c r="AH196" s="57">
        <v>666</v>
      </c>
      <c r="AI196" s="57">
        <v>41000</v>
      </c>
      <c r="AJ196" s="94">
        <f t="shared" ref="AJ196:AJ215" si="26">IFERROR(AI196/AH196,"")</f>
        <v>61.561561561561561</v>
      </c>
    </row>
    <row r="197" spans="1:36" x14ac:dyDescent="0.3">
      <c r="A197" s="39" t="s">
        <v>279</v>
      </c>
      <c r="C197" s="93" t="s">
        <v>527</v>
      </c>
      <c r="D197" s="38" t="s">
        <v>1</v>
      </c>
      <c r="E197" s="93"/>
      <c r="F197" s="93"/>
      <c r="G197" s="94" t="str">
        <f t="shared" si="21"/>
        <v/>
      </c>
      <c r="H197" s="93"/>
      <c r="I197" s="93"/>
      <c r="J197" s="94" t="str">
        <f t="shared" si="22"/>
        <v/>
      </c>
      <c r="K197" s="93"/>
      <c r="L197" s="93"/>
      <c r="M197" s="94" t="str">
        <f t="shared" si="23"/>
        <v/>
      </c>
      <c r="N197" s="94"/>
      <c r="O197" s="93"/>
      <c r="P197" s="93"/>
      <c r="Q197" s="94" t="str">
        <f t="shared" si="24"/>
        <v/>
      </c>
      <c r="R197" s="93"/>
      <c r="S197" s="93"/>
      <c r="T197" s="93"/>
      <c r="U197" s="93"/>
      <c r="V197" s="93"/>
      <c r="W197" s="93"/>
      <c r="X197" s="93"/>
      <c r="Y197" s="93"/>
      <c r="Z197" s="93"/>
      <c r="AA197" s="93" t="s">
        <v>1</v>
      </c>
      <c r="AB197" s="93">
        <v>27</v>
      </c>
      <c r="AC197" s="93">
        <v>8800</v>
      </c>
      <c r="AD197" s="94">
        <f t="shared" si="25"/>
        <v>325.92592592592592</v>
      </c>
      <c r="AE197" s="93"/>
      <c r="AF197" s="57"/>
      <c r="AG197" s="57"/>
      <c r="AH197" s="57">
        <v>41</v>
      </c>
      <c r="AI197" s="57">
        <v>7700</v>
      </c>
      <c r="AJ197" s="94">
        <f t="shared" si="26"/>
        <v>187.80487804878049</v>
      </c>
    </row>
    <row r="198" spans="1:36" x14ac:dyDescent="0.3">
      <c r="A198" s="39" t="s">
        <v>268</v>
      </c>
      <c r="C198" s="93" t="s">
        <v>527</v>
      </c>
      <c r="D198" s="38" t="s">
        <v>1</v>
      </c>
      <c r="E198" s="93"/>
      <c r="F198" s="93"/>
      <c r="G198" s="94" t="str">
        <f t="shared" si="21"/>
        <v/>
      </c>
      <c r="H198" s="93"/>
      <c r="I198" s="93"/>
      <c r="J198" s="94" t="str">
        <f t="shared" si="22"/>
        <v/>
      </c>
      <c r="K198" s="93"/>
      <c r="L198" s="93"/>
      <c r="M198" s="94" t="str">
        <f t="shared" si="23"/>
        <v/>
      </c>
      <c r="N198" s="94"/>
      <c r="O198" s="93"/>
      <c r="P198" s="93"/>
      <c r="Q198" s="94" t="str">
        <f t="shared" si="24"/>
        <v/>
      </c>
      <c r="R198" s="93"/>
      <c r="S198" s="93"/>
      <c r="T198" s="93"/>
      <c r="U198" s="93"/>
      <c r="V198" s="93"/>
      <c r="W198" s="93"/>
      <c r="X198" s="93"/>
      <c r="Y198" s="93"/>
      <c r="Z198" s="93"/>
      <c r="AA198" s="93" t="s">
        <v>1</v>
      </c>
      <c r="AB198" s="93"/>
      <c r="AC198" s="93"/>
      <c r="AD198" s="94" t="str">
        <f t="shared" si="25"/>
        <v/>
      </c>
      <c r="AE198" s="93"/>
      <c r="AF198" s="57"/>
      <c r="AG198" s="57"/>
      <c r="AH198" s="57">
        <v>24</v>
      </c>
      <c r="AI198" s="57">
        <v>8000</v>
      </c>
      <c r="AJ198" s="94">
        <f t="shared" si="26"/>
        <v>333.33333333333331</v>
      </c>
    </row>
    <row r="199" spans="1:36" x14ac:dyDescent="0.3">
      <c r="A199" s="39" t="s">
        <v>280</v>
      </c>
      <c r="C199" s="93" t="s">
        <v>527</v>
      </c>
      <c r="D199" s="38" t="s">
        <v>1</v>
      </c>
      <c r="E199" s="93"/>
      <c r="F199" s="93"/>
      <c r="G199" s="94" t="str">
        <f t="shared" si="21"/>
        <v/>
      </c>
      <c r="H199" s="93"/>
      <c r="I199" s="93"/>
      <c r="J199" s="94" t="str">
        <f t="shared" si="22"/>
        <v/>
      </c>
      <c r="K199" s="93"/>
      <c r="L199" s="93"/>
      <c r="M199" s="94" t="str">
        <f t="shared" si="23"/>
        <v/>
      </c>
      <c r="N199" s="94"/>
      <c r="O199" s="93"/>
      <c r="P199" s="93"/>
      <c r="Q199" s="94" t="str">
        <f t="shared" si="24"/>
        <v/>
      </c>
      <c r="R199" s="93"/>
      <c r="S199" s="93"/>
      <c r="T199" s="93"/>
      <c r="U199" s="93"/>
      <c r="V199" s="93"/>
      <c r="W199" s="93"/>
      <c r="X199" s="93"/>
      <c r="Y199" s="93"/>
      <c r="Z199" s="93"/>
      <c r="AA199" s="93" t="s">
        <v>1</v>
      </c>
      <c r="AB199" s="93"/>
      <c r="AC199" s="93"/>
      <c r="AD199" s="94" t="str">
        <f t="shared" si="25"/>
        <v/>
      </c>
      <c r="AE199" s="93"/>
      <c r="AF199" s="57"/>
      <c r="AG199" s="57"/>
      <c r="AH199" s="57">
        <v>13</v>
      </c>
      <c r="AI199" s="57">
        <v>3000</v>
      </c>
      <c r="AJ199" s="94">
        <f t="shared" si="26"/>
        <v>230.76923076923077</v>
      </c>
    </row>
    <row r="200" spans="1:36" x14ac:dyDescent="0.3">
      <c r="A200" s="39" t="s">
        <v>281</v>
      </c>
      <c r="C200" s="93" t="s">
        <v>527</v>
      </c>
      <c r="D200" s="38" t="s">
        <v>1</v>
      </c>
      <c r="E200" s="93"/>
      <c r="F200" s="93"/>
      <c r="G200" s="94" t="str">
        <f t="shared" si="21"/>
        <v/>
      </c>
      <c r="H200" s="93"/>
      <c r="I200" s="93"/>
      <c r="J200" s="94" t="str">
        <f t="shared" si="22"/>
        <v/>
      </c>
      <c r="K200" s="93"/>
      <c r="L200" s="93"/>
      <c r="M200" s="94" t="str">
        <f t="shared" si="23"/>
        <v/>
      </c>
      <c r="N200" s="94"/>
      <c r="O200" s="93"/>
      <c r="P200" s="93"/>
      <c r="Q200" s="94" t="str">
        <f t="shared" si="24"/>
        <v/>
      </c>
      <c r="R200" s="93"/>
      <c r="S200" s="93"/>
      <c r="T200" s="93"/>
      <c r="U200" s="93"/>
      <c r="V200" s="93"/>
      <c r="W200" s="93"/>
      <c r="X200" s="93"/>
      <c r="Y200" s="93"/>
      <c r="Z200" s="93"/>
      <c r="AA200" s="93" t="s">
        <v>1</v>
      </c>
      <c r="AB200" s="93">
        <f>66+342</f>
        <v>408</v>
      </c>
      <c r="AC200" s="93">
        <f>4000+16000</f>
        <v>20000</v>
      </c>
      <c r="AD200" s="94">
        <f t="shared" si="25"/>
        <v>49.019607843137258</v>
      </c>
      <c r="AE200" s="93"/>
      <c r="AF200" s="57"/>
      <c r="AG200" s="57"/>
      <c r="AH200" s="57">
        <v>502</v>
      </c>
      <c r="AI200" s="57">
        <v>22000</v>
      </c>
      <c r="AJ200" s="94">
        <f t="shared" si="26"/>
        <v>43.82470119521912</v>
      </c>
    </row>
    <row r="201" spans="1:36" x14ac:dyDescent="0.3">
      <c r="A201" s="39" t="s">
        <v>269</v>
      </c>
      <c r="C201" s="93" t="s">
        <v>527</v>
      </c>
      <c r="D201" s="38" t="s">
        <v>1</v>
      </c>
      <c r="E201" s="93"/>
      <c r="F201" s="93"/>
      <c r="G201" s="94" t="str">
        <f t="shared" si="21"/>
        <v/>
      </c>
      <c r="H201" s="93"/>
      <c r="I201" s="93"/>
      <c r="J201" s="94" t="str">
        <f t="shared" si="22"/>
        <v/>
      </c>
      <c r="K201" s="93"/>
      <c r="L201" s="93"/>
      <c r="M201" s="94" t="str">
        <f t="shared" si="23"/>
        <v/>
      </c>
      <c r="N201" s="94"/>
      <c r="O201" s="93"/>
      <c r="P201" s="93"/>
      <c r="Q201" s="94" t="str">
        <f t="shared" si="24"/>
        <v/>
      </c>
      <c r="R201" s="93"/>
      <c r="S201" s="93"/>
      <c r="T201" s="93"/>
      <c r="U201" s="93"/>
      <c r="V201" s="93"/>
      <c r="W201" s="93"/>
      <c r="X201" s="93"/>
      <c r="Y201" s="93"/>
      <c r="Z201" s="93"/>
      <c r="AA201" s="93" t="s">
        <v>1</v>
      </c>
      <c r="AB201" s="93">
        <v>109</v>
      </c>
      <c r="AC201" s="93">
        <v>4300</v>
      </c>
      <c r="AD201" s="94">
        <f t="shared" si="25"/>
        <v>39.449541284403672</v>
      </c>
      <c r="AE201" s="93"/>
      <c r="AF201" s="57"/>
      <c r="AG201" s="57"/>
      <c r="AH201" s="57">
        <v>9</v>
      </c>
      <c r="AI201" s="57">
        <v>1000</v>
      </c>
      <c r="AJ201" s="94">
        <f t="shared" si="26"/>
        <v>111.11111111111111</v>
      </c>
    </row>
    <row r="202" spans="1:36" x14ac:dyDescent="0.3">
      <c r="A202" s="39" t="s">
        <v>282</v>
      </c>
      <c r="C202" s="93" t="s">
        <v>527</v>
      </c>
      <c r="D202" s="38" t="s">
        <v>1</v>
      </c>
      <c r="E202" s="93"/>
      <c r="F202" s="93"/>
      <c r="G202" s="94" t="str">
        <f t="shared" si="21"/>
        <v/>
      </c>
      <c r="H202" s="93"/>
      <c r="I202" s="93"/>
      <c r="J202" s="94" t="str">
        <f t="shared" si="22"/>
        <v/>
      </c>
      <c r="K202" s="93"/>
      <c r="L202" s="93"/>
      <c r="M202" s="94" t="str">
        <f t="shared" si="23"/>
        <v/>
      </c>
      <c r="N202" s="94"/>
      <c r="O202" s="93"/>
      <c r="P202" s="93"/>
      <c r="Q202" s="94" t="str">
        <f t="shared" si="24"/>
        <v/>
      </c>
      <c r="R202" s="93"/>
      <c r="S202" s="93"/>
      <c r="T202" s="93"/>
      <c r="U202" s="93"/>
      <c r="V202" s="93"/>
      <c r="W202" s="93"/>
      <c r="X202" s="93"/>
      <c r="Y202" s="93"/>
      <c r="Z202" s="93"/>
      <c r="AA202" s="93" t="s">
        <v>1</v>
      </c>
      <c r="AB202" s="93">
        <v>1126</v>
      </c>
      <c r="AC202" s="93">
        <v>71000</v>
      </c>
      <c r="AD202" s="94">
        <f t="shared" si="25"/>
        <v>63.055062166962699</v>
      </c>
      <c r="AE202" s="93"/>
      <c r="AF202" s="57"/>
      <c r="AG202" s="57"/>
      <c r="AH202" s="57">
        <v>266</v>
      </c>
      <c r="AI202" s="57">
        <v>20000</v>
      </c>
      <c r="AJ202" s="94">
        <f t="shared" si="26"/>
        <v>75.187969924812023</v>
      </c>
    </row>
    <row r="203" spans="1:36" x14ac:dyDescent="0.3">
      <c r="A203" s="39" t="s">
        <v>283</v>
      </c>
      <c r="C203" s="93" t="s">
        <v>527</v>
      </c>
      <c r="D203" s="38" t="s">
        <v>1</v>
      </c>
      <c r="E203" s="93"/>
      <c r="F203" s="93"/>
      <c r="G203" s="94" t="str">
        <f t="shared" si="21"/>
        <v/>
      </c>
      <c r="H203" s="93"/>
      <c r="I203" s="93"/>
      <c r="J203" s="94" t="str">
        <f t="shared" si="22"/>
        <v/>
      </c>
      <c r="K203" s="93"/>
      <c r="L203" s="93"/>
      <c r="M203" s="94" t="str">
        <f t="shared" si="23"/>
        <v/>
      </c>
      <c r="N203" s="94"/>
      <c r="O203" s="93"/>
      <c r="P203" s="93"/>
      <c r="Q203" s="94" t="str">
        <f t="shared" si="24"/>
        <v/>
      </c>
      <c r="R203" s="93"/>
      <c r="S203" s="93"/>
      <c r="T203" s="93"/>
      <c r="U203" s="93"/>
      <c r="V203" s="93"/>
      <c r="W203" s="93"/>
      <c r="X203" s="93"/>
      <c r="Y203" s="93"/>
      <c r="Z203" s="93"/>
      <c r="AA203" s="93" t="s">
        <v>1</v>
      </c>
      <c r="AB203" s="93">
        <f>37+4</f>
        <v>41</v>
      </c>
      <c r="AC203" s="93">
        <f>4700+1600</f>
        <v>6300</v>
      </c>
      <c r="AD203" s="94">
        <f t="shared" si="25"/>
        <v>153.65853658536585</v>
      </c>
      <c r="AE203" s="93"/>
      <c r="AF203" s="57"/>
      <c r="AG203" s="57"/>
      <c r="AH203" s="57">
        <v>63</v>
      </c>
      <c r="AI203" s="57">
        <v>5900</v>
      </c>
      <c r="AJ203" s="94">
        <f t="shared" si="26"/>
        <v>93.650793650793645</v>
      </c>
    </row>
    <row r="204" spans="1:36" x14ac:dyDescent="0.3">
      <c r="A204" s="39" t="s">
        <v>442</v>
      </c>
      <c r="C204" s="93" t="s">
        <v>528</v>
      </c>
      <c r="D204" s="38" t="s">
        <v>443</v>
      </c>
      <c r="E204" s="93"/>
      <c r="F204" s="93"/>
      <c r="G204" s="94" t="str">
        <f t="shared" si="21"/>
        <v/>
      </c>
      <c r="H204" s="93"/>
      <c r="I204" s="93"/>
      <c r="J204" s="94" t="str">
        <f t="shared" si="22"/>
        <v/>
      </c>
      <c r="K204" s="93"/>
      <c r="L204" s="93"/>
      <c r="M204" s="94" t="str">
        <f t="shared" si="23"/>
        <v/>
      </c>
      <c r="N204" s="94"/>
      <c r="O204" s="93"/>
      <c r="P204" s="93"/>
      <c r="Q204" s="94" t="str">
        <f t="shared" si="24"/>
        <v/>
      </c>
      <c r="R204" s="93"/>
      <c r="S204" s="93"/>
      <c r="T204" s="93"/>
      <c r="U204" s="93"/>
      <c r="V204" s="93"/>
      <c r="W204" s="93"/>
      <c r="X204" s="93"/>
      <c r="Y204" s="93"/>
      <c r="Z204" s="93"/>
      <c r="AA204" s="93" t="s">
        <v>1</v>
      </c>
      <c r="AB204" s="93"/>
      <c r="AC204" s="93"/>
      <c r="AD204" s="94" t="str">
        <f t="shared" si="25"/>
        <v/>
      </c>
      <c r="AE204" s="93"/>
      <c r="AF204" s="57"/>
      <c r="AG204" s="57"/>
      <c r="AH204" s="57"/>
      <c r="AI204" s="57"/>
      <c r="AJ204" s="94" t="str">
        <f t="shared" si="26"/>
        <v/>
      </c>
    </row>
    <row r="205" spans="1:36" x14ac:dyDescent="0.3">
      <c r="A205" s="39" t="s">
        <v>284</v>
      </c>
      <c r="C205" s="93" t="s">
        <v>527</v>
      </c>
      <c r="D205" s="38" t="s">
        <v>1</v>
      </c>
      <c r="E205" s="93"/>
      <c r="F205" s="93"/>
      <c r="G205" s="94" t="str">
        <f t="shared" si="21"/>
        <v/>
      </c>
      <c r="H205" s="93"/>
      <c r="I205" s="93"/>
      <c r="J205" s="94" t="str">
        <f t="shared" si="22"/>
        <v/>
      </c>
      <c r="K205" s="93"/>
      <c r="L205" s="93"/>
      <c r="M205" s="94" t="str">
        <f t="shared" si="23"/>
        <v/>
      </c>
      <c r="N205" s="94"/>
      <c r="O205" s="93"/>
      <c r="P205" s="93"/>
      <c r="Q205" s="94" t="str">
        <f t="shared" si="24"/>
        <v/>
      </c>
      <c r="R205" s="93"/>
      <c r="S205" s="93"/>
      <c r="T205" s="93"/>
      <c r="U205" s="93"/>
      <c r="V205" s="93"/>
      <c r="W205" s="93"/>
      <c r="X205" s="93"/>
      <c r="Y205" s="93"/>
      <c r="Z205" s="93"/>
      <c r="AA205" s="93" t="s">
        <v>1</v>
      </c>
      <c r="AB205" s="93"/>
      <c r="AC205" s="93"/>
      <c r="AD205" s="94" t="str">
        <f t="shared" si="25"/>
        <v/>
      </c>
      <c r="AE205" s="93"/>
      <c r="AF205" s="57"/>
      <c r="AG205" s="57"/>
      <c r="AH205" s="57">
        <v>21</v>
      </c>
      <c r="AI205" s="57">
        <v>3400</v>
      </c>
      <c r="AJ205" s="94">
        <f t="shared" si="26"/>
        <v>161.9047619047619</v>
      </c>
    </row>
    <row r="206" spans="1:36" x14ac:dyDescent="0.3">
      <c r="A206" s="39" t="s">
        <v>158</v>
      </c>
      <c r="C206" s="93" t="s">
        <v>527</v>
      </c>
      <c r="D206" s="38" t="s">
        <v>1</v>
      </c>
      <c r="E206" s="93"/>
      <c r="F206" s="93"/>
      <c r="G206" s="94" t="str">
        <f t="shared" si="21"/>
        <v/>
      </c>
      <c r="H206" s="93"/>
      <c r="I206" s="93"/>
      <c r="J206" s="94" t="str">
        <f t="shared" si="22"/>
        <v/>
      </c>
      <c r="K206" s="93"/>
      <c r="L206" s="93"/>
      <c r="M206" s="94" t="str">
        <f t="shared" si="23"/>
        <v/>
      </c>
      <c r="N206" s="94"/>
      <c r="O206" s="93"/>
      <c r="P206" s="93"/>
      <c r="Q206" s="94" t="str">
        <f t="shared" si="24"/>
        <v/>
      </c>
      <c r="R206" s="93"/>
      <c r="S206" s="93"/>
      <c r="T206" s="93"/>
      <c r="U206" s="93"/>
      <c r="V206" s="93"/>
      <c r="W206" s="93"/>
      <c r="X206" s="93"/>
      <c r="Y206" s="93"/>
      <c r="Z206" s="93"/>
      <c r="AA206" s="93" t="s">
        <v>1</v>
      </c>
      <c r="AB206" s="93"/>
      <c r="AC206" s="93"/>
      <c r="AD206" s="94" t="str">
        <f t="shared" si="25"/>
        <v/>
      </c>
      <c r="AE206" s="93"/>
      <c r="AF206" s="57"/>
      <c r="AG206" s="57"/>
      <c r="AH206" s="57">
        <v>35</v>
      </c>
      <c r="AI206" s="57">
        <v>2300</v>
      </c>
      <c r="AJ206" s="94">
        <f t="shared" si="26"/>
        <v>65.714285714285708</v>
      </c>
    </row>
    <row r="207" spans="1:36" x14ac:dyDescent="0.3">
      <c r="A207" s="39" t="s">
        <v>270</v>
      </c>
      <c r="C207" s="93" t="s">
        <v>527</v>
      </c>
      <c r="D207" s="38" t="s">
        <v>1</v>
      </c>
      <c r="E207" s="93"/>
      <c r="F207" s="93"/>
      <c r="G207" s="94" t="str">
        <f t="shared" si="21"/>
        <v/>
      </c>
      <c r="H207" s="93"/>
      <c r="I207" s="93"/>
      <c r="J207" s="94" t="str">
        <f t="shared" si="22"/>
        <v/>
      </c>
      <c r="K207" s="93"/>
      <c r="L207" s="93"/>
      <c r="M207" s="94" t="str">
        <f t="shared" si="23"/>
        <v/>
      </c>
      <c r="N207" s="94"/>
      <c r="O207" s="93"/>
      <c r="P207" s="93"/>
      <c r="Q207" s="94" t="str">
        <f t="shared" si="24"/>
        <v/>
      </c>
      <c r="R207" s="93"/>
      <c r="S207" s="93"/>
      <c r="T207" s="93"/>
      <c r="U207" s="93"/>
      <c r="V207" s="93"/>
      <c r="W207" s="93"/>
      <c r="X207" s="93"/>
      <c r="Y207" s="93"/>
      <c r="Z207" s="93"/>
      <c r="AA207" s="93" t="s">
        <v>1</v>
      </c>
      <c r="AB207" s="93"/>
      <c r="AC207" s="93"/>
      <c r="AD207" s="94" t="str">
        <f t="shared" si="25"/>
        <v/>
      </c>
      <c r="AE207" s="93"/>
      <c r="AF207" s="57"/>
      <c r="AG207" s="57"/>
      <c r="AH207" s="57">
        <v>14</v>
      </c>
      <c r="AI207" s="57">
        <v>2000</v>
      </c>
      <c r="AJ207" s="94">
        <f t="shared" si="26"/>
        <v>142.85714285714286</v>
      </c>
    </row>
    <row r="208" spans="1:36" x14ac:dyDescent="0.3">
      <c r="A208" s="39" t="s">
        <v>641</v>
      </c>
      <c r="C208" s="93" t="s">
        <v>527</v>
      </c>
      <c r="D208" s="38" t="s">
        <v>1</v>
      </c>
      <c r="E208" s="93"/>
      <c r="F208" s="93"/>
      <c r="G208" s="94" t="str">
        <f t="shared" si="21"/>
        <v/>
      </c>
      <c r="H208" s="93"/>
      <c r="I208" s="93"/>
      <c r="J208" s="94" t="str">
        <f t="shared" si="22"/>
        <v/>
      </c>
      <c r="K208" s="93"/>
      <c r="L208" s="93"/>
      <c r="M208" s="94" t="str">
        <f t="shared" si="23"/>
        <v/>
      </c>
      <c r="N208" s="94"/>
      <c r="O208" s="93"/>
      <c r="P208" s="93"/>
      <c r="Q208" s="94" t="str">
        <f t="shared" si="24"/>
        <v/>
      </c>
      <c r="R208" s="93"/>
      <c r="S208" s="93"/>
      <c r="T208" s="93"/>
      <c r="U208" s="93"/>
      <c r="V208" s="93"/>
      <c r="W208" s="93"/>
      <c r="X208" s="93"/>
      <c r="Y208" s="93"/>
      <c r="Z208" s="93"/>
      <c r="AA208" s="93" t="s">
        <v>1</v>
      </c>
      <c r="AB208" s="93">
        <v>26</v>
      </c>
      <c r="AC208" s="93">
        <v>9000</v>
      </c>
      <c r="AD208" s="94">
        <f t="shared" si="25"/>
        <v>346.15384615384613</v>
      </c>
      <c r="AE208" s="93"/>
      <c r="AF208" s="57"/>
      <c r="AG208" s="57"/>
      <c r="AH208" s="57">
        <v>6</v>
      </c>
      <c r="AI208" s="57">
        <v>1800</v>
      </c>
      <c r="AJ208" s="94">
        <f t="shared" si="26"/>
        <v>300</v>
      </c>
    </row>
    <row r="209" spans="1:106" x14ac:dyDescent="0.3">
      <c r="A209" s="39" t="s">
        <v>285</v>
      </c>
      <c r="C209" s="93" t="s">
        <v>527</v>
      </c>
      <c r="D209" s="38" t="s">
        <v>1</v>
      </c>
      <c r="E209" s="93"/>
      <c r="F209" s="93"/>
      <c r="G209" s="94" t="str">
        <f t="shared" si="21"/>
        <v/>
      </c>
      <c r="H209" s="93"/>
      <c r="I209" s="93"/>
      <c r="J209" s="94" t="str">
        <f t="shared" si="22"/>
        <v/>
      </c>
      <c r="K209" s="93"/>
      <c r="L209" s="93"/>
      <c r="M209" s="94" t="str">
        <f t="shared" si="23"/>
        <v/>
      </c>
      <c r="N209" s="94"/>
      <c r="O209" s="93"/>
      <c r="P209" s="93"/>
      <c r="Q209" s="94" t="str">
        <f t="shared" si="24"/>
        <v/>
      </c>
      <c r="R209" s="93"/>
      <c r="S209" s="93"/>
      <c r="T209" s="93"/>
      <c r="U209" s="93"/>
      <c r="V209" s="93"/>
      <c r="W209" s="93"/>
      <c r="X209" s="93"/>
      <c r="Y209" s="93"/>
      <c r="Z209" s="93"/>
      <c r="AA209" s="93" t="s">
        <v>1</v>
      </c>
      <c r="AB209" s="93">
        <v>38</v>
      </c>
      <c r="AC209" s="93">
        <v>7500</v>
      </c>
      <c r="AD209" s="94">
        <f t="shared" si="25"/>
        <v>197.36842105263159</v>
      </c>
      <c r="AE209" s="93"/>
      <c r="AF209" s="57"/>
      <c r="AG209" s="57"/>
      <c r="AH209" s="57">
        <v>3</v>
      </c>
      <c r="AI209" s="57">
        <v>2600</v>
      </c>
      <c r="AJ209" s="94">
        <f t="shared" si="26"/>
        <v>866.66666666666663</v>
      </c>
    </row>
    <row r="210" spans="1:106" x14ac:dyDescent="0.3">
      <c r="A210" s="39" t="s">
        <v>286</v>
      </c>
      <c r="C210" s="93" t="s">
        <v>527</v>
      </c>
      <c r="D210" s="38" t="s">
        <v>1</v>
      </c>
      <c r="E210" s="93"/>
      <c r="F210" s="93"/>
      <c r="G210" s="94" t="str">
        <f t="shared" si="21"/>
        <v/>
      </c>
      <c r="H210" s="93"/>
      <c r="I210" s="93"/>
      <c r="J210" s="94" t="str">
        <f t="shared" si="22"/>
        <v/>
      </c>
      <c r="K210" s="93"/>
      <c r="L210" s="93"/>
      <c r="M210" s="94" t="str">
        <f t="shared" si="23"/>
        <v/>
      </c>
      <c r="N210" s="94"/>
      <c r="O210" s="93"/>
      <c r="P210" s="93"/>
      <c r="Q210" s="94" t="str">
        <f t="shared" si="24"/>
        <v/>
      </c>
      <c r="R210" s="93"/>
      <c r="S210" s="93"/>
      <c r="T210" s="93"/>
      <c r="U210" s="93"/>
      <c r="V210" s="93"/>
      <c r="W210" s="93"/>
      <c r="X210" s="93"/>
      <c r="Y210" s="93"/>
      <c r="Z210" s="93"/>
      <c r="AA210" s="93" t="s">
        <v>1</v>
      </c>
      <c r="AB210" s="93"/>
      <c r="AC210" s="93"/>
      <c r="AD210" s="94" t="str">
        <f t="shared" si="25"/>
        <v/>
      </c>
      <c r="AE210" s="93"/>
      <c r="AF210" s="57"/>
      <c r="AG210" s="57"/>
      <c r="AH210" s="57">
        <v>37</v>
      </c>
      <c r="AI210" s="57">
        <v>6400</v>
      </c>
      <c r="AJ210" s="94">
        <f t="shared" si="26"/>
        <v>172.97297297297297</v>
      </c>
    </row>
    <row r="211" spans="1:106" x14ac:dyDescent="0.3">
      <c r="A211" s="39" t="s">
        <v>287</v>
      </c>
      <c r="C211" s="93" t="s">
        <v>527</v>
      </c>
      <c r="D211" s="38" t="s">
        <v>1</v>
      </c>
      <c r="E211" s="93"/>
      <c r="F211" s="93"/>
      <c r="G211" s="94" t="str">
        <f t="shared" si="21"/>
        <v/>
      </c>
      <c r="H211" s="93"/>
      <c r="I211" s="93"/>
      <c r="J211" s="94" t="str">
        <f t="shared" si="22"/>
        <v/>
      </c>
      <c r="K211" s="93"/>
      <c r="L211" s="93"/>
      <c r="M211" s="94" t="str">
        <f t="shared" si="23"/>
        <v/>
      </c>
      <c r="N211" s="94"/>
      <c r="O211" s="93"/>
      <c r="P211" s="93"/>
      <c r="Q211" s="94" t="str">
        <f t="shared" si="24"/>
        <v/>
      </c>
      <c r="R211" s="93"/>
      <c r="S211" s="93"/>
      <c r="T211" s="93"/>
      <c r="U211" s="93"/>
      <c r="V211" s="93"/>
      <c r="W211" s="93"/>
      <c r="X211" s="93"/>
      <c r="Y211" s="93"/>
      <c r="Z211" s="93"/>
      <c r="AA211" s="93" t="s">
        <v>1</v>
      </c>
      <c r="AB211" s="93">
        <v>15</v>
      </c>
      <c r="AC211" s="93">
        <v>3300</v>
      </c>
      <c r="AD211" s="94">
        <f t="shared" si="25"/>
        <v>220</v>
      </c>
      <c r="AE211" s="93"/>
      <c r="AF211" s="57"/>
      <c r="AG211" s="57"/>
      <c r="AH211" s="57">
        <v>10</v>
      </c>
      <c r="AI211" s="57">
        <v>2200</v>
      </c>
      <c r="AJ211" s="94">
        <f t="shared" si="26"/>
        <v>220</v>
      </c>
    </row>
    <row r="212" spans="1:106" x14ac:dyDescent="0.3">
      <c r="A212" s="39" t="s">
        <v>288</v>
      </c>
      <c r="C212" s="93" t="s">
        <v>527</v>
      </c>
      <c r="D212" s="38" t="s">
        <v>1</v>
      </c>
      <c r="E212" s="93"/>
      <c r="F212" s="93"/>
      <c r="G212" s="94" t="str">
        <f t="shared" si="21"/>
        <v/>
      </c>
      <c r="H212" s="93"/>
      <c r="I212" s="93"/>
      <c r="J212" s="94" t="str">
        <f t="shared" si="22"/>
        <v/>
      </c>
      <c r="K212" s="93"/>
      <c r="L212" s="93"/>
      <c r="M212" s="94" t="str">
        <f t="shared" si="23"/>
        <v/>
      </c>
      <c r="N212" s="94"/>
      <c r="O212" s="93"/>
      <c r="P212" s="93"/>
      <c r="Q212" s="94" t="str">
        <f t="shared" si="24"/>
        <v/>
      </c>
      <c r="R212" s="93"/>
      <c r="S212" s="93"/>
      <c r="T212" s="93"/>
      <c r="U212" s="93"/>
      <c r="V212" s="93"/>
      <c r="W212" s="93"/>
      <c r="X212" s="93"/>
      <c r="Y212" s="93"/>
      <c r="Z212" s="93"/>
      <c r="AA212" s="93" t="s">
        <v>1</v>
      </c>
      <c r="AB212" s="93"/>
      <c r="AC212" s="93"/>
      <c r="AD212" s="94" t="str">
        <f t="shared" si="25"/>
        <v/>
      </c>
      <c r="AE212" s="93"/>
      <c r="AF212" s="57"/>
      <c r="AG212" s="57"/>
      <c r="AH212" s="57">
        <v>29</v>
      </c>
      <c r="AI212" s="57">
        <v>6000</v>
      </c>
      <c r="AJ212" s="94">
        <f t="shared" si="26"/>
        <v>206.89655172413794</v>
      </c>
    </row>
    <row r="213" spans="1:106" x14ac:dyDescent="0.3">
      <c r="A213" s="39" t="s">
        <v>289</v>
      </c>
      <c r="C213" s="93" t="s">
        <v>527</v>
      </c>
      <c r="D213" s="38" t="s">
        <v>1</v>
      </c>
      <c r="E213" s="93"/>
      <c r="F213" s="93"/>
      <c r="G213" s="94" t="str">
        <f t="shared" si="21"/>
        <v/>
      </c>
      <c r="H213" s="93"/>
      <c r="I213" s="93"/>
      <c r="J213" s="94" t="str">
        <f t="shared" si="22"/>
        <v/>
      </c>
      <c r="K213" s="93"/>
      <c r="L213" s="93"/>
      <c r="M213" s="94" t="str">
        <f t="shared" si="23"/>
        <v/>
      </c>
      <c r="N213" s="94"/>
      <c r="O213" s="93"/>
      <c r="P213" s="93"/>
      <c r="Q213" s="94" t="str">
        <f t="shared" si="24"/>
        <v/>
      </c>
      <c r="R213" s="93"/>
      <c r="S213" s="93"/>
      <c r="T213" s="93"/>
      <c r="U213" s="93"/>
      <c r="V213" s="93"/>
      <c r="W213" s="93"/>
      <c r="X213" s="93"/>
      <c r="Y213" s="93"/>
      <c r="Z213" s="93"/>
      <c r="AA213" s="93" t="s">
        <v>1</v>
      </c>
      <c r="AB213" s="93"/>
      <c r="AC213" s="93"/>
      <c r="AD213" s="94" t="str">
        <f t="shared" si="25"/>
        <v/>
      </c>
      <c r="AE213" s="93"/>
      <c r="AF213" s="57"/>
      <c r="AG213" s="57"/>
      <c r="AH213" s="57">
        <v>87</v>
      </c>
      <c r="AI213" s="57">
        <v>31000</v>
      </c>
      <c r="AJ213" s="94">
        <f t="shared" si="26"/>
        <v>356.32183908045977</v>
      </c>
    </row>
    <row r="214" spans="1:106" x14ac:dyDescent="0.3">
      <c r="A214" s="39" t="s">
        <v>290</v>
      </c>
      <c r="C214" s="93" t="s">
        <v>527</v>
      </c>
      <c r="D214" s="38" t="s">
        <v>1</v>
      </c>
      <c r="E214" s="93"/>
      <c r="F214" s="93"/>
      <c r="G214" s="94" t="str">
        <f t="shared" si="21"/>
        <v/>
      </c>
      <c r="H214" s="93"/>
      <c r="I214" s="93"/>
      <c r="J214" s="94" t="str">
        <f t="shared" si="22"/>
        <v/>
      </c>
      <c r="K214" s="93"/>
      <c r="L214" s="93"/>
      <c r="M214" s="94" t="str">
        <f t="shared" si="23"/>
        <v/>
      </c>
      <c r="N214" s="94"/>
      <c r="O214" s="93"/>
      <c r="P214" s="93"/>
      <c r="Q214" s="94" t="str">
        <f t="shared" si="24"/>
        <v/>
      </c>
      <c r="R214" s="93"/>
      <c r="S214" s="93"/>
      <c r="T214" s="93"/>
      <c r="U214" s="93"/>
      <c r="V214" s="93"/>
      <c r="W214" s="93"/>
      <c r="X214" s="93"/>
      <c r="Y214" s="93"/>
      <c r="Z214" s="93"/>
      <c r="AA214" s="93" t="s">
        <v>1</v>
      </c>
      <c r="AB214" s="93"/>
      <c r="AC214" s="93"/>
      <c r="AD214" s="94" t="str">
        <f t="shared" si="25"/>
        <v/>
      </c>
      <c r="AE214" s="93"/>
      <c r="AF214" s="57"/>
      <c r="AG214" s="57"/>
      <c r="AH214" s="57">
        <v>14</v>
      </c>
      <c r="AI214" s="57">
        <v>1800</v>
      </c>
      <c r="AJ214" s="94">
        <f t="shared" si="26"/>
        <v>128.57142857142858</v>
      </c>
    </row>
    <row r="215" spans="1:106" x14ac:dyDescent="0.3">
      <c r="A215" s="39" t="s">
        <v>271</v>
      </c>
      <c r="E215" s="93"/>
      <c r="F215" s="93"/>
      <c r="G215" s="94" t="str">
        <f t="shared" si="21"/>
        <v/>
      </c>
      <c r="H215" s="93"/>
      <c r="I215" s="93"/>
      <c r="J215" s="94" t="str">
        <f t="shared" si="22"/>
        <v/>
      </c>
      <c r="K215" s="93"/>
      <c r="L215" s="93"/>
      <c r="M215" s="94" t="str">
        <f t="shared" si="23"/>
        <v/>
      </c>
      <c r="N215" s="94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 t="s">
        <v>1</v>
      </c>
      <c r="AB215" s="93"/>
      <c r="AC215" s="93"/>
      <c r="AD215" s="94" t="str">
        <f t="shared" si="25"/>
        <v/>
      </c>
      <c r="AE215" s="93"/>
      <c r="AF215" s="57"/>
      <c r="AG215" s="57"/>
      <c r="AH215" s="57"/>
      <c r="AI215" s="57">
        <v>20000</v>
      </c>
      <c r="AJ215" s="94" t="str">
        <f t="shared" si="26"/>
        <v/>
      </c>
    </row>
    <row r="216" spans="1:106" x14ac:dyDescent="0.3">
      <c r="A216" s="39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  <c r="AF216" s="57"/>
      <c r="AG216" s="57"/>
      <c r="AH216" s="57"/>
      <c r="AI216" s="57"/>
      <c r="AJ216" s="57"/>
    </row>
    <row r="217" spans="1:106" x14ac:dyDescent="0.3">
      <c r="A217" s="42" t="s">
        <v>293</v>
      </c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57"/>
      <c r="AB217" s="57"/>
      <c r="AC217" s="57">
        <v>9535340</v>
      </c>
      <c r="AD217" s="57"/>
      <c r="AE217" s="57"/>
      <c r="AF217" s="57"/>
      <c r="AG217" s="57"/>
      <c r="AH217" s="57"/>
      <c r="AI217" s="57">
        <v>2354000</v>
      </c>
      <c r="AJ217" s="57"/>
    </row>
    <row r="218" spans="1:106" x14ac:dyDescent="0.3">
      <c r="E218" s="57"/>
      <c r="F218" s="57"/>
    </row>
    <row r="219" spans="1:106" x14ac:dyDescent="0.3">
      <c r="D219" s="62"/>
    </row>
    <row r="220" spans="1:106" s="63" customFormat="1" x14ac:dyDescent="0.3">
      <c r="A220" s="29" t="s">
        <v>99</v>
      </c>
      <c r="B220" s="47"/>
      <c r="F220" s="30"/>
      <c r="G220" s="47"/>
      <c r="H220" s="47"/>
      <c r="P220" s="30"/>
      <c r="S220" s="47"/>
      <c r="T220" s="47"/>
      <c r="U220" s="47"/>
      <c r="W220" s="30"/>
      <c r="X220" s="30"/>
      <c r="AA220" s="30"/>
      <c r="AB220" s="30"/>
      <c r="AK220" s="30"/>
      <c r="AM220" s="47"/>
      <c r="AP220" s="30"/>
      <c r="AU220" s="30"/>
      <c r="AY220" s="30"/>
      <c r="BE220" s="30"/>
      <c r="BG220" s="30"/>
      <c r="BJ220" s="47"/>
      <c r="BM220" s="30"/>
      <c r="BR220" s="30"/>
      <c r="BX220" s="30"/>
      <c r="CB220" s="30"/>
      <c r="CH220" s="30"/>
      <c r="CK220" s="30"/>
      <c r="CO220" s="30"/>
      <c r="CR220" s="30"/>
      <c r="CU220" s="30"/>
      <c r="CY220" s="30"/>
      <c r="DB220" s="30"/>
    </row>
    <row r="221" spans="1:106" s="47" customFormat="1" x14ac:dyDescent="0.3">
      <c r="A221" s="47" t="s">
        <v>55</v>
      </c>
      <c r="B221" s="47">
        <v>1</v>
      </c>
      <c r="C221" s="30" t="s">
        <v>26</v>
      </c>
      <c r="D221" s="65">
        <v>108</v>
      </c>
      <c r="E221" s="30" t="s">
        <v>100</v>
      </c>
      <c r="F221" s="48">
        <f>D221/F231</f>
        <v>4.8214285714285716E-2</v>
      </c>
      <c r="G221" s="31" t="s">
        <v>31</v>
      </c>
      <c r="H221" s="31"/>
      <c r="I221" s="65"/>
      <c r="J221" s="30"/>
      <c r="K221" s="30"/>
      <c r="L221" s="30"/>
      <c r="M221" s="30"/>
      <c r="N221" s="30"/>
      <c r="O221" s="30"/>
      <c r="Q221" s="66"/>
      <c r="S221" s="30"/>
      <c r="T221" s="30"/>
      <c r="U221" s="30"/>
      <c r="V221" s="30"/>
      <c r="Y221" s="30"/>
      <c r="Z221" s="30"/>
      <c r="AA221" s="51"/>
      <c r="AB221" s="51"/>
      <c r="AD221" s="65"/>
      <c r="AE221" s="65"/>
      <c r="AF221" s="65"/>
      <c r="AG221" s="30"/>
      <c r="AH221" s="30"/>
      <c r="AI221" s="30"/>
      <c r="AJ221" s="30"/>
      <c r="AL221" s="30"/>
      <c r="AM221" s="65"/>
      <c r="AN221" s="30"/>
      <c r="AO221" s="30"/>
      <c r="AS221" s="30"/>
      <c r="AT221" s="30"/>
      <c r="AV221" s="30"/>
      <c r="AW221" s="65"/>
      <c r="AX221" s="30"/>
      <c r="AZ221" s="30"/>
      <c r="BB221" s="65"/>
      <c r="BC221" s="30"/>
      <c r="BD221" s="30"/>
      <c r="BH221" s="30"/>
      <c r="BJ221" s="65"/>
      <c r="BK221" s="30"/>
      <c r="BL221" s="30"/>
      <c r="BO221" s="30"/>
      <c r="BP221" s="65"/>
      <c r="BQ221" s="30"/>
      <c r="BS221" s="30"/>
      <c r="BU221" s="65"/>
      <c r="BV221" s="30"/>
      <c r="BW221" s="30"/>
      <c r="BZ221" s="30"/>
      <c r="CA221" s="30"/>
      <c r="CC221" s="30"/>
      <c r="CD221" s="65"/>
      <c r="CF221" s="30"/>
      <c r="CG221" s="30"/>
      <c r="CI221" s="65"/>
      <c r="CJ221" s="30"/>
      <c r="CN221" s="30"/>
      <c r="CQ221" s="30"/>
      <c r="CT221" s="30"/>
      <c r="CX221" s="30"/>
      <c r="DA221" s="30"/>
    </row>
    <row r="222" spans="1:106" s="47" customFormat="1" x14ac:dyDescent="0.3">
      <c r="A222" s="47" t="s">
        <v>55</v>
      </c>
      <c r="B222" s="47">
        <v>1</v>
      </c>
      <c r="C222" s="30" t="s">
        <v>101</v>
      </c>
      <c r="D222" s="65">
        <v>32.5</v>
      </c>
      <c r="E222" s="30" t="s">
        <v>100</v>
      </c>
      <c r="I222" s="65"/>
      <c r="J222" s="30"/>
      <c r="K222" s="30"/>
      <c r="L222" s="30"/>
      <c r="M222" s="30"/>
      <c r="N222" s="30"/>
      <c r="O222" s="30"/>
      <c r="S222" s="30"/>
      <c r="T222" s="30"/>
      <c r="U222" s="30"/>
      <c r="V222" s="30"/>
      <c r="W222" s="63"/>
      <c r="X222" s="63"/>
      <c r="Y222" s="30"/>
      <c r="Z222" s="30"/>
      <c r="AA222" s="51"/>
      <c r="AB222" s="51"/>
      <c r="AD222" s="65"/>
      <c r="AE222" s="65"/>
      <c r="AF222" s="65"/>
      <c r="AG222" s="30"/>
      <c r="AH222" s="30"/>
      <c r="AI222" s="30"/>
      <c r="AJ222" s="30"/>
      <c r="AL222" s="30"/>
      <c r="AM222" s="65"/>
      <c r="AN222" s="30"/>
      <c r="AO222" s="30"/>
      <c r="AS222" s="30"/>
      <c r="AT222" s="30"/>
      <c r="AV222" s="30"/>
      <c r="AW222" s="65"/>
      <c r="AX222" s="30"/>
      <c r="AZ222" s="30"/>
      <c r="BB222" s="65"/>
      <c r="BC222" s="30"/>
      <c r="BD222" s="30"/>
      <c r="BH222" s="30"/>
      <c r="BJ222" s="65"/>
      <c r="BK222" s="30"/>
      <c r="BL222" s="30"/>
      <c r="BO222" s="30"/>
      <c r="BP222" s="65"/>
      <c r="BQ222" s="30"/>
      <c r="BS222" s="30"/>
      <c r="BU222" s="65"/>
      <c r="BV222" s="30"/>
      <c r="BW222" s="30"/>
      <c r="BZ222" s="30"/>
      <c r="CA222" s="30"/>
      <c r="CC222" s="30"/>
      <c r="CD222" s="65"/>
      <c r="CF222" s="30"/>
      <c r="CG222" s="30"/>
      <c r="CI222" s="65"/>
      <c r="CJ222" s="30"/>
      <c r="CN222" s="30"/>
      <c r="CQ222" s="30"/>
      <c r="CT222" s="30"/>
      <c r="CX222" s="30"/>
      <c r="DA222" s="30"/>
    </row>
    <row r="223" spans="1:106" s="63" customFormat="1" x14ac:dyDescent="0.3">
      <c r="A223" s="47"/>
      <c r="B223" s="47">
        <v>1</v>
      </c>
      <c r="C223" s="30" t="s">
        <v>102</v>
      </c>
      <c r="D223" s="65">
        <v>6.5</v>
      </c>
      <c r="E223" s="31" t="s">
        <v>100</v>
      </c>
      <c r="F223" s="47"/>
      <c r="G223" s="30"/>
      <c r="H223" s="30"/>
      <c r="I223" s="65"/>
      <c r="J223" s="30"/>
      <c r="K223" s="30"/>
      <c r="L223" s="31"/>
      <c r="M223" s="31"/>
      <c r="N223" s="31"/>
      <c r="O223" s="31"/>
      <c r="P223" s="30"/>
      <c r="Q223" s="65"/>
      <c r="R223" s="30"/>
      <c r="S223" s="30"/>
      <c r="T223" s="30"/>
      <c r="U223" s="30"/>
      <c r="V223" s="31"/>
      <c r="Y223" s="30"/>
      <c r="Z223" s="31"/>
      <c r="AD223" s="65"/>
      <c r="AE223" s="65"/>
      <c r="AF223" s="65"/>
      <c r="AG223" s="31"/>
      <c r="AH223" s="31"/>
      <c r="AI223" s="31"/>
      <c r="AJ223" s="30"/>
      <c r="AL223" s="31"/>
      <c r="AM223" s="65"/>
      <c r="AN223" s="30"/>
      <c r="AO223" s="31"/>
      <c r="AS223" s="31"/>
      <c r="AT223" s="30"/>
      <c r="AV223" s="31"/>
      <c r="AW223" s="65"/>
      <c r="AX223" s="30"/>
      <c r="AZ223" s="31"/>
      <c r="BB223" s="65"/>
      <c r="BC223" s="30"/>
      <c r="BD223" s="31"/>
      <c r="BH223" s="31"/>
      <c r="BJ223" s="65"/>
      <c r="BK223" s="30"/>
      <c r="BL223" s="31"/>
      <c r="BO223" s="31"/>
      <c r="BP223" s="65"/>
      <c r="BQ223" s="30"/>
      <c r="BS223" s="31"/>
      <c r="BU223" s="65"/>
      <c r="BV223" s="31"/>
      <c r="BW223" s="30"/>
      <c r="BZ223" s="31"/>
      <c r="CA223" s="30"/>
      <c r="CC223" s="31"/>
      <c r="CD223" s="65"/>
      <c r="CF223" s="31"/>
      <c r="CG223" s="30"/>
      <c r="CI223" s="65"/>
      <c r="CJ223" s="30"/>
      <c r="CN223" s="30"/>
      <c r="CQ223" s="30"/>
      <c r="CT223" s="30"/>
      <c r="CX223" s="30"/>
      <c r="DA223" s="30"/>
    </row>
    <row r="224" spans="1:106" s="63" customFormat="1" x14ac:dyDescent="0.3">
      <c r="A224" s="47"/>
      <c r="B224" s="47">
        <v>1</v>
      </c>
      <c r="C224" s="30" t="s">
        <v>17</v>
      </c>
      <c r="D224" s="65">
        <v>112</v>
      </c>
      <c r="E224" s="30" t="s">
        <v>56</v>
      </c>
      <c r="F224" s="47"/>
      <c r="G224" s="30"/>
      <c r="H224" s="30"/>
      <c r="I224" s="65"/>
      <c r="J224" s="30"/>
      <c r="K224" s="30"/>
      <c r="L224" s="30"/>
      <c r="M224" s="30"/>
      <c r="N224" s="30"/>
      <c r="O224" s="30"/>
      <c r="P224" s="30"/>
      <c r="Q224" s="65"/>
      <c r="R224" s="30"/>
      <c r="S224" s="30"/>
      <c r="T224" s="30"/>
      <c r="U224" s="30"/>
      <c r="V224" s="30"/>
      <c r="Y224" s="30"/>
      <c r="Z224" s="30"/>
      <c r="AD224" s="65"/>
      <c r="AE224" s="65"/>
      <c r="AF224" s="65"/>
      <c r="AG224" s="30"/>
      <c r="AH224" s="30"/>
      <c r="AI224" s="30"/>
      <c r="AJ224" s="30"/>
      <c r="AL224" s="30"/>
      <c r="AM224" s="65"/>
      <c r="AN224" s="30"/>
      <c r="AO224" s="30"/>
      <c r="AS224" s="30"/>
      <c r="AT224" s="30"/>
      <c r="AV224" s="30"/>
      <c r="AW224" s="65"/>
      <c r="AX224" s="30"/>
      <c r="AZ224" s="30"/>
      <c r="BB224" s="65"/>
      <c r="BC224" s="30"/>
      <c r="BD224" s="30"/>
      <c r="BH224" s="30"/>
      <c r="BJ224" s="65"/>
      <c r="BK224" s="30"/>
      <c r="BL224" s="30"/>
      <c r="BO224" s="30"/>
      <c r="BP224" s="65"/>
      <c r="BQ224" s="30"/>
      <c r="BS224" s="30"/>
      <c r="BU224" s="65"/>
      <c r="BV224" s="30"/>
      <c r="BW224" s="30"/>
      <c r="BZ224" s="30"/>
      <c r="CA224" s="30"/>
      <c r="CC224" s="30"/>
      <c r="CD224" s="65"/>
      <c r="CF224" s="30"/>
      <c r="CG224" s="30"/>
      <c r="CI224" s="65"/>
      <c r="CJ224" s="30"/>
      <c r="CN224" s="30"/>
      <c r="CQ224" s="30"/>
      <c r="CT224" s="30"/>
      <c r="CX224" s="30"/>
      <c r="DA224" s="30"/>
    </row>
    <row r="225" spans="1:105" s="63" customFormat="1" x14ac:dyDescent="0.3">
      <c r="A225" s="47"/>
      <c r="B225" s="47">
        <v>1</v>
      </c>
      <c r="C225" s="30" t="s">
        <v>17</v>
      </c>
      <c r="D225" s="65">
        <f>D224/D223</f>
        <v>17.23076923076923</v>
      </c>
      <c r="E225" s="30" t="s">
        <v>102</v>
      </c>
      <c r="F225" s="47"/>
      <c r="G225" s="65"/>
      <c r="H225" s="65"/>
      <c r="I225" s="65"/>
      <c r="J225" s="30"/>
      <c r="K225" s="30"/>
      <c r="L225" s="30"/>
      <c r="M225" s="30"/>
      <c r="N225" s="30"/>
      <c r="O225" s="30"/>
      <c r="P225" s="65"/>
      <c r="R225" s="65"/>
      <c r="S225" s="30"/>
      <c r="T225" s="30"/>
      <c r="U225" s="30"/>
      <c r="V225" s="30"/>
      <c r="Y225" s="30"/>
      <c r="Z225" s="30"/>
      <c r="AD225" s="65"/>
      <c r="AE225" s="65"/>
      <c r="AF225" s="65"/>
      <c r="AG225" s="30"/>
      <c r="AH225" s="30"/>
      <c r="AI225" s="30"/>
      <c r="AJ225" s="30"/>
      <c r="AL225" s="30"/>
      <c r="AM225" s="65"/>
      <c r="AN225" s="30"/>
      <c r="AO225" s="30"/>
      <c r="AS225" s="30"/>
      <c r="AT225" s="30"/>
      <c r="AV225" s="30"/>
      <c r="AW225" s="65"/>
      <c r="AX225" s="30"/>
      <c r="AZ225" s="30"/>
      <c r="BB225" s="65"/>
      <c r="BC225" s="30"/>
      <c r="BD225" s="30"/>
      <c r="BF225" s="51"/>
      <c r="BH225" s="30"/>
      <c r="BJ225" s="65"/>
      <c r="BK225" s="30"/>
      <c r="BL225" s="30"/>
      <c r="BO225" s="30"/>
      <c r="BP225" s="65"/>
      <c r="BQ225" s="30"/>
      <c r="BS225" s="30"/>
      <c r="BU225" s="65"/>
      <c r="BV225" s="30"/>
      <c r="BW225" s="30"/>
      <c r="BZ225" s="30"/>
      <c r="CA225" s="30"/>
      <c r="CC225" s="30"/>
      <c r="CD225" s="65"/>
      <c r="CF225" s="30"/>
      <c r="CG225" s="30"/>
      <c r="CI225" s="65"/>
      <c r="CJ225" s="30"/>
      <c r="CN225" s="30"/>
      <c r="CQ225" s="30"/>
      <c r="CT225" s="30"/>
      <c r="CX225" s="30"/>
      <c r="DA225" s="30"/>
    </row>
    <row r="226" spans="1:105" s="47" customFormat="1" ht="15" customHeight="1" x14ac:dyDescent="0.3">
      <c r="B226" s="109">
        <v>1</v>
      </c>
      <c r="C226" s="110" t="s">
        <v>103</v>
      </c>
      <c r="D226" s="111">
        <v>130</v>
      </c>
      <c r="E226" s="112" t="s">
        <v>100</v>
      </c>
      <c r="F226" s="32"/>
      <c r="G226" s="63"/>
      <c r="H226" s="63"/>
      <c r="I226" s="67"/>
      <c r="J226" s="30"/>
      <c r="K226" s="30"/>
      <c r="L226" s="45"/>
      <c r="M226" s="45"/>
      <c r="N226" s="45"/>
      <c r="O226" s="45"/>
      <c r="P226" s="63"/>
      <c r="Q226" s="63"/>
      <c r="R226" s="63"/>
      <c r="S226" s="30"/>
      <c r="T226" s="30"/>
      <c r="U226" s="30"/>
      <c r="V226" s="45"/>
      <c r="W226" s="63"/>
      <c r="X226" s="63"/>
      <c r="Y226" s="30"/>
      <c r="Z226" s="45"/>
      <c r="AA226" s="63"/>
      <c r="AB226" s="63"/>
      <c r="AC226" s="63"/>
      <c r="AD226" s="67"/>
      <c r="AE226" s="67"/>
      <c r="AF226" s="67"/>
      <c r="AG226" s="45"/>
      <c r="AH226" s="45"/>
      <c r="AI226" s="45"/>
      <c r="AJ226" s="30"/>
      <c r="AL226" s="45"/>
      <c r="AM226" s="67"/>
      <c r="AN226" s="30"/>
      <c r="AO226" s="45"/>
      <c r="AS226" s="45"/>
      <c r="AT226" s="30"/>
      <c r="AV226" s="45"/>
      <c r="AW226" s="67"/>
      <c r="AX226" s="30"/>
      <c r="AZ226" s="45"/>
      <c r="BB226" s="67"/>
      <c r="BC226" s="30"/>
      <c r="BD226" s="45"/>
      <c r="BH226" s="45"/>
      <c r="BJ226" s="67"/>
      <c r="BK226" s="30"/>
      <c r="BL226" s="45"/>
      <c r="BO226" s="45"/>
      <c r="BP226" s="67"/>
      <c r="BQ226" s="30"/>
      <c r="BS226" s="45"/>
      <c r="BU226" s="67"/>
      <c r="BV226" s="45"/>
      <c r="BW226" s="30"/>
      <c r="BZ226" s="45"/>
      <c r="CA226" s="30"/>
      <c r="CC226" s="45"/>
      <c r="CD226" s="67"/>
      <c r="CF226" s="45"/>
      <c r="CG226" s="30"/>
      <c r="CI226" s="67"/>
      <c r="CJ226" s="30"/>
      <c r="CN226" s="30"/>
      <c r="CQ226" s="30"/>
      <c r="CT226" s="30"/>
      <c r="CX226" s="30"/>
      <c r="DA226" s="30"/>
    </row>
    <row r="227" spans="1:105" s="47" customFormat="1" ht="28.8" customHeight="1" x14ac:dyDescent="0.3">
      <c r="B227" s="109"/>
      <c r="C227" s="110"/>
      <c r="D227" s="111"/>
      <c r="E227" s="112"/>
      <c r="I227" s="67"/>
      <c r="J227" s="63"/>
      <c r="K227" s="63"/>
      <c r="L227" s="45"/>
      <c r="M227" s="45"/>
      <c r="N227" s="45"/>
      <c r="O227" s="45"/>
      <c r="S227" s="63"/>
      <c r="T227" s="63"/>
      <c r="U227" s="63"/>
      <c r="V227" s="45"/>
      <c r="Y227" s="63"/>
      <c r="Z227" s="45"/>
      <c r="AD227" s="67"/>
      <c r="AE227" s="67"/>
      <c r="AF227" s="67"/>
      <c r="AG227" s="45"/>
      <c r="AH227" s="45"/>
      <c r="AI227" s="45"/>
      <c r="AJ227" s="63"/>
      <c r="AL227" s="45"/>
      <c r="AM227" s="67"/>
      <c r="AN227" s="63"/>
      <c r="AO227" s="45"/>
      <c r="AS227" s="45"/>
      <c r="AT227" s="63"/>
      <c r="AV227" s="45"/>
      <c r="AW227" s="67"/>
      <c r="AX227" s="63"/>
      <c r="AZ227" s="45"/>
      <c r="BB227" s="67"/>
      <c r="BC227" s="63"/>
      <c r="BD227" s="45"/>
      <c r="BH227" s="45"/>
      <c r="BJ227" s="67"/>
      <c r="BK227" s="63"/>
      <c r="BL227" s="45"/>
      <c r="BO227" s="45"/>
      <c r="BP227" s="67"/>
      <c r="BQ227" s="63"/>
      <c r="BS227" s="45"/>
      <c r="BU227" s="67"/>
      <c r="BV227" s="45"/>
      <c r="BW227" s="63"/>
      <c r="BZ227" s="45"/>
      <c r="CA227" s="63"/>
      <c r="CC227" s="45"/>
      <c r="CD227" s="67"/>
      <c r="CF227" s="45"/>
      <c r="CG227" s="63"/>
      <c r="CI227" s="67"/>
      <c r="CJ227" s="63"/>
      <c r="CN227" s="63"/>
      <c r="CQ227" s="63"/>
      <c r="CT227" s="63"/>
      <c r="CX227" s="63"/>
      <c r="DA227" s="63"/>
    </row>
    <row r="228" spans="1:105" s="47" customFormat="1" x14ac:dyDescent="0.3">
      <c r="B228" s="68">
        <v>1</v>
      </c>
      <c r="C228" s="30" t="s">
        <v>104</v>
      </c>
      <c r="D228" s="65">
        <v>260</v>
      </c>
      <c r="E228" s="30" t="s">
        <v>100</v>
      </c>
      <c r="I228" s="65"/>
      <c r="J228" s="30"/>
      <c r="K228" s="30"/>
      <c r="L228" s="30"/>
      <c r="M228" s="30"/>
      <c r="N228" s="30"/>
      <c r="O228" s="30"/>
      <c r="S228" s="30"/>
      <c r="T228" s="30"/>
      <c r="U228" s="30"/>
      <c r="V228" s="30"/>
      <c r="Y228" s="30"/>
      <c r="Z228" s="30"/>
      <c r="AD228" s="65"/>
      <c r="AE228" s="65"/>
      <c r="AF228" s="65"/>
      <c r="AG228" s="30"/>
      <c r="AH228" s="30"/>
      <c r="AI228" s="30"/>
      <c r="AJ228" s="30"/>
      <c r="AL228" s="30"/>
      <c r="AM228" s="65"/>
      <c r="AN228" s="30"/>
      <c r="AO228" s="30"/>
      <c r="AS228" s="30"/>
      <c r="AT228" s="30"/>
      <c r="AV228" s="30"/>
      <c r="AW228" s="65"/>
      <c r="AX228" s="30"/>
      <c r="AZ228" s="30"/>
      <c r="BB228" s="65"/>
      <c r="BC228" s="30"/>
      <c r="BD228" s="30"/>
      <c r="BH228" s="30"/>
      <c r="BJ228" s="65"/>
      <c r="BK228" s="30"/>
      <c r="BL228" s="30"/>
      <c r="BO228" s="30"/>
      <c r="BP228" s="65"/>
      <c r="BQ228" s="30"/>
      <c r="BS228" s="30"/>
      <c r="BU228" s="65"/>
      <c r="BV228" s="30"/>
      <c r="BW228" s="30"/>
      <c r="BZ228" s="30"/>
      <c r="CA228" s="30"/>
      <c r="CC228" s="30"/>
      <c r="CD228" s="65"/>
      <c r="CF228" s="30"/>
      <c r="CG228" s="30"/>
      <c r="CI228" s="65"/>
      <c r="CJ228" s="30"/>
      <c r="CN228" s="30"/>
      <c r="CQ228" s="30"/>
      <c r="CT228" s="30"/>
      <c r="CX228" s="30"/>
      <c r="DA228" s="30"/>
    </row>
    <row r="229" spans="1:105" s="47" customFormat="1" x14ac:dyDescent="0.3">
      <c r="B229" s="68">
        <v>1</v>
      </c>
      <c r="C229" s="30" t="s">
        <v>659</v>
      </c>
      <c r="D229" s="65">
        <f>D226/D224</f>
        <v>1.1607142857142858</v>
      </c>
      <c r="E229" s="30" t="s">
        <v>105</v>
      </c>
      <c r="I229" s="65"/>
      <c r="J229" s="30"/>
      <c r="K229" s="30"/>
      <c r="L229" s="30"/>
      <c r="M229" s="30"/>
      <c r="N229" s="30"/>
      <c r="O229" s="30"/>
      <c r="S229" s="30"/>
      <c r="T229" s="30"/>
      <c r="U229" s="30"/>
      <c r="V229" s="30"/>
      <c r="Y229" s="30"/>
      <c r="Z229" s="30"/>
      <c r="AD229" s="65"/>
      <c r="AE229" s="65"/>
      <c r="AF229" s="65"/>
      <c r="AG229" s="30"/>
      <c r="AH229" s="30"/>
      <c r="AI229" s="30"/>
      <c r="AJ229" s="30"/>
      <c r="AL229" s="30"/>
      <c r="AM229" s="65"/>
      <c r="AN229" s="30"/>
      <c r="AO229" s="30"/>
      <c r="AS229" s="30"/>
      <c r="AT229" s="30"/>
      <c r="AV229" s="30"/>
      <c r="AW229" s="65"/>
      <c r="AX229" s="30"/>
      <c r="AZ229" s="30"/>
      <c r="BB229" s="65"/>
      <c r="BC229" s="30"/>
      <c r="BD229" s="30"/>
      <c r="BH229" s="30"/>
      <c r="BJ229" s="65"/>
      <c r="BK229" s="30"/>
      <c r="BL229" s="30"/>
      <c r="BO229" s="30"/>
      <c r="BP229" s="65"/>
      <c r="BQ229" s="30"/>
      <c r="BS229" s="30"/>
      <c r="BU229" s="65"/>
      <c r="BV229" s="30"/>
      <c r="BW229" s="30"/>
      <c r="BZ229" s="30"/>
      <c r="CA229" s="30"/>
      <c r="CC229" s="30"/>
      <c r="CD229" s="65"/>
      <c r="CF229" s="30"/>
      <c r="CG229" s="30"/>
      <c r="CI229" s="65"/>
      <c r="CJ229" s="30"/>
      <c r="CN229" s="30"/>
      <c r="CQ229" s="30"/>
      <c r="CT229" s="30"/>
      <c r="CX229" s="30"/>
      <c r="DA229" s="30"/>
    </row>
    <row r="230" spans="1:105" s="47" customFormat="1" x14ac:dyDescent="0.3">
      <c r="B230" s="68">
        <v>1</v>
      </c>
      <c r="C230" s="30" t="s">
        <v>104</v>
      </c>
      <c r="D230" s="65">
        <f>D228/D224</f>
        <v>2.3214285714285716</v>
      </c>
      <c r="E230" s="30" t="s">
        <v>105</v>
      </c>
      <c r="I230" s="65"/>
      <c r="J230" s="30"/>
      <c r="K230" s="30"/>
      <c r="L230" s="30"/>
      <c r="M230" s="30"/>
      <c r="N230" s="30"/>
      <c r="O230" s="30"/>
      <c r="S230" s="30"/>
      <c r="T230" s="30"/>
      <c r="U230" s="30"/>
      <c r="V230" s="30"/>
      <c r="Y230" s="30"/>
      <c r="Z230" s="30"/>
      <c r="AD230" s="65"/>
      <c r="AE230" s="65"/>
      <c r="AF230" s="65"/>
      <c r="AG230" s="30"/>
      <c r="AH230" s="30"/>
      <c r="AI230" s="30"/>
      <c r="AJ230" s="30"/>
      <c r="AL230" s="30"/>
      <c r="AM230" s="65"/>
      <c r="AN230" s="30"/>
      <c r="AO230" s="30"/>
      <c r="AS230" s="30"/>
      <c r="AT230" s="30"/>
      <c r="AV230" s="30"/>
      <c r="AW230" s="65"/>
      <c r="AX230" s="30"/>
      <c r="AZ230" s="30"/>
      <c r="BB230" s="65"/>
      <c r="BC230" s="30"/>
      <c r="BD230" s="30"/>
      <c r="BH230" s="30"/>
      <c r="BJ230" s="65"/>
      <c r="BK230" s="30"/>
      <c r="BL230" s="30"/>
      <c r="BO230" s="30"/>
      <c r="BP230" s="65"/>
      <c r="BQ230" s="30"/>
      <c r="BS230" s="30"/>
      <c r="BU230" s="65"/>
      <c r="BV230" s="30"/>
      <c r="BW230" s="30"/>
      <c r="BZ230" s="30"/>
      <c r="CA230" s="30"/>
      <c r="CC230" s="30"/>
      <c r="CD230" s="65"/>
      <c r="CF230" s="30"/>
      <c r="CG230" s="30"/>
      <c r="CI230" s="65"/>
      <c r="CJ230" s="30"/>
      <c r="CN230" s="30"/>
      <c r="CQ230" s="30"/>
      <c r="CT230" s="30"/>
      <c r="CX230" s="30"/>
      <c r="DA230" s="30"/>
    </row>
    <row r="231" spans="1:105" s="63" customFormat="1" x14ac:dyDescent="0.3">
      <c r="A231" s="47"/>
      <c r="B231" s="68">
        <v>1</v>
      </c>
      <c r="C231" s="30" t="s">
        <v>106</v>
      </c>
      <c r="D231" s="65">
        <v>20</v>
      </c>
      <c r="E231" s="30" t="s">
        <v>105</v>
      </c>
      <c r="F231" s="48">
        <f>D231*D224</f>
        <v>2240</v>
      </c>
      <c r="G231" s="30" t="s">
        <v>100</v>
      </c>
      <c r="H231" s="48">
        <f>F231/D233</f>
        <v>420</v>
      </c>
      <c r="I231" s="33" t="s">
        <v>107</v>
      </c>
      <c r="J231" s="48">
        <f>F231/D232</f>
        <v>1016.048117135833</v>
      </c>
      <c r="K231" s="30" t="s">
        <v>661</v>
      </c>
      <c r="L231" s="45"/>
      <c r="P231" s="30"/>
      <c r="T231" s="30"/>
      <c r="X231" s="45"/>
      <c r="Y231" s="45"/>
      <c r="Z231" s="45"/>
      <c r="AA231" s="30"/>
      <c r="AB231" s="30"/>
      <c r="AC231" s="30"/>
      <c r="AF231" s="30"/>
      <c r="AG231" s="45"/>
      <c r="AH231" s="51"/>
      <c r="AI231" s="30"/>
      <c r="AJ231" s="51"/>
      <c r="AL231" s="45"/>
      <c r="AM231" s="30"/>
      <c r="AP231" s="30"/>
      <c r="AQ231" s="45"/>
      <c r="AT231" s="30"/>
      <c r="AV231" s="45"/>
      <c r="AX231" s="30"/>
      <c r="BB231" s="30"/>
      <c r="BD231" s="45"/>
      <c r="BE231" s="51"/>
      <c r="BF231" s="30"/>
      <c r="BI231" s="30"/>
      <c r="BJ231" s="45"/>
      <c r="BM231" s="30"/>
      <c r="BO231" s="45"/>
      <c r="BP231" s="30"/>
      <c r="BS231" s="45"/>
      <c r="BT231" s="30"/>
      <c r="BW231" s="30"/>
      <c r="BY231" s="45"/>
      <c r="BZ231" s="30"/>
      <c r="CC231" s="45"/>
      <c r="CG231" s="45"/>
      <c r="CJ231" s="45"/>
      <c r="CM231" s="45"/>
      <c r="CQ231" s="45"/>
      <c r="CT231" s="45"/>
    </row>
    <row r="232" spans="1:105" s="63" customFormat="1" x14ac:dyDescent="0.3">
      <c r="A232" s="47"/>
      <c r="B232" s="68">
        <v>1</v>
      </c>
      <c r="C232" s="30" t="s">
        <v>661</v>
      </c>
      <c r="D232" s="65">
        <v>2.2046199999999998</v>
      </c>
      <c r="E232" s="30" t="s">
        <v>100</v>
      </c>
      <c r="F232" s="48">
        <f>D232/D224</f>
        <v>1.9684107142857142E-2</v>
      </c>
      <c r="G232" s="33" t="s">
        <v>105</v>
      </c>
      <c r="I232" s="51"/>
      <c r="J232" s="51"/>
      <c r="L232" s="45"/>
      <c r="P232" s="30"/>
      <c r="T232" s="30"/>
      <c r="X232" s="45"/>
      <c r="Y232" s="45"/>
      <c r="Z232" s="45"/>
      <c r="AA232" s="30"/>
      <c r="AB232" s="30"/>
      <c r="AC232" s="30"/>
      <c r="AF232" s="30"/>
      <c r="AG232" s="45"/>
      <c r="AH232" s="51"/>
      <c r="AI232" s="30"/>
      <c r="AJ232" s="51"/>
      <c r="AL232" s="45"/>
      <c r="AM232" s="30"/>
      <c r="AP232" s="30"/>
      <c r="AQ232" s="45"/>
      <c r="AT232" s="30"/>
      <c r="AV232" s="45"/>
      <c r="AX232" s="30"/>
      <c r="BB232" s="30"/>
      <c r="BD232" s="45"/>
      <c r="BE232" s="51"/>
      <c r="BF232" s="30"/>
      <c r="BI232" s="30"/>
      <c r="BJ232" s="45"/>
      <c r="BM232" s="30"/>
      <c r="BO232" s="45"/>
      <c r="BP232" s="30"/>
      <c r="BS232" s="45"/>
      <c r="BT232" s="30"/>
      <c r="BW232" s="30"/>
      <c r="BY232" s="45"/>
      <c r="BZ232" s="30"/>
      <c r="CC232" s="45"/>
      <c r="CG232" s="45"/>
      <c r="CJ232" s="45"/>
      <c r="CM232" s="45"/>
      <c r="CQ232" s="45"/>
      <c r="CT232" s="45"/>
    </row>
    <row r="233" spans="1:105" s="63" customFormat="1" x14ac:dyDescent="0.3">
      <c r="A233" s="47"/>
      <c r="B233" s="68">
        <v>1</v>
      </c>
      <c r="C233" s="30" t="s">
        <v>109</v>
      </c>
      <c r="D233" s="65">
        <f>16/3</f>
        <v>5.333333333333333</v>
      </c>
      <c r="E233" s="30" t="s">
        <v>100</v>
      </c>
      <c r="F233" s="48">
        <f>D233/D224</f>
        <v>4.7619047619047616E-2</v>
      </c>
      <c r="G233" s="33" t="s">
        <v>105</v>
      </c>
      <c r="I233" s="51"/>
      <c r="J233" s="51"/>
      <c r="L233" s="30"/>
      <c r="P233" s="30"/>
      <c r="T233" s="30"/>
      <c r="X233" s="30"/>
      <c r="Y233" s="30"/>
      <c r="Z233" s="30"/>
      <c r="AA233" s="30"/>
      <c r="AB233" s="30"/>
      <c r="AC233" s="30"/>
      <c r="AF233" s="30"/>
      <c r="AG233" s="30"/>
      <c r="AH233" s="51"/>
      <c r="AI233" s="30"/>
      <c r="AJ233" s="51"/>
      <c r="AL233" s="30"/>
      <c r="AM233" s="30"/>
      <c r="AP233" s="30"/>
      <c r="AQ233" s="30"/>
      <c r="AT233" s="30"/>
      <c r="AV233" s="30"/>
      <c r="AX233" s="30"/>
      <c r="BB233" s="30"/>
      <c r="BD233" s="30"/>
      <c r="BE233" s="51"/>
      <c r="BF233" s="30"/>
      <c r="BI233" s="30"/>
      <c r="BJ233" s="30"/>
      <c r="BM233" s="30"/>
      <c r="BO233" s="30"/>
      <c r="BP233" s="30"/>
      <c r="BS233" s="30"/>
      <c r="BT233" s="30"/>
      <c r="BW233" s="30"/>
      <c r="BY233" s="30"/>
      <c r="BZ233" s="30"/>
      <c r="CC233" s="30"/>
      <c r="CG233" s="30"/>
      <c r="CJ233" s="30"/>
      <c r="CM233" s="30"/>
      <c r="CQ233" s="30"/>
      <c r="CT233" s="30"/>
    </row>
    <row r="234" spans="1:105" s="63" customFormat="1" x14ac:dyDescent="0.3">
      <c r="A234" s="47"/>
      <c r="B234" s="68">
        <v>1</v>
      </c>
      <c r="C234" s="30" t="s">
        <v>22</v>
      </c>
      <c r="D234" s="65">
        <v>100</v>
      </c>
      <c r="E234" s="30" t="s">
        <v>109</v>
      </c>
      <c r="F234" s="48">
        <f>D234*F233</f>
        <v>4.7619047619047619</v>
      </c>
      <c r="G234" s="33" t="s">
        <v>105</v>
      </c>
      <c r="H234" s="65">
        <f>F234/D231</f>
        <v>0.23809523809523808</v>
      </c>
      <c r="I234" s="33" t="s">
        <v>31</v>
      </c>
      <c r="J234" s="51"/>
      <c r="L234" s="30"/>
      <c r="P234" s="30"/>
      <c r="T234" s="30"/>
      <c r="X234" s="30"/>
      <c r="Y234" s="30"/>
      <c r="Z234" s="30"/>
      <c r="AA234" s="30"/>
      <c r="AB234" s="30"/>
      <c r="AC234" s="30"/>
      <c r="AF234" s="30"/>
      <c r="AG234" s="30"/>
      <c r="AH234" s="51"/>
      <c r="AI234" s="30"/>
      <c r="AJ234" s="51"/>
      <c r="AL234" s="30"/>
      <c r="AM234" s="30"/>
      <c r="AP234" s="30"/>
      <c r="AQ234" s="30"/>
      <c r="AT234" s="30"/>
      <c r="AV234" s="30"/>
      <c r="AX234" s="30"/>
      <c r="BB234" s="30"/>
      <c r="BD234" s="30"/>
      <c r="BE234" s="51"/>
      <c r="BF234" s="30"/>
      <c r="BI234" s="30"/>
      <c r="BJ234" s="30"/>
      <c r="BM234" s="30"/>
      <c r="BO234" s="30"/>
      <c r="BP234" s="30"/>
      <c r="BS234" s="30"/>
      <c r="BT234" s="30"/>
      <c r="BW234" s="30"/>
      <c r="BY234" s="30"/>
      <c r="BZ234" s="30"/>
      <c r="CC234" s="30"/>
      <c r="CG234" s="30"/>
      <c r="CJ234" s="30"/>
      <c r="CM234" s="30"/>
      <c r="CQ234" s="30"/>
      <c r="CT234" s="30"/>
    </row>
    <row r="235" spans="1:105" s="63" customFormat="1" x14ac:dyDescent="0.3">
      <c r="A235" s="47"/>
      <c r="B235" s="68">
        <v>1</v>
      </c>
      <c r="C235" s="30" t="s">
        <v>16</v>
      </c>
      <c r="D235" s="65">
        <f>D224/D233</f>
        <v>21</v>
      </c>
      <c r="E235" s="30" t="s">
        <v>109</v>
      </c>
      <c r="F235" s="48"/>
      <c r="G235" s="33"/>
      <c r="I235" s="30"/>
      <c r="J235" s="51"/>
      <c r="K235" s="30"/>
      <c r="L235" s="30"/>
      <c r="M235" s="30"/>
      <c r="N235" s="30"/>
      <c r="O235" s="51"/>
      <c r="Q235" s="30"/>
      <c r="U235" s="30"/>
      <c r="Y235" s="30"/>
      <c r="AC235" s="30"/>
      <c r="AD235" s="30"/>
      <c r="AE235" s="30"/>
      <c r="AF235" s="30"/>
      <c r="AG235" s="30"/>
      <c r="AH235" s="30"/>
      <c r="AK235" s="30"/>
      <c r="AL235" s="30"/>
      <c r="AM235" s="51"/>
      <c r="AN235" s="30"/>
      <c r="AO235" s="51"/>
      <c r="AQ235" s="30"/>
      <c r="AR235" s="30"/>
      <c r="AU235" s="30"/>
      <c r="AV235" s="30"/>
      <c r="AY235" s="30"/>
      <c r="BA235" s="30"/>
      <c r="BC235" s="30"/>
      <c r="BG235" s="30"/>
      <c r="BI235" s="30"/>
      <c r="BJ235" s="51"/>
      <c r="BK235" s="30"/>
      <c r="BN235" s="30"/>
      <c r="BO235" s="30"/>
      <c r="BR235" s="30"/>
      <c r="BT235" s="30"/>
      <c r="BU235" s="30"/>
      <c r="BX235" s="30"/>
      <c r="BY235" s="30"/>
      <c r="CB235" s="30"/>
      <c r="CD235" s="30"/>
      <c r="CE235" s="30"/>
      <c r="CH235" s="30"/>
      <c r="CL235" s="30"/>
      <c r="CO235" s="30"/>
      <c r="CR235" s="30"/>
      <c r="CV235" s="30"/>
      <c r="CY235" s="30"/>
    </row>
    <row r="236" spans="1:105" s="63" customFormat="1" x14ac:dyDescent="0.3">
      <c r="A236" s="47"/>
      <c r="B236" s="51"/>
      <c r="F236" s="51"/>
      <c r="G236" s="51"/>
      <c r="H236" s="51"/>
      <c r="I236" s="47"/>
      <c r="J236" s="47"/>
      <c r="P236" s="51"/>
      <c r="Q236" s="51"/>
      <c r="R236" s="47"/>
      <c r="S236" s="47"/>
      <c r="T236" s="47"/>
      <c r="X236" s="47"/>
      <c r="AI236" s="47"/>
      <c r="AJ236" s="47"/>
      <c r="AM236" s="47"/>
      <c r="AP236" s="51"/>
      <c r="AQ236" s="51"/>
      <c r="AS236" s="47"/>
      <c r="AW236" s="47"/>
      <c r="BB236" s="47"/>
      <c r="BJ236" s="47"/>
      <c r="BM236" s="51"/>
      <c r="BP236" s="47"/>
      <c r="BV236" s="47"/>
      <c r="BZ236" s="47"/>
      <c r="CF236" s="47"/>
      <c r="CI236" s="47"/>
      <c r="CM236" s="47"/>
      <c r="CP236" s="47"/>
      <c r="CS236" s="47"/>
      <c r="CW236" s="47"/>
      <c r="CZ236" s="47"/>
    </row>
    <row r="237" spans="1:105" s="63" customFormat="1" x14ac:dyDescent="0.3">
      <c r="A237" s="47"/>
      <c r="B237" s="47">
        <v>1</v>
      </c>
      <c r="C237" s="30" t="s">
        <v>26</v>
      </c>
      <c r="D237" s="65">
        <v>108</v>
      </c>
      <c r="E237" s="30" t="s">
        <v>100</v>
      </c>
      <c r="H237" s="30"/>
      <c r="I237" s="30"/>
      <c r="J237" s="30"/>
      <c r="K237" s="30"/>
      <c r="L237" s="30"/>
      <c r="M237" s="30"/>
      <c r="N237" s="30"/>
      <c r="O237" s="65"/>
      <c r="P237" s="65"/>
      <c r="Q237" s="30"/>
      <c r="R237" s="30"/>
      <c r="S237" s="30"/>
      <c r="T237" s="30"/>
      <c r="U237" s="30"/>
      <c r="X237" s="30"/>
      <c r="Y237" s="30"/>
      <c r="Z237" s="69"/>
      <c r="AA237" s="69"/>
      <c r="AB237" s="69"/>
      <c r="AC237" s="47"/>
      <c r="AD237" s="47"/>
      <c r="AE237" s="47"/>
      <c r="AF237" s="30"/>
      <c r="AG237" s="30"/>
      <c r="AH237" s="30"/>
      <c r="AI237" s="30"/>
      <c r="AJ237" s="70"/>
      <c r="AK237" s="30"/>
      <c r="AL237" s="70"/>
      <c r="AM237" s="30"/>
      <c r="AN237" s="30"/>
      <c r="AO237" s="51"/>
      <c r="AP237" s="47"/>
      <c r="AQ237" s="47"/>
      <c r="AR237" s="30"/>
      <c r="AS237" s="30"/>
      <c r="AT237" s="47"/>
      <c r="AU237" s="30"/>
      <c r="AV237" s="47"/>
      <c r="AW237" s="30"/>
      <c r="AY237" s="30"/>
      <c r="BB237" s="30"/>
      <c r="BC237" s="30"/>
      <c r="BG237" s="30"/>
      <c r="BJ237" s="30"/>
      <c r="BK237" s="30"/>
      <c r="BN237" s="30"/>
      <c r="BP237" s="30"/>
      <c r="BR237" s="30"/>
      <c r="BU237" s="30"/>
      <c r="BV237" s="30"/>
      <c r="BY237" s="30"/>
      <c r="BZ237" s="30"/>
      <c r="CB237" s="30"/>
      <c r="CE237" s="30"/>
      <c r="CF237" s="30"/>
      <c r="CI237" s="30"/>
      <c r="CM237" s="30"/>
      <c r="CP237" s="30"/>
      <c r="CS237" s="30"/>
      <c r="CW237" s="30"/>
      <c r="CZ237" s="30"/>
    </row>
    <row r="238" spans="1:105" s="63" customFormat="1" x14ac:dyDescent="0.3">
      <c r="A238" s="47"/>
      <c r="B238" s="47">
        <v>1</v>
      </c>
      <c r="C238" s="30" t="s">
        <v>101</v>
      </c>
      <c r="D238" s="65">
        <v>32.5</v>
      </c>
      <c r="E238" s="30" t="s">
        <v>100</v>
      </c>
      <c r="F238" s="47"/>
      <c r="G238" s="47"/>
      <c r="H238" s="30"/>
      <c r="I238" s="30"/>
      <c r="J238" s="30"/>
      <c r="K238" s="30"/>
      <c r="L238" s="30"/>
      <c r="M238" s="30"/>
      <c r="N238" s="30"/>
      <c r="O238" s="65"/>
      <c r="P238" s="65"/>
      <c r="Q238" s="30"/>
      <c r="R238" s="30"/>
      <c r="S238" s="30"/>
      <c r="T238" s="30"/>
      <c r="U238" s="30"/>
      <c r="X238" s="30"/>
      <c r="Y238" s="30"/>
      <c r="Z238" s="69"/>
      <c r="AA238" s="69"/>
      <c r="AB238" s="69"/>
      <c r="AC238" s="47"/>
      <c r="AD238" s="47"/>
      <c r="AE238" s="47"/>
      <c r="AF238" s="30"/>
      <c r="AG238" s="30"/>
      <c r="AH238" s="30"/>
      <c r="AI238" s="30"/>
      <c r="AJ238" s="70"/>
      <c r="AK238" s="30"/>
      <c r="AL238" s="70"/>
      <c r="AM238" s="30"/>
      <c r="AN238" s="30"/>
      <c r="AO238" s="51"/>
      <c r="AP238" s="47"/>
      <c r="AQ238" s="47"/>
      <c r="AR238" s="30"/>
      <c r="AS238" s="30"/>
      <c r="AT238" s="47"/>
      <c r="AU238" s="30"/>
      <c r="AV238" s="47"/>
      <c r="AW238" s="30"/>
      <c r="AY238" s="30"/>
      <c r="BB238" s="30"/>
      <c r="BC238" s="30"/>
      <c r="BG238" s="30"/>
      <c r="BJ238" s="30"/>
      <c r="BK238" s="30"/>
      <c r="BN238" s="30"/>
      <c r="BP238" s="30"/>
      <c r="BR238" s="30"/>
      <c r="BU238" s="30"/>
      <c r="BV238" s="30"/>
      <c r="BY238" s="30"/>
      <c r="BZ238" s="30"/>
      <c r="CB238" s="30"/>
      <c r="CE238" s="30"/>
      <c r="CF238" s="30"/>
      <c r="CI238" s="30"/>
      <c r="CM238" s="30"/>
      <c r="CP238" s="30"/>
      <c r="CS238" s="30"/>
      <c r="CW238" s="30"/>
      <c r="CZ238" s="30"/>
    </row>
    <row r="239" spans="1:105" s="63" customFormat="1" x14ac:dyDescent="0.3">
      <c r="A239" s="47"/>
      <c r="B239" s="47">
        <v>1</v>
      </c>
      <c r="C239" s="30" t="s">
        <v>17</v>
      </c>
      <c r="D239" s="65">
        <v>112</v>
      </c>
      <c r="E239" s="30" t="s">
        <v>56</v>
      </c>
      <c r="H239" s="30"/>
      <c r="I239" s="30"/>
      <c r="J239" s="30"/>
      <c r="K239" s="30"/>
      <c r="L239" s="30"/>
      <c r="M239" s="30"/>
      <c r="N239" s="30"/>
      <c r="O239" s="65"/>
      <c r="P239" s="65"/>
      <c r="Q239" s="30"/>
      <c r="R239" s="30"/>
      <c r="S239" s="30"/>
      <c r="T239" s="30"/>
      <c r="U239" s="30"/>
      <c r="X239" s="30"/>
      <c r="Y239" s="30"/>
      <c r="Z239" s="69"/>
      <c r="AA239" s="69"/>
      <c r="AB239" s="69"/>
      <c r="AC239" s="47"/>
      <c r="AD239" s="47"/>
      <c r="AE239" s="47"/>
      <c r="AF239" s="30"/>
      <c r="AG239" s="30"/>
      <c r="AH239" s="30"/>
      <c r="AI239" s="30"/>
      <c r="AJ239" s="70"/>
      <c r="AK239" s="30"/>
      <c r="AL239" s="70"/>
      <c r="AM239" s="30"/>
      <c r="AN239" s="30"/>
      <c r="AO239" s="51"/>
      <c r="AP239" s="47"/>
      <c r="AQ239" s="47"/>
      <c r="AR239" s="30"/>
      <c r="AS239" s="30"/>
      <c r="AT239" s="47"/>
      <c r="AU239" s="30"/>
      <c r="AV239" s="47"/>
      <c r="AW239" s="30"/>
      <c r="AY239" s="30"/>
      <c r="BB239" s="30"/>
      <c r="BC239" s="30"/>
      <c r="BG239" s="30"/>
      <c r="BJ239" s="30"/>
      <c r="BK239" s="30"/>
      <c r="BN239" s="30"/>
      <c r="BP239" s="30"/>
      <c r="BR239" s="30"/>
      <c r="BU239" s="30"/>
      <c r="BV239" s="30"/>
      <c r="BY239" s="30"/>
      <c r="BZ239" s="30"/>
      <c r="CB239" s="30"/>
      <c r="CE239" s="30"/>
      <c r="CF239" s="30"/>
      <c r="CI239" s="30"/>
      <c r="CM239" s="30"/>
      <c r="CP239" s="30"/>
      <c r="CS239" s="30"/>
      <c r="CW239" s="30"/>
      <c r="CZ239" s="30"/>
    </row>
    <row r="240" spans="1:105" s="63" customFormat="1" ht="14.4" customHeight="1" x14ac:dyDescent="0.3">
      <c r="A240" s="47"/>
      <c r="B240" s="109">
        <v>1</v>
      </c>
      <c r="C240" s="110" t="s">
        <v>103</v>
      </c>
      <c r="D240" s="111">
        <v>130</v>
      </c>
      <c r="E240" s="112" t="s">
        <v>100</v>
      </c>
      <c r="H240" s="30"/>
      <c r="I240" s="30"/>
      <c r="J240" s="30"/>
      <c r="K240" s="45"/>
      <c r="L240" s="45"/>
      <c r="M240" s="45"/>
      <c r="N240" s="45"/>
      <c r="O240" s="65"/>
      <c r="P240" s="65"/>
      <c r="Q240" s="30"/>
      <c r="R240" s="30"/>
      <c r="S240" s="30"/>
      <c r="T240" s="30"/>
      <c r="U240" s="45"/>
      <c r="X240" s="30"/>
      <c r="Y240" s="45"/>
      <c r="Z240" s="69"/>
      <c r="AA240" s="69"/>
      <c r="AB240" s="69"/>
      <c r="AC240" s="47"/>
      <c r="AD240" s="47"/>
      <c r="AE240" s="47"/>
      <c r="AF240" s="45"/>
      <c r="AG240" s="45"/>
      <c r="AH240" s="45"/>
      <c r="AI240" s="30"/>
      <c r="AJ240" s="70"/>
      <c r="AK240" s="45"/>
      <c r="AL240" s="70"/>
      <c r="AM240" s="30"/>
      <c r="AN240" s="45"/>
      <c r="AO240" s="51"/>
      <c r="AP240" s="47"/>
      <c r="AQ240" s="47"/>
      <c r="AR240" s="45"/>
      <c r="AS240" s="30"/>
      <c r="AT240" s="47"/>
      <c r="AU240" s="45"/>
      <c r="AV240" s="47"/>
      <c r="AW240" s="30"/>
      <c r="AY240" s="45"/>
      <c r="BB240" s="30"/>
      <c r="BC240" s="45"/>
      <c r="BG240" s="45"/>
      <c r="BJ240" s="30"/>
      <c r="BK240" s="45"/>
      <c r="BN240" s="45"/>
      <c r="BP240" s="30"/>
      <c r="BR240" s="45"/>
      <c r="BU240" s="45"/>
      <c r="BV240" s="30"/>
      <c r="BY240" s="45"/>
      <c r="BZ240" s="30"/>
      <c r="CB240" s="45"/>
      <c r="CE240" s="45"/>
      <c r="CF240" s="30"/>
      <c r="CI240" s="30"/>
      <c r="CM240" s="30"/>
      <c r="CP240" s="30"/>
      <c r="CS240" s="30"/>
      <c r="CW240" s="30"/>
      <c r="CZ240" s="30"/>
    </row>
    <row r="241" spans="1:104" s="63" customFormat="1" ht="14.4" customHeight="1" x14ac:dyDescent="0.3">
      <c r="A241" s="47"/>
      <c r="B241" s="109"/>
      <c r="C241" s="110"/>
      <c r="D241" s="111"/>
      <c r="E241" s="112"/>
      <c r="F241" s="47"/>
      <c r="G241" s="47"/>
      <c r="H241" s="30"/>
      <c r="I241" s="30"/>
      <c r="J241" s="30"/>
      <c r="K241" s="45"/>
      <c r="L241" s="45"/>
      <c r="M241" s="45"/>
      <c r="N241" s="45"/>
      <c r="O241" s="65"/>
      <c r="P241" s="65"/>
      <c r="Q241" s="30"/>
      <c r="R241" s="30"/>
      <c r="S241" s="30"/>
      <c r="T241" s="30"/>
      <c r="U241" s="45"/>
      <c r="X241" s="30"/>
      <c r="Y241" s="45"/>
      <c r="Z241" s="69"/>
      <c r="AA241" s="69"/>
      <c r="AB241" s="69"/>
      <c r="AC241" s="47"/>
      <c r="AD241" s="47"/>
      <c r="AE241" s="47"/>
      <c r="AF241" s="45"/>
      <c r="AG241" s="45"/>
      <c r="AH241" s="45"/>
      <c r="AI241" s="30"/>
      <c r="AJ241" s="70"/>
      <c r="AK241" s="45"/>
      <c r="AL241" s="70"/>
      <c r="AM241" s="30"/>
      <c r="AN241" s="45"/>
      <c r="AO241" s="51"/>
      <c r="AP241" s="47"/>
      <c r="AQ241" s="47"/>
      <c r="AR241" s="45"/>
      <c r="AS241" s="30"/>
      <c r="AT241" s="47"/>
      <c r="AU241" s="45"/>
      <c r="AV241" s="47"/>
      <c r="AW241" s="30"/>
      <c r="AY241" s="45"/>
      <c r="BB241" s="30"/>
      <c r="BC241" s="45"/>
      <c r="BG241" s="45"/>
      <c r="BJ241" s="30"/>
      <c r="BK241" s="45"/>
      <c r="BN241" s="45"/>
      <c r="BP241" s="30"/>
      <c r="BR241" s="45"/>
      <c r="BU241" s="45"/>
      <c r="BV241" s="30"/>
      <c r="BY241" s="45"/>
      <c r="BZ241" s="30"/>
      <c r="CB241" s="45"/>
      <c r="CE241" s="45"/>
      <c r="CF241" s="30"/>
      <c r="CI241" s="30"/>
      <c r="CM241" s="30"/>
      <c r="CP241" s="30"/>
      <c r="CS241" s="30"/>
      <c r="CW241" s="30"/>
      <c r="CZ241" s="30"/>
    </row>
    <row r="242" spans="1:104" s="63" customFormat="1" x14ac:dyDescent="0.3">
      <c r="A242" s="47"/>
      <c r="B242" s="68">
        <v>1</v>
      </c>
      <c r="C242" s="30" t="s">
        <v>104</v>
      </c>
      <c r="D242" s="65">
        <v>260</v>
      </c>
      <c r="E242" s="30" t="s">
        <v>100</v>
      </c>
      <c r="F242" s="47"/>
      <c r="G242" s="47"/>
      <c r="H242" s="30"/>
      <c r="I242" s="30"/>
      <c r="J242" s="30"/>
      <c r="K242" s="30"/>
      <c r="L242" s="30"/>
      <c r="M242" s="30"/>
      <c r="N242" s="30"/>
      <c r="O242" s="65"/>
      <c r="P242" s="65"/>
      <c r="Q242" s="30"/>
      <c r="R242" s="30"/>
      <c r="S242" s="30"/>
      <c r="T242" s="30"/>
      <c r="U242" s="30"/>
      <c r="X242" s="30"/>
      <c r="Y242" s="30"/>
      <c r="Z242" s="69"/>
      <c r="AA242" s="69"/>
      <c r="AB242" s="69"/>
      <c r="AC242" s="47"/>
      <c r="AD242" s="47"/>
      <c r="AE242" s="47"/>
      <c r="AF242" s="30"/>
      <c r="AG242" s="30"/>
      <c r="AH242" s="30"/>
      <c r="AI242" s="30"/>
      <c r="AJ242" s="70"/>
      <c r="AK242" s="30"/>
      <c r="AL242" s="70"/>
      <c r="AM242" s="30"/>
      <c r="AN242" s="30"/>
      <c r="AO242" s="51"/>
      <c r="AP242" s="47"/>
      <c r="AQ242" s="47"/>
      <c r="AR242" s="30"/>
      <c r="AS242" s="30"/>
      <c r="AT242" s="47"/>
      <c r="AU242" s="30"/>
      <c r="AV242" s="47"/>
      <c r="AW242" s="30"/>
      <c r="AY242" s="30"/>
      <c r="BB242" s="30"/>
      <c r="BC242" s="30"/>
      <c r="BG242" s="30"/>
      <c r="BJ242" s="30"/>
      <c r="BK242" s="30"/>
      <c r="BN242" s="30"/>
      <c r="BP242" s="30"/>
      <c r="BR242" s="30"/>
      <c r="BU242" s="30"/>
      <c r="BV242" s="30"/>
      <c r="BY242" s="30"/>
      <c r="BZ242" s="30"/>
      <c r="CB242" s="30"/>
      <c r="CE242" s="30"/>
      <c r="CF242" s="30"/>
      <c r="CI242" s="30"/>
      <c r="CM242" s="30"/>
      <c r="CP242" s="30"/>
      <c r="CS242" s="30"/>
      <c r="CW242" s="30"/>
      <c r="CZ242" s="30"/>
    </row>
    <row r="243" spans="1:104" s="63" customFormat="1" x14ac:dyDescent="0.3">
      <c r="A243" s="47"/>
      <c r="B243" s="68">
        <v>1</v>
      </c>
      <c r="C243" s="30" t="s">
        <v>659</v>
      </c>
      <c r="D243" s="65">
        <f>D240/D239</f>
        <v>1.1607142857142858</v>
      </c>
      <c r="E243" s="30" t="s">
        <v>105</v>
      </c>
      <c r="F243" s="47"/>
      <c r="G243" s="47"/>
      <c r="H243" s="30"/>
      <c r="I243" s="30"/>
      <c r="J243" s="30"/>
      <c r="K243" s="30"/>
      <c r="L243" s="30"/>
      <c r="M243" s="30"/>
      <c r="N243" s="30"/>
      <c r="O243" s="65"/>
      <c r="P243" s="65"/>
      <c r="Q243" s="30"/>
      <c r="R243" s="30"/>
      <c r="S243" s="30"/>
      <c r="T243" s="30"/>
      <c r="U243" s="30"/>
      <c r="X243" s="30"/>
      <c r="Y243" s="30"/>
      <c r="Z243" s="69"/>
      <c r="AA243" s="69"/>
      <c r="AB243" s="69"/>
      <c r="AC243" s="47"/>
      <c r="AD243" s="47"/>
      <c r="AE243" s="47"/>
      <c r="AF243" s="30"/>
      <c r="AG243" s="30"/>
      <c r="AH243" s="30"/>
      <c r="AI243" s="30"/>
      <c r="AJ243" s="70"/>
      <c r="AK243" s="30"/>
      <c r="AL243" s="70"/>
      <c r="AM243" s="30"/>
      <c r="AN243" s="30"/>
      <c r="AO243" s="51"/>
      <c r="AP243" s="47"/>
      <c r="AQ243" s="47"/>
      <c r="AR243" s="30"/>
      <c r="AS243" s="30"/>
      <c r="AT243" s="47"/>
      <c r="AU243" s="30"/>
      <c r="AV243" s="47"/>
      <c r="AW243" s="30"/>
      <c r="AY243" s="30"/>
      <c r="BB243" s="30"/>
      <c r="BC243" s="30"/>
      <c r="BG243" s="30"/>
      <c r="BJ243" s="30"/>
      <c r="BK243" s="30"/>
      <c r="BN243" s="30"/>
      <c r="BP243" s="30"/>
      <c r="BR243" s="30"/>
      <c r="BU243" s="30"/>
      <c r="BV243" s="30"/>
      <c r="BY243" s="30"/>
      <c r="BZ243" s="30"/>
      <c r="CB243" s="30"/>
      <c r="CE243" s="30"/>
      <c r="CF243" s="30"/>
      <c r="CI243" s="30"/>
      <c r="CM243" s="30"/>
      <c r="CP243" s="30"/>
      <c r="CS243" s="30"/>
      <c r="CW243" s="30"/>
      <c r="CZ243" s="30"/>
    </row>
    <row r="244" spans="1:104" s="63" customFormat="1" x14ac:dyDescent="0.3">
      <c r="A244" s="47"/>
      <c r="B244" s="68">
        <v>1</v>
      </c>
      <c r="C244" s="30" t="s">
        <v>104</v>
      </c>
      <c r="D244" s="65">
        <f>D242/D239</f>
        <v>2.3214285714285716</v>
      </c>
      <c r="E244" s="30" t="s">
        <v>105</v>
      </c>
      <c r="F244" s="47"/>
      <c r="G244" s="47"/>
      <c r="H244" s="30"/>
      <c r="I244" s="30"/>
      <c r="J244" s="30"/>
      <c r="K244" s="30"/>
      <c r="L244" s="30"/>
      <c r="M244" s="30"/>
      <c r="N244" s="30"/>
      <c r="O244" s="65"/>
      <c r="P244" s="65"/>
      <c r="Q244" s="30"/>
      <c r="R244" s="30"/>
      <c r="S244" s="30"/>
      <c r="T244" s="30"/>
      <c r="U244" s="30"/>
      <c r="X244" s="30"/>
      <c r="Y244" s="30"/>
      <c r="Z244" s="69"/>
      <c r="AA244" s="69"/>
      <c r="AB244" s="69"/>
      <c r="AC244" s="47"/>
      <c r="AD244" s="47"/>
      <c r="AE244" s="47"/>
      <c r="AF244" s="30"/>
      <c r="AG244" s="30"/>
      <c r="AH244" s="30"/>
      <c r="AI244" s="30"/>
      <c r="AJ244" s="70"/>
      <c r="AK244" s="30"/>
      <c r="AL244" s="70"/>
      <c r="AM244" s="30"/>
      <c r="AN244" s="30"/>
      <c r="AO244" s="51"/>
      <c r="AP244" s="47"/>
      <c r="AQ244" s="47"/>
      <c r="AR244" s="30"/>
      <c r="AS244" s="30"/>
      <c r="AT244" s="47"/>
      <c r="AU244" s="30"/>
      <c r="AV244" s="47"/>
      <c r="AW244" s="30"/>
      <c r="AY244" s="30"/>
      <c r="BB244" s="30"/>
      <c r="BC244" s="30"/>
      <c r="BG244" s="30"/>
      <c r="BJ244" s="30"/>
      <c r="BK244" s="30"/>
      <c r="BN244" s="30"/>
      <c r="BP244" s="30"/>
      <c r="BR244" s="30"/>
      <c r="BU244" s="30"/>
      <c r="BV244" s="30"/>
      <c r="BY244" s="30"/>
      <c r="BZ244" s="30"/>
      <c r="CB244" s="30"/>
      <c r="CE244" s="30"/>
      <c r="CF244" s="30"/>
      <c r="CI244" s="30"/>
      <c r="CM244" s="30"/>
      <c r="CP244" s="30"/>
      <c r="CS244" s="30"/>
      <c r="CW244" s="30"/>
      <c r="CZ244" s="30"/>
    </row>
    <row r="245" spans="1:104" s="63" customFormat="1" x14ac:dyDescent="0.3">
      <c r="A245" s="47"/>
      <c r="B245" s="47"/>
      <c r="C245" s="47"/>
      <c r="D245" s="47"/>
      <c r="E245" s="47"/>
      <c r="F245" s="47"/>
      <c r="G245" s="47"/>
      <c r="H245" s="30"/>
      <c r="I245" s="30"/>
      <c r="J245" s="30"/>
      <c r="K245" s="47"/>
      <c r="L245" s="47"/>
      <c r="M245" s="47"/>
      <c r="N245" s="47"/>
      <c r="O245" s="65"/>
      <c r="P245" s="65"/>
      <c r="Q245" s="30"/>
      <c r="R245" s="30"/>
      <c r="S245" s="30"/>
      <c r="T245" s="30"/>
      <c r="U245" s="47"/>
      <c r="X245" s="30"/>
      <c r="Y245" s="47"/>
      <c r="Z245" s="69"/>
      <c r="AA245" s="69"/>
      <c r="AB245" s="69"/>
      <c r="AC245" s="47"/>
      <c r="AD245" s="47"/>
      <c r="AE245" s="47"/>
      <c r="AF245" s="47"/>
      <c r="AG245" s="47"/>
      <c r="AH245" s="47"/>
      <c r="AI245" s="30"/>
      <c r="AJ245" s="70"/>
      <c r="AK245" s="47"/>
      <c r="AL245" s="70"/>
      <c r="AM245" s="30"/>
      <c r="AN245" s="47"/>
      <c r="AO245" s="51"/>
      <c r="AP245" s="47"/>
      <c r="AQ245" s="47"/>
      <c r="AR245" s="47"/>
      <c r="AS245" s="30"/>
      <c r="AT245" s="47"/>
      <c r="AU245" s="47"/>
      <c r="AV245" s="47"/>
      <c r="AW245" s="30"/>
      <c r="AY245" s="47"/>
      <c r="BB245" s="30"/>
      <c r="BC245" s="47"/>
      <c r="BG245" s="47"/>
      <c r="BJ245" s="30"/>
      <c r="BK245" s="47"/>
      <c r="BN245" s="47"/>
      <c r="BP245" s="30"/>
      <c r="BR245" s="47"/>
      <c r="BU245" s="47"/>
      <c r="BV245" s="30"/>
      <c r="BY245" s="47"/>
      <c r="BZ245" s="30"/>
      <c r="CB245" s="47"/>
      <c r="CE245" s="47"/>
      <c r="CF245" s="30"/>
      <c r="CI245" s="30"/>
      <c r="CM245" s="30"/>
      <c r="CP245" s="30"/>
      <c r="CS245" s="30"/>
      <c r="CW245" s="30"/>
      <c r="CZ245" s="30"/>
    </row>
    <row r="246" spans="1:104" s="63" customFormat="1" x14ac:dyDescent="0.3">
      <c r="A246" s="47" t="s">
        <v>110</v>
      </c>
      <c r="B246" s="47">
        <v>1</v>
      </c>
      <c r="C246" s="31" t="s">
        <v>43</v>
      </c>
      <c r="D246" s="47">
        <v>373.33</v>
      </c>
      <c r="E246" s="30" t="s">
        <v>100</v>
      </c>
      <c r="F246" s="48">
        <f>D246/D239</f>
        <v>3.3333035714285715</v>
      </c>
      <c r="G246" s="30" t="s">
        <v>105</v>
      </c>
      <c r="H246" s="30"/>
      <c r="I246" s="30"/>
      <c r="J246" s="30"/>
      <c r="K246" s="30"/>
      <c r="L246" s="30"/>
      <c r="M246" s="30"/>
      <c r="N246" s="30"/>
      <c r="O246" s="65"/>
      <c r="P246" s="65"/>
      <c r="Q246" s="30"/>
      <c r="R246" s="30"/>
      <c r="S246" s="30"/>
      <c r="T246" s="30"/>
      <c r="U246" s="30"/>
      <c r="X246" s="30"/>
      <c r="Y246" s="30"/>
      <c r="Z246" s="69"/>
      <c r="AA246" s="69"/>
      <c r="AB246" s="69"/>
      <c r="AC246" s="47"/>
      <c r="AD246" s="47"/>
      <c r="AE246" s="47"/>
      <c r="AF246" s="30"/>
      <c r="AG246" s="30"/>
      <c r="AH246" s="30"/>
      <c r="AI246" s="30"/>
      <c r="AJ246" s="70"/>
      <c r="AK246" s="30"/>
      <c r="AL246" s="70"/>
      <c r="AM246" s="30"/>
      <c r="AN246" s="30"/>
      <c r="AO246" s="51"/>
      <c r="AP246" s="47"/>
      <c r="AQ246" s="47"/>
      <c r="AR246" s="30"/>
      <c r="AS246" s="30"/>
      <c r="AT246" s="47"/>
      <c r="AU246" s="30"/>
      <c r="AV246" s="47"/>
      <c r="AW246" s="30"/>
      <c r="AY246" s="30"/>
      <c r="BB246" s="30"/>
      <c r="BC246" s="30"/>
      <c r="BG246" s="30"/>
      <c r="BJ246" s="30"/>
      <c r="BK246" s="30"/>
      <c r="BN246" s="30"/>
      <c r="BP246" s="30"/>
      <c r="BR246" s="30"/>
      <c r="BU246" s="30"/>
      <c r="BV246" s="30"/>
      <c r="BY246" s="30"/>
      <c r="BZ246" s="30"/>
      <c r="CB246" s="30"/>
      <c r="CE246" s="30"/>
      <c r="CF246" s="30"/>
      <c r="CI246" s="30"/>
      <c r="CM246" s="30"/>
      <c r="CP246" s="30"/>
      <c r="CS246" s="30"/>
      <c r="CW246" s="30"/>
      <c r="CZ246" s="30"/>
    </row>
    <row r="247" spans="1:104" s="63" customFormat="1" x14ac:dyDescent="0.3">
      <c r="A247" s="47" t="s">
        <v>49</v>
      </c>
      <c r="B247" s="47">
        <v>1</v>
      </c>
      <c r="C247" s="31" t="s">
        <v>26</v>
      </c>
      <c r="D247" s="47">
        <v>0.5</v>
      </c>
      <c r="E247" s="30" t="s">
        <v>105</v>
      </c>
      <c r="F247" s="47"/>
      <c r="G247" s="47"/>
      <c r="H247" s="30"/>
      <c r="I247" s="30"/>
      <c r="J247" s="30"/>
      <c r="K247" s="30"/>
      <c r="L247" s="30"/>
      <c r="M247" s="30"/>
      <c r="N247" s="30"/>
      <c r="O247" s="65"/>
      <c r="P247" s="65"/>
      <c r="Q247" s="30"/>
      <c r="R247" s="30"/>
      <c r="S247" s="30"/>
      <c r="T247" s="30"/>
      <c r="U247" s="30"/>
      <c r="X247" s="30"/>
      <c r="Y247" s="30"/>
      <c r="Z247" s="69"/>
      <c r="AA247" s="69"/>
      <c r="AB247" s="69"/>
      <c r="AC247" s="47"/>
      <c r="AD247" s="47"/>
      <c r="AE247" s="47"/>
      <c r="AF247" s="30"/>
      <c r="AG247" s="30"/>
      <c r="AH247" s="30"/>
      <c r="AI247" s="30"/>
      <c r="AJ247" s="70"/>
      <c r="AK247" s="30"/>
      <c r="AL247" s="70"/>
      <c r="AM247" s="30"/>
      <c r="AN247" s="30"/>
      <c r="AO247" s="51"/>
      <c r="AP247" s="47"/>
      <c r="AQ247" s="47"/>
      <c r="AR247" s="30"/>
      <c r="AS247" s="30"/>
      <c r="AT247" s="47"/>
      <c r="AU247" s="30"/>
      <c r="AV247" s="47"/>
      <c r="AW247" s="30"/>
      <c r="AY247" s="30"/>
      <c r="BB247" s="30"/>
      <c r="BC247" s="30"/>
      <c r="BG247" s="30"/>
      <c r="BJ247" s="30"/>
      <c r="BK247" s="30"/>
      <c r="BN247" s="30"/>
      <c r="BP247" s="30"/>
      <c r="BR247" s="30"/>
      <c r="BU247" s="30"/>
      <c r="BV247" s="30"/>
      <c r="BY247" s="30"/>
      <c r="BZ247" s="30"/>
      <c r="CB247" s="30"/>
      <c r="CE247" s="30"/>
      <c r="CF247" s="30"/>
      <c r="CI247" s="30"/>
      <c r="CM247" s="30"/>
      <c r="CP247" s="30"/>
      <c r="CS247" s="30"/>
      <c r="CW247" s="30"/>
      <c r="CZ247" s="30"/>
    </row>
    <row r="248" spans="1:104" s="63" customFormat="1" x14ac:dyDescent="0.3">
      <c r="A248" s="47" t="s">
        <v>8</v>
      </c>
      <c r="B248" s="47">
        <v>1</v>
      </c>
      <c r="C248" s="30" t="s">
        <v>111</v>
      </c>
      <c r="D248" s="65">
        <v>1.5</v>
      </c>
      <c r="E248" s="30" t="s">
        <v>105</v>
      </c>
      <c r="F248" s="65">
        <f>D248/D231</f>
        <v>7.4999999999999997E-2</v>
      </c>
      <c r="G248" s="30" t="s">
        <v>31</v>
      </c>
      <c r="H248" s="30"/>
      <c r="I248" s="30"/>
      <c r="J248" s="30"/>
      <c r="K248" s="30"/>
      <c r="L248" s="30"/>
      <c r="M248" s="30"/>
      <c r="N248" s="30"/>
      <c r="O248" s="65"/>
      <c r="P248" s="65"/>
      <c r="Q248" s="30"/>
      <c r="R248" s="30"/>
      <c r="S248" s="30"/>
      <c r="T248" s="30"/>
      <c r="U248" s="30"/>
      <c r="X248" s="30"/>
      <c r="Y248" s="30"/>
      <c r="Z248" s="69"/>
      <c r="AA248" s="69"/>
      <c r="AB248" s="69"/>
      <c r="AC248" s="47"/>
      <c r="AD248" s="47"/>
      <c r="AE248" s="47"/>
      <c r="AF248" s="30"/>
      <c r="AG248" s="30"/>
      <c r="AH248" s="30"/>
      <c r="AI248" s="30"/>
      <c r="AJ248" s="70"/>
      <c r="AK248" s="30"/>
      <c r="AL248" s="70"/>
      <c r="AM248" s="30"/>
      <c r="AN248" s="30"/>
      <c r="AO248" s="51"/>
      <c r="AP248" s="47"/>
      <c r="AQ248" s="47"/>
      <c r="AR248" s="30"/>
      <c r="AS248" s="30"/>
      <c r="AT248" s="47"/>
      <c r="AU248" s="30"/>
      <c r="AV248" s="47"/>
      <c r="AW248" s="30"/>
      <c r="AY248" s="30"/>
      <c r="BB248" s="30"/>
      <c r="BC248" s="30"/>
      <c r="BG248" s="30"/>
      <c r="BJ248" s="30"/>
      <c r="BK248" s="30"/>
      <c r="BN248" s="30"/>
      <c r="BP248" s="30"/>
      <c r="BR248" s="30"/>
      <c r="BU248" s="30"/>
      <c r="BV248" s="30"/>
      <c r="BY248" s="30"/>
      <c r="BZ248" s="30"/>
      <c r="CB248" s="30"/>
      <c r="CE248" s="30"/>
      <c r="CF248" s="30"/>
      <c r="CI248" s="30"/>
      <c r="CM248" s="30"/>
      <c r="CP248" s="30"/>
      <c r="CS248" s="30"/>
      <c r="CW248" s="30"/>
      <c r="CZ248" s="30"/>
    </row>
    <row r="249" spans="1:104" s="63" customFormat="1" x14ac:dyDescent="0.3">
      <c r="A249" s="47" t="s">
        <v>60</v>
      </c>
      <c r="B249" s="47">
        <v>1</v>
      </c>
      <c r="C249" s="30" t="s">
        <v>111</v>
      </c>
      <c r="D249" s="65">
        <v>1.75</v>
      </c>
      <c r="E249" s="30" t="s">
        <v>105</v>
      </c>
      <c r="G249" s="30"/>
      <c r="H249" s="30"/>
      <c r="I249" s="30"/>
      <c r="J249" s="30"/>
      <c r="K249" s="30"/>
      <c r="L249" s="30"/>
      <c r="M249" s="30"/>
      <c r="N249" s="30"/>
      <c r="O249" s="65"/>
      <c r="P249" s="65"/>
      <c r="Q249" s="30"/>
      <c r="R249" s="30"/>
      <c r="S249" s="30"/>
      <c r="T249" s="30"/>
      <c r="U249" s="30"/>
      <c r="X249" s="30"/>
      <c r="Y249" s="30"/>
      <c r="Z249" s="69"/>
      <c r="AA249" s="69"/>
      <c r="AB249" s="69"/>
      <c r="AC249" s="47"/>
      <c r="AD249" s="47"/>
      <c r="AE249" s="47"/>
      <c r="AF249" s="30"/>
      <c r="AG249" s="30"/>
      <c r="AH249" s="30"/>
      <c r="AI249" s="30"/>
      <c r="AJ249" s="70"/>
      <c r="AK249" s="30"/>
      <c r="AL249" s="70"/>
      <c r="AM249" s="30"/>
      <c r="AN249" s="30"/>
      <c r="AO249" s="51"/>
      <c r="AP249" s="47"/>
      <c r="AQ249" s="47"/>
      <c r="AR249" s="30"/>
      <c r="AS249" s="30"/>
      <c r="AT249" s="47"/>
      <c r="AU249" s="30"/>
      <c r="AV249" s="47"/>
      <c r="AW249" s="30"/>
      <c r="AY249" s="30"/>
      <c r="BB249" s="30"/>
      <c r="BC249" s="30"/>
      <c r="BG249" s="30"/>
      <c r="BJ249" s="30"/>
      <c r="BK249" s="30"/>
      <c r="BN249" s="30"/>
      <c r="BP249" s="30"/>
      <c r="BR249" s="30"/>
      <c r="BU249" s="30"/>
      <c r="BV249" s="30"/>
      <c r="BY249" s="30"/>
      <c r="BZ249" s="30"/>
      <c r="CB249" s="30"/>
      <c r="CE249" s="30"/>
      <c r="CF249" s="30"/>
      <c r="CI249" s="30"/>
      <c r="CM249" s="30"/>
      <c r="CP249" s="30"/>
      <c r="CS249" s="30"/>
      <c r="CW249" s="30"/>
      <c r="CZ249" s="30"/>
    </row>
    <row r="250" spans="1:104" s="63" customFormat="1" x14ac:dyDescent="0.3">
      <c r="A250" s="47" t="s">
        <v>112</v>
      </c>
      <c r="B250" s="47">
        <v>1</v>
      </c>
      <c r="C250" s="30" t="s">
        <v>111</v>
      </c>
      <c r="D250" s="65">
        <v>1.5</v>
      </c>
      <c r="E250" s="30" t="s">
        <v>105</v>
      </c>
      <c r="G250" s="30"/>
      <c r="H250" s="30"/>
      <c r="I250" s="30"/>
      <c r="J250" s="30"/>
      <c r="K250" s="30"/>
      <c r="L250" s="30"/>
      <c r="M250" s="30"/>
      <c r="N250" s="30"/>
      <c r="O250" s="65"/>
      <c r="P250" s="65"/>
      <c r="Q250" s="30"/>
      <c r="R250" s="30"/>
      <c r="S250" s="30"/>
      <c r="T250" s="30"/>
      <c r="U250" s="30"/>
      <c r="X250" s="30"/>
      <c r="Y250" s="30"/>
      <c r="Z250" s="69"/>
      <c r="AA250" s="69"/>
      <c r="AB250" s="69"/>
      <c r="AC250" s="47"/>
      <c r="AD250" s="47"/>
      <c r="AE250" s="47"/>
      <c r="AF250" s="30"/>
      <c r="AG250" s="30"/>
      <c r="AH250" s="30"/>
      <c r="AI250" s="30"/>
      <c r="AJ250" s="70"/>
      <c r="AK250" s="30"/>
      <c r="AL250" s="70"/>
      <c r="AM250" s="30"/>
      <c r="AN250" s="30"/>
      <c r="AO250" s="51"/>
      <c r="AP250" s="47"/>
      <c r="AQ250" s="47"/>
      <c r="AR250" s="30"/>
      <c r="AS250" s="30"/>
      <c r="AT250" s="47"/>
      <c r="AU250" s="30"/>
      <c r="AV250" s="47"/>
      <c r="AW250" s="30"/>
      <c r="AY250" s="30"/>
      <c r="BB250" s="30"/>
      <c r="BC250" s="30"/>
      <c r="BG250" s="30"/>
      <c r="BJ250" s="30"/>
      <c r="BK250" s="30"/>
      <c r="BN250" s="30"/>
      <c r="BP250" s="30"/>
      <c r="BR250" s="30"/>
      <c r="BU250" s="30"/>
      <c r="BV250" s="30"/>
      <c r="BY250" s="30"/>
      <c r="BZ250" s="30"/>
      <c r="CB250" s="30"/>
      <c r="CE250" s="30"/>
      <c r="CF250" s="30"/>
      <c r="CI250" s="30"/>
      <c r="CM250" s="30"/>
      <c r="CP250" s="30"/>
      <c r="CS250" s="30"/>
      <c r="CW250" s="30"/>
      <c r="CZ250" s="30"/>
    </row>
    <row r="251" spans="1:104" s="63" customFormat="1" x14ac:dyDescent="0.3">
      <c r="A251" s="47" t="s">
        <v>44</v>
      </c>
      <c r="B251" s="47">
        <v>1</v>
      </c>
      <c r="C251" s="30" t="s">
        <v>43</v>
      </c>
      <c r="D251" s="65">
        <v>1.26</v>
      </c>
      <c r="E251" s="30" t="s">
        <v>105</v>
      </c>
      <c r="G251" s="30"/>
      <c r="H251" s="30"/>
      <c r="I251" s="30"/>
      <c r="J251" s="30"/>
      <c r="K251" s="30"/>
      <c r="L251" s="30"/>
      <c r="M251" s="30"/>
      <c r="N251" s="30"/>
      <c r="O251" s="65"/>
      <c r="P251" s="65"/>
      <c r="Q251" s="30"/>
      <c r="R251" s="30"/>
      <c r="S251" s="30"/>
      <c r="T251" s="30"/>
      <c r="U251" s="30"/>
      <c r="X251" s="30"/>
      <c r="Y251" s="30"/>
      <c r="Z251" s="69"/>
      <c r="AA251" s="69"/>
      <c r="AB251" s="69"/>
      <c r="AC251" s="47"/>
      <c r="AD251" s="47"/>
      <c r="AE251" s="47"/>
      <c r="AF251" s="30"/>
      <c r="AG251" s="30"/>
      <c r="AH251" s="30"/>
      <c r="AI251" s="30"/>
      <c r="AJ251" s="70"/>
      <c r="AK251" s="30"/>
      <c r="AL251" s="70"/>
      <c r="AM251" s="30"/>
      <c r="AN251" s="30"/>
      <c r="AO251" s="51"/>
      <c r="AP251" s="47"/>
      <c r="AQ251" s="47"/>
      <c r="AR251" s="30"/>
      <c r="AS251" s="30"/>
      <c r="AT251" s="47"/>
      <c r="AU251" s="30"/>
      <c r="AV251" s="47"/>
      <c r="AW251" s="30"/>
      <c r="AY251" s="30"/>
      <c r="BB251" s="30"/>
      <c r="BC251" s="30"/>
      <c r="BG251" s="30"/>
      <c r="BJ251" s="30"/>
      <c r="BK251" s="30"/>
      <c r="BN251" s="30"/>
      <c r="BP251" s="30"/>
      <c r="BR251" s="30"/>
      <c r="BU251" s="30"/>
      <c r="BV251" s="30"/>
      <c r="BY251" s="30"/>
      <c r="BZ251" s="30"/>
      <c r="CB251" s="30"/>
      <c r="CE251" s="30"/>
      <c r="CF251" s="30"/>
      <c r="CI251" s="30"/>
      <c r="CM251" s="30"/>
      <c r="CP251" s="30"/>
      <c r="CS251" s="30"/>
      <c r="CW251" s="30"/>
      <c r="CZ251" s="30"/>
    </row>
    <row r="252" spans="1:104" s="63" customFormat="1" x14ac:dyDescent="0.3">
      <c r="A252" s="47" t="s">
        <v>58</v>
      </c>
      <c r="B252" s="47">
        <v>1</v>
      </c>
      <c r="C252" s="30" t="s">
        <v>113</v>
      </c>
      <c r="D252" s="65">
        <v>15.9</v>
      </c>
      <c r="E252" s="30" t="s">
        <v>105</v>
      </c>
      <c r="G252" s="30"/>
      <c r="H252" s="30"/>
      <c r="I252" s="30"/>
      <c r="J252" s="30"/>
      <c r="K252" s="30"/>
      <c r="L252" s="30"/>
      <c r="M252" s="30"/>
      <c r="N252" s="30"/>
      <c r="O252" s="65"/>
      <c r="P252" s="65"/>
      <c r="Q252" s="30"/>
      <c r="R252" s="30"/>
      <c r="S252" s="30"/>
      <c r="T252" s="30"/>
      <c r="U252" s="30"/>
      <c r="X252" s="30"/>
      <c r="Y252" s="30"/>
      <c r="Z252" s="69"/>
      <c r="AA252" s="69"/>
      <c r="AB252" s="69"/>
      <c r="AC252" s="47"/>
      <c r="AD252" s="47"/>
      <c r="AE252" s="47"/>
      <c r="AF252" s="30"/>
      <c r="AG252" s="30"/>
      <c r="AH252" s="30"/>
      <c r="AI252" s="30"/>
      <c r="AJ252" s="70"/>
      <c r="AK252" s="30"/>
      <c r="AL252" s="70"/>
      <c r="AM252" s="30"/>
      <c r="AN252" s="30"/>
      <c r="AO252" s="51"/>
      <c r="AP252" s="47"/>
      <c r="AQ252" s="47"/>
      <c r="AR252" s="30"/>
      <c r="AS252" s="30"/>
      <c r="AT252" s="47"/>
      <c r="AU252" s="30"/>
      <c r="AV252" s="47"/>
      <c r="AW252" s="30"/>
      <c r="AY252" s="30"/>
      <c r="BB252" s="30"/>
      <c r="BC252" s="30"/>
      <c r="BG252" s="30"/>
      <c r="BJ252" s="30"/>
      <c r="BK252" s="30"/>
      <c r="BN252" s="30"/>
      <c r="BP252" s="30"/>
      <c r="BR252" s="30"/>
      <c r="BU252" s="30"/>
      <c r="BV252" s="30"/>
      <c r="BY252" s="30"/>
      <c r="BZ252" s="30"/>
      <c r="CB252" s="30"/>
      <c r="CE252" s="30"/>
      <c r="CF252" s="30"/>
      <c r="CI252" s="30"/>
      <c r="CM252" s="30"/>
      <c r="CP252" s="30"/>
      <c r="CS252" s="30"/>
      <c r="CW252" s="30"/>
      <c r="CZ252" s="30"/>
    </row>
    <row r="253" spans="1:104" s="63" customFormat="1" x14ac:dyDescent="0.3">
      <c r="A253" s="47" t="s">
        <v>40</v>
      </c>
      <c r="B253" s="47">
        <v>1</v>
      </c>
      <c r="C253" s="30" t="s">
        <v>46</v>
      </c>
      <c r="D253" s="65">
        <f>439.681/D239</f>
        <v>3.9257232142857141</v>
      </c>
      <c r="E253" s="30" t="s">
        <v>105</v>
      </c>
      <c r="G253" s="30"/>
      <c r="I253" s="30"/>
      <c r="J253" s="30"/>
      <c r="K253" s="30"/>
      <c r="L253" s="30"/>
      <c r="M253" s="30"/>
      <c r="N253" s="30"/>
      <c r="O253" s="65"/>
      <c r="P253" s="65"/>
      <c r="Q253" s="30"/>
      <c r="R253" s="30"/>
      <c r="S253" s="30"/>
      <c r="T253" s="30"/>
      <c r="U253" s="30"/>
      <c r="X253" s="30"/>
      <c r="Y253" s="30"/>
      <c r="Z253" s="69"/>
      <c r="AA253" s="69"/>
      <c r="AB253" s="69"/>
      <c r="AC253" s="47"/>
      <c r="AD253" s="47"/>
      <c r="AE253" s="47"/>
      <c r="AF253" s="30"/>
      <c r="AG253" s="30"/>
      <c r="AH253" s="30"/>
      <c r="AI253" s="30"/>
      <c r="AJ253" s="70"/>
      <c r="AK253" s="30"/>
      <c r="AL253" s="70"/>
      <c r="AM253" s="30"/>
      <c r="AN253" s="30"/>
      <c r="AO253" s="51"/>
      <c r="AP253" s="47"/>
      <c r="AQ253" s="47"/>
      <c r="AR253" s="30"/>
      <c r="AS253" s="30"/>
      <c r="AT253" s="47"/>
      <c r="AU253" s="30"/>
      <c r="AV253" s="47"/>
      <c r="AW253" s="30"/>
      <c r="AY253" s="30"/>
      <c r="BB253" s="30"/>
      <c r="BC253" s="30"/>
      <c r="BG253" s="30"/>
      <c r="BJ253" s="30"/>
      <c r="BK253" s="30"/>
      <c r="BN253" s="30"/>
      <c r="BP253" s="30"/>
      <c r="BR253" s="30"/>
      <c r="BU253" s="30"/>
      <c r="BV253" s="30"/>
      <c r="BY253" s="30"/>
      <c r="BZ253" s="30"/>
      <c r="CB253" s="30"/>
      <c r="CE253" s="30"/>
      <c r="CF253" s="30"/>
      <c r="CI253" s="30"/>
      <c r="CM253" s="30"/>
      <c r="CP253" s="30"/>
      <c r="CS253" s="30"/>
      <c r="CW253" s="30"/>
      <c r="CZ253" s="30"/>
    </row>
    <row r="254" spans="1:104" s="63" customFormat="1" x14ac:dyDescent="0.3">
      <c r="A254" s="107" t="s">
        <v>51</v>
      </c>
      <c r="B254" s="47">
        <v>1</v>
      </c>
      <c r="C254" s="30" t="s">
        <v>46</v>
      </c>
      <c r="D254" s="65">
        <v>3</v>
      </c>
      <c r="E254" s="30" t="s">
        <v>105</v>
      </c>
      <c r="G254" s="30"/>
      <c r="I254" s="30"/>
      <c r="J254" s="30"/>
      <c r="K254" s="30"/>
      <c r="L254" s="30"/>
      <c r="M254" s="30"/>
      <c r="N254" s="30"/>
      <c r="R254" s="30"/>
      <c r="S254" s="30"/>
      <c r="T254" s="30"/>
      <c r="U254" s="30"/>
      <c r="X254" s="30"/>
      <c r="Y254" s="30"/>
      <c r="Z254" s="69"/>
      <c r="AA254" s="69"/>
      <c r="AB254" s="69"/>
      <c r="AC254" s="51"/>
      <c r="AD254" s="51"/>
      <c r="AE254" s="51"/>
      <c r="AF254" s="30"/>
      <c r="AG254" s="30"/>
      <c r="AH254" s="30"/>
      <c r="AI254" s="30"/>
      <c r="AJ254" s="70"/>
      <c r="AK254" s="30"/>
      <c r="AL254" s="70"/>
      <c r="AM254" s="30"/>
      <c r="AN254" s="30"/>
      <c r="AO254" s="51"/>
      <c r="AP254" s="47"/>
      <c r="AQ254" s="47"/>
      <c r="AR254" s="30"/>
      <c r="AS254" s="30"/>
      <c r="AT254" s="47"/>
      <c r="AU254" s="30"/>
      <c r="AV254" s="47"/>
      <c r="AW254" s="30"/>
      <c r="AY254" s="30"/>
      <c r="BB254" s="30"/>
      <c r="BC254" s="30"/>
      <c r="BG254" s="30"/>
      <c r="BJ254" s="30"/>
      <c r="BK254" s="30"/>
      <c r="BN254" s="30"/>
      <c r="BP254" s="30"/>
      <c r="BR254" s="30"/>
      <c r="BU254" s="30"/>
      <c r="BV254" s="30"/>
      <c r="BY254" s="30"/>
      <c r="BZ254" s="30"/>
      <c r="CB254" s="30"/>
      <c r="CE254" s="30"/>
      <c r="CF254" s="30"/>
      <c r="CI254" s="30"/>
      <c r="CM254" s="30"/>
      <c r="CP254" s="30"/>
      <c r="CS254" s="30"/>
      <c r="CW254" s="30"/>
      <c r="CZ254" s="30"/>
    </row>
    <row r="255" spans="1:104" s="63" customFormat="1" x14ac:dyDescent="0.3">
      <c r="A255" s="107"/>
      <c r="B255" s="47">
        <v>1</v>
      </c>
      <c r="C255" s="30" t="s">
        <v>125</v>
      </c>
      <c r="D255" s="65">
        <v>2.0271699999999999</v>
      </c>
      <c r="E255" s="30" t="s">
        <v>32</v>
      </c>
      <c r="F255" s="65">
        <f>D255*D254</f>
        <v>6.0815099999999997</v>
      </c>
      <c r="G255" s="30" t="s">
        <v>105</v>
      </c>
      <c r="I255" s="30"/>
      <c r="J255" s="30"/>
      <c r="K255" s="30"/>
      <c r="L255" s="30"/>
      <c r="M255" s="30"/>
      <c r="N255" s="30"/>
      <c r="R255" s="30"/>
      <c r="S255" s="30"/>
      <c r="T255" s="30"/>
      <c r="U255" s="30"/>
      <c r="X255" s="30"/>
      <c r="Y255" s="30"/>
      <c r="Z255" s="69"/>
      <c r="AA255" s="69"/>
      <c r="AB255" s="69"/>
      <c r="AC255" s="51"/>
      <c r="AD255" s="51"/>
      <c r="AE255" s="51"/>
      <c r="AF255" s="30"/>
      <c r="AG255" s="30"/>
      <c r="AH255" s="30"/>
      <c r="AI255" s="30"/>
      <c r="AJ255" s="70"/>
      <c r="AK255" s="30"/>
      <c r="AL255" s="70"/>
      <c r="AM255" s="30"/>
      <c r="AN255" s="30"/>
      <c r="AO255" s="51"/>
      <c r="AP255" s="47"/>
      <c r="AQ255" s="47"/>
      <c r="AR255" s="30"/>
      <c r="AS255" s="30"/>
      <c r="AT255" s="47"/>
      <c r="AU255" s="30"/>
      <c r="AV255" s="47"/>
      <c r="AW255" s="30"/>
      <c r="AY255" s="30"/>
      <c r="BB255" s="30"/>
      <c r="BC255" s="30"/>
      <c r="BG255" s="30"/>
      <c r="BJ255" s="30"/>
      <c r="BK255" s="30"/>
      <c r="BN255" s="30"/>
      <c r="BP255" s="30"/>
      <c r="BR255" s="30"/>
      <c r="BU255" s="30"/>
      <c r="BV255" s="30"/>
      <c r="BY255" s="30"/>
      <c r="BZ255" s="30"/>
      <c r="CB255" s="30"/>
      <c r="CE255" s="30"/>
      <c r="CF255" s="30"/>
      <c r="CI255" s="30"/>
      <c r="CM255" s="30"/>
      <c r="CP255" s="30"/>
      <c r="CS255" s="30"/>
      <c r="CW255" s="30"/>
      <c r="CZ255" s="30"/>
    </row>
    <row r="256" spans="1:104" s="63" customFormat="1" x14ac:dyDescent="0.3">
      <c r="A256" s="72" t="s">
        <v>92</v>
      </c>
      <c r="B256" s="47">
        <v>1</v>
      </c>
      <c r="C256" s="30" t="s">
        <v>43</v>
      </c>
      <c r="D256" s="65">
        <v>400</v>
      </c>
      <c r="E256" s="30" t="s">
        <v>56</v>
      </c>
      <c r="F256" s="65">
        <f>D256/D239</f>
        <v>3.5714285714285716</v>
      </c>
      <c r="G256" s="30" t="s">
        <v>105</v>
      </c>
      <c r="H256" s="65">
        <f>F256/D257</f>
        <v>1.1984659635666348</v>
      </c>
      <c r="I256" s="30" t="s">
        <v>32</v>
      </c>
      <c r="J256" s="30"/>
      <c r="K256" s="30"/>
      <c r="L256" s="30"/>
      <c r="M256" s="30"/>
      <c r="N256" s="30"/>
      <c r="R256" s="30"/>
      <c r="S256" s="30"/>
      <c r="T256" s="30"/>
      <c r="U256" s="30"/>
      <c r="X256" s="30"/>
      <c r="Y256" s="30"/>
      <c r="Z256" s="69"/>
      <c r="AA256" s="69"/>
      <c r="AB256" s="69"/>
      <c r="AC256" s="51"/>
      <c r="AD256" s="51"/>
      <c r="AE256" s="51"/>
      <c r="AF256" s="30"/>
      <c r="AG256" s="30"/>
      <c r="AH256" s="30"/>
      <c r="AI256" s="30"/>
      <c r="AJ256" s="70"/>
      <c r="AK256" s="30"/>
      <c r="AL256" s="70"/>
      <c r="AM256" s="30"/>
      <c r="AN256" s="30"/>
      <c r="AO256" s="51"/>
      <c r="AP256" s="47"/>
      <c r="AQ256" s="47"/>
      <c r="AR256" s="30"/>
      <c r="AS256" s="30"/>
      <c r="AT256" s="47"/>
      <c r="AU256" s="30"/>
      <c r="AV256" s="47"/>
      <c r="AW256" s="30"/>
      <c r="AY256" s="30"/>
      <c r="BB256" s="30"/>
      <c r="BC256" s="30"/>
      <c r="BG256" s="30"/>
      <c r="BJ256" s="30"/>
      <c r="BK256" s="30"/>
      <c r="BN256" s="30"/>
      <c r="BP256" s="30"/>
      <c r="BR256" s="30"/>
      <c r="BU256" s="30"/>
      <c r="BV256" s="30"/>
      <c r="BY256" s="30"/>
      <c r="BZ256" s="30"/>
      <c r="CB256" s="30"/>
      <c r="CE256" s="30"/>
      <c r="CF256" s="30"/>
      <c r="CI256" s="30"/>
      <c r="CM256" s="30"/>
      <c r="CP256" s="30"/>
      <c r="CS256" s="30"/>
      <c r="CW256" s="30"/>
      <c r="CZ256" s="30"/>
    </row>
    <row r="257" spans="1:104" s="63" customFormat="1" x14ac:dyDescent="0.3">
      <c r="A257" s="107" t="s">
        <v>34</v>
      </c>
      <c r="B257" s="47">
        <v>1</v>
      </c>
      <c r="C257" s="30" t="s">
        <v>46</v>
      </c>
      <c r="D257" s="65">
        <v>2.98</v>
      </c>
      <c r="E257" s="30" t="s">
        <v>105</v>
      </c>
      <c r="G257" s="30"/>
      <c r="I257" s="30"/>
      <c r="J257" s="30"/>
      <c r="K257" s="30"/>
      <c r="L257" s="30"/>
      <c r="M257" s="30"/>
      <c r="N257" s="30"/>
      <c r="R257" s="30"/>
      <c r="S257" s="30"/>
      <c r="T257" s="30"/>
      <c r="U257" s="30"/>
      <c r="X257" s="30"/>
      <c r="Y257" s="30"/>
      <c r="Z257" s="69"/>
      <c r="AA257" s="69"/>
      <c r="AB257" s="69"/>
      <c r="AC257" s="51"/>
      <c r="AD257" s="51"/>
      <c r="AE257" s="51"/>
      <c r="AF257" s="30"/>
      <c r="AG257" s="30"/>
      <c r="AH257" s="30"/>
      <c r="AI257" s="30"/>
      <c r="AJ257" s="70"/>
      <c r="AK257" s="30"/>
      <c r="AL257" s="70"/>
      <c r="AM257" s="30"/>
      <c r="AN257" s="30"/>
      <c r="AO257" s="51"/>
      <c r="AP257" s="47"/>
      <c r="AQ257" s="47"/>
      <c r="AR257" s="30"/>
      <c r="AS257" s="30"/>
      <c r="AT257" s="47"/>
      <c r="AU257" s="30"/>
      <c r="AV257" s="47"/>
      <c r="AW257" s="30"/>
      <c r="AY257" s="30"/>
      <c r="BB257" s="30"/>
      <c r="BC257" s="30"/>
      <c r="BG257" s="30"/>
      <c r="BJ257" s="30"/>
      <c r="BK257" s="30"/>
      <c r="BN257" s="30"/>
      <c r="BP257" s="30"/>
      <c r="BR257" s="30"/>
      <c r="BU257" s="30"/>
      <c r="BV257" s="30"/>
      <c r="BY257" s="30"/>
      <c r="BZ257" s="30"/>
      <c r="CB257" s="30"/>
      <c r="CE257" s="30"/>
      <c r="CF257" s="30"/>
      <c r="CI257" s="30"/>
      <c r="CM257" s="30"/>
      <c r="CP257" s="30"/>
      <c r="CS257" s="30"/>
      <c r="CW257" s="30"/>
      <c r="CZ257" s="30"/>
    </row>
    <row r="258" spans="1:104" s="63" customFormat="1" x14ac:dyDescent="0.3">
      <c r="A258" s="107"/>
      <c r="B258" s="47">
        <v>1</v>
      </c>
      <c r="C258" s="30" t="s">
        <v>43</v>
      </c>
      <c r="D258" s="65">
        <v>1.5</v>
      </c>
      <c r="E258" s="30" t="s">
        <v>32</v>
      </c>
      <c r="F258" s="63">
        <f>D258*D257</f>
        <v>4.47</v>
      </c>
      <c r="G258" s="30" t="s">
        <v>105</v>
      </c>
      <c r="I258" s="30"/>
      <c r="J258" s="30"/>
      <c r="K258" s="30"/>
      <c r="L258" s="30"/>
      <c r="M258" s="30"/>
      <c r="N258" s="30"/>
      <c r="R258" s="30"/>
      <c r="S258" s="30"/>
      <c r="T258" s="30"/>
      <c r="U258" s="30"/>
      <c r="X258" s="30"/>
      <c r="Y258" s="30"/>
      <c r="Z258" s="69"/>
      <c r="AA258" s="69"/>
      <c r="AB258" s="69"/>
      <c r="AC258" s="51"/>
      <c r="AD258" s="51"/>
      <c r="AE258" s="51"/>
      <c r="AF258" s="30"/>
      <c r="AG258" s="30"/>
      <c r="AH258" s="30"/>
      <c r="AI258" s="30"/>
      <c r="AJ258" s="70"/>
      <c r="AK258" s="30"/>
      <c r="AL258" s="70"/>
      <c r="AM258" s="30"/>
      <c r="AN258" s="30"/>
      <c r="AO258" s="51"/>
      <c r="AP258" s="47"/>
      <c r="AQ258" s="47"/>
      <c r="AR258" s="30"/>
      <c r="AS258" s="30"/>
      <c r="AT258" s="47"/>
      <c r="AU258" s="30"/>
      <c r="AV258" s="47"/>
      <c r="AW258" s="30"/>
      <c r="AY258" s="30"/>
      <c r="BB258" s="30"/>
      <c r="BC258" s="30"/>
      <c r="BG258" s="30"/>
      <c r="BJ258" s="30"/>
      <c r="BK258" s="30"/>
      <c r="BN258" s="30"/>
      <c r="BP258" s="30"/>
      <c r="BR258" s="30"/>
      <c r="BU258" s="30"/>
      <c r="BV258" s="30"/>
      <c r="BY258" s="30"/>
      <c r="BZ258" s="30"/>
      <c r="CB258" s="30"/>
      <c r="CE258" s="30"/>
      <c r="CF258" s="30"/>
      <c r="CI258" s="30"/>
      <c r="CM258" s="30"/>
      <c r="CP258" s="30"/>
      <c r="CS258" s="30"/>
      <c r="CW258" s="30"/>
      <c r="CZ258" s="30"/>
    </row>
    <row r="259" spans="1:104" s="63" customFormat="1" x14ac:dyDescent="0.3">
      <c r="A259" s="47" t="s">
        <v>89</v>
      </c>
      <c r="B259" s="47">
        <v>1</v>
      </c>
      <c r="C259" s="30" t="s">
        <v>114</v>
      </c>
      <c r="D259" s="65">
        <v>9</v>
      </c>
      <c r="E259" s="30" t="s">
        <v>18</v>
      </c>
      <c r="G259" s="30"/>
      <c r="I259" s="30"/>
      <c r="J259" s="30"/>
      <c r="K259" s="30"/>
      <c r="L259" s="30"/>
      <c r="M259" s="30"/>
      <c r="N259" s="30"/>
      <c r="R259" s="30"/>
      <c r="S259" s="30"/>
      <c r="T259" s="30"/>
      <c r="U259" s="30"/>
      <c r="X259" s="30"/>
      <c r="Y259" s="30"/>
      <c r="Z259" s="69"/>
      <c r="AA259" s="69"/>
      <c r="AB259" s="69"/>
      <c r="AC259" s="51"/>
      <c r="AD259" s="51"/>
      <c r="AE259" s="51"/>
      <c r="AF259" s="30"/>
      <c r="AG259" s="30"/>
      <c r="AH259" s="30"/>
      <c r="AI259" s="30"/>
      <c r="AJ259" s="70"/>
      <c r="AK259" s="30"/>
      <c r="AL259" s="70"/>
      <c r="AM259" s="30"/>
      <c r="AN259" s="30"/>
      <c r="AO259" s="51"/>
      <c r="AP259" s="47"/>
      <c r="AQ259" s="47"/>
      <c r="AR259" s="30"/>
      <c r="AS259" s="30"/>
      <c r="AT259" s="47"/>
      <c r="AU259" s="30"/>
      <c r="AV259" s="47"/>
      <c r="AW259" s="30"/>
      <c r="AY259" s="30"/>
      <c r="BB259" s="30"/>
      <c r="BC259" s="30"/>
      <c r="BG259" s="30"/>
      <c r="BJ259" s="30"/>
      <c r="BK259" s="30"/>
      <c r="BN259" s="30"/>
      <c r="BP259" s="30"/>
      <c r="BR259" s="30"/>
      <c r="BU259" s="30"/>
      <c r="BV259" s="30"/>
      <c r="BY259" s="30"/>
      <c r="BZ259" s="30"/>
      <c r="CB259" s="30"/>
      <c r="CE259" s="30"/>
      <c r="CF259" s="30"/>
      <c r="CI259" s="30"/>
      <c r="CM259" s="30"/>
      <c r="CP259" s="30"/>
      <c r="CS259" s="30"/>
      <c r="CW259" s="30"/>
      <c r="CZ259" s="30"/>
    </row>
    <row r="260" spans="1:104" s="63" customFormat="1" x14ac:dyDescent="0.3">
      <c r="A260" s="47" t="s">
        <v>115</v>
      </c>
      <c r="B260" s="47">
        <v>1</v>
      </c>
      <c r="C260" s="30" t="s">
        <v>116</v>
      </c>
      <c r="D260" s="65">
        <v>9</v>
      </c>
      <c r="E260" s="30" t="s">
        <v>18</v>
      </c>
      <c r="G260" s="30"/>
      <c r="I260" s="30"/>
      <c r="J260" s="30"/>
      <c r="K260" s="30"/>
      <c r="L260" s="30"/>
      <c r="M260" s="30"/>
      <c r="N260" s="30"/>
      <c r="R260" s="30"/>
      <c r="S260" s="30"/>
      <c r="T260" s="30"/>
      <c r="U260" s="30"/>
      <c r="X260" s="30"/>
      <c r="Y260" s="30"/>
      <c r="Z260" s="69"/>
      <c r="AA260" s="69"/>
      <c r="AB260" s="69"/>
      <c r="AC260" s="51"/>
      <c r="AD260" s="51"/>
      <c r="AE260" s="51"/>
      <c r="AF260" s="30"/>
      <c r="AG260" s="30"/>
      <c r="AH260" s="30"/>
      <c r="AI260" s="30"/>
      <c r="AJ260" s="70"/>
      <c r="AK260" s="30"/>
      <c r="AL260" s="70"/>
      <c r="AM260" s="30"/>
      <c r="AN260" s="30"/>
      <c r="AO260" s="51"/>
      <c r="AP260" s="47"/>
      <c r="AQ260" s="47"/>
      <c r="AR260" s="30"/>
      <c r="AS260" s="30"/>
      <c r="AT260" s="47"/>
      <c r="AU260" s="30"/>
      <c r="AV260" s="47"/>
      <c r="AW260" s="30"/>
      <c r="AY260" s="30"/>
      <c r="BB260" s="30"/>
      <c r="BC260" s="30"/>
      <c r="BG260" s="30"/>
      <c r="BJ260" s="30"/>
      <c r="BK260" s="30"/>
      <c r="BN260" s="30"/>
      <c r="BP260" s="30"/>
      <c r="BR260" s="30"/>
      <c r="BU260" s="30"/>
      <c r="BV260" s="30"/>
      <c r="BY260" s="30"/>
      <c r="BZ260" s="30"/>
      <c r="CB260" s="30"/>
      <c r="CE260" s="30"/>
      <c r="CF260" s="30"/>
      <c r="CI260" s="30"/>
      <c r="CM260" s="30"/>
      <c r="CP260" s="30"/>
      <c r="CS260" s="30"/>
      <c r="CW260" s="30"/>
      <c r="CZ260" s="30"/>
    </row>
    <row r="261" spans="1:104" s="63" customFormat="1" x14ac:dyDescent="0.3">
      <c r="A261" s="47" t="s">
        <v>10</v>
      </c>
      <c r="B261" s="47">
        <v>1</v>
      </c>
      <c r="C261" s="30" t="s">
        <v>111</v>
      </c>
      <c r="D261" s="65">
        <v>1.75</v>
      </c>
      <c r="E261" s="30" t="s">
        <v>105</v>
      </c>
      <c r="F261" s="63">
        <f>D261*D239</f>
        <v>196</v>
      </c>
      <c r="G261" s="30" t="s">
        <v>100</v>
      </c>
      <c r="I261" s="30"/>
      <c r="J261" s="30"/>
      <c r="K261" s="30"/>
      <c r="L261" s="30"/>
      <c r="M261" s="30"/>
      <c r="N261" s="30"/>
      <c r="R261" s="30"/>
      <c r="S261" s="30"/>
      <c r="T261" s="30"/>
      <c r="U261" s="30"/>
      <c r="X261" s="30"/>
      <c r="Y261" s="30"/>
      <c r="Z261" s="69"/>
      <c r="AA261" s="69"/>
      <c r="AB261" s="69"/>
      <c r="AC261" s="51"/>
      <c r="AD261" s="51"/>
      <c r="AE261" s="51"/>
      <c r="AF261" s="30"/>
      <c r="AG261" s="30"/>
      <c r="AH261" s="30"/>
      <c r="AI261" s="30"/>
      <c r="AJ261" s="70"/>
      <c r="AK261" s="30"/>
      <c r="AL261" s="70"/>
      <c r="AM261" s="30"/>
      <c r="AN261" s="30"/>
      <c r="AO261" s="51"/>
      <c r="AP261" s="47"/>
      <c r="AQ261" s="47"/>
      <c r="AR261" s="30"/>
      <c r="AS261" s="30"/>
      <c r="AT261" s="47"/>
      <c r="AU261" s="30"/>
      <c r="AV261" s="47"/>
      <c r="AW261" s="30"/>
      <c r="AY261" s="30"/>
      <c r="BB261" s="30"/>
      <c r="BC261" s="30"/>
      <c r="BG261" s="30"/>
      <c r="BJ261" s="30"/>
      <c r="BK261" s="30"/>
      <c r="BN261" s="30"/>
      <c r="BP261" s="30"/>
      <c r="BR261" s="30"/>
      <c r="BU261" s="30"/>
      <c r="BV261" s="30"/>
      <c r="BY261" s="30"/>
      <c r="BZ261" s="30"/>
      <c r="CB261" s="30"/>
      <c r="CE261" s="30"/>
      <c r="CF261" s="30"/>
      <c r="CI261" s="30"/>
      <c r="CM261" s="30"/>
      <c r="CP261" s="30"/>
      <c r="CS261" s="30"/>
      <c r="CW261" s="30"/>
      <c r="CZ261" s="30"/>
    </row>
    <row r="262" spans="1:104" s="63" customFormat="1" x14ac:dyDescent="0.3">
      <c r="A262" s="47" t="s">
        <v>10</v>
      </c>
      <c r="B262" s="47">
        <v>1</v>
      </c>
      <c r="C262" s="30" t="s">
        <v>43</v>
      </c>
      <c r="D262" s="65">
        <v>175</v>
      </c>
      <c r="E262" s="30" t="s">
        <v>100</v>
      </c>
      <c r="F262" s="65">
        <f>D262/D239</f>
        <v>1.5625</v>
      </c>
      <c r="G262" s="30" t="s">
        <v>17</v>
      </c>
      <c r="I262" s="30"/>
      <c r="J262" s="30"/>
      <c r="K262" s="30"/>
      <c r="L262" s="30"/>
      <c r="M262" s="30"/>
      <c r="N262" s="30"/>
      <c r="R262" s="30"/>
      <c r="S262" s="30"/>
      <c r="T262" s="30"/>
      <c r="U262" s="30"/>
      <c r="X262" s="30"/>
      <c r="Y262" s="30"/>
      <c r="Z262" s="69"/>
      <c r="AA262" s="69"/>
      <c r="AB262" s="69"/>
      <c r="AC262" s="51"/>
      <c r="AD262" s="51"/>
      <c r="AE262" s="51"/>
      <c r="AF262" s="30"/>
      <c r="AG262" s="30"/>
      <c r="AH262" s="30"/>
      <c r="AI262" s="30"/>
      <c r="AJ262" s="70"/>
      <c r="AK262" s="30"/>
      <c r="AL262" s="70"/>
      <c r="AM262" s="30"/>
      <c r="AN262" s="30"/>
      <c r="AO262" s="51"/>
      <c r="AP262" s="47"/>
      <c r="AQ262" s="47"/>
      <c r="AR262" s="30"/>
      <c r="AS262" s="30"/>
      <c r="AT262" s="47"/>
      <c r="AU262" s="30"/>
      <c r="AV262" s="47"/>
      <c r="AW262" s="30"/>
      <c r="AY262" s="30"/>
      <c r="BB262" s="30"/>
      <c r="BC262" s="30"/>
      <c r="BG262" s="30"/>
      <c r="BJ262" s="30"/>
      <c r="BK262" s="30"/>
      <c r="BN262" s="30"/>
      <c r="BP262" s="30"/>
      <c r="BR262" s="30"/>
      <c r="BU262" s="30"/>
      <c r="BV262" s="30"/>
      <c r="BY262" s="30"/>
      <c r="BZ262" s="30"/>
      <c r="CB262" s="30"/>
      <c r="CE262" s="30"/>
      <c r="CF262" s="30"/>
      <c r="CI262" s="30"/>
      <c r="CM262" s="30"/>
      <c r="CP262" s="30"/>
      <c r="CS262" s="30"/>
      <c r="CW262" s="30"/>
      <c r="CZ262" s="30"/>
    </row>
    <row r="263" spans="1:104" s="63" customFormat="1" x14ac:dyDescent="0.3">
      <c r="A263" s="47" t="s">
        <v>20</v>
      </c>
      <c r="B263" s="47">
        <v>1</v>
      </c>
      <c r="C263" s="30" t="s">
        <v>117</v>
      </c>
      <c r="D263" s="65">
        <v>0.15175</v>
      </c>
      <c r="E263" s="30" t="s">
        <v>105</v>
      </c>
      <c r="F263" s="65">
        <v>16.997</v>
      </c>
      <c r="G263" s="30" t="s">
        <v>100</v>
      </c>
      <c r="I263" s="30"/>
      <c r="J263" s="30"/>
      <c r="K263" s="30"/>
      <c r="L263" s="30"/>
      <c r="M263" s="30"/>
      <c r="N263" s="30"/>
      <c r="R263" s="30"/>
      <c r="S263" s="30"/>
      <c r="T263" s="30"/>
      <c r="U263" s="30"/>
      <c r="X263" s="30"/>
      <c r="Y263" s="30"/>
      <c r="Z263" s="69"/>
      <c r="AA263" s="69"/>
      <c r="AB263" s="69"/>
      <c r="AC263" s="51"/>
      <c r="AD263" s="51"/>
      <c r="AE263" s="51"/>
      <c r="AF263" s="30"/>
      <c r="AG263" s="30"/>
      <c r="AH263" s="30"/>
      <c r="AI263" s="30"/>
      <c r="AJ263" s="70"/>
      <c r="AK263" s="30"/>
      <c r="AL263" s="70"/>
      <c r="AM263" s="30"/>
      <c r="AN263" s="30"/>
      <c r="AO263" s="51"/>
      <c r="AP263" s="47"/>
      <c r="AQ263" s="47"/>
      <c r="AR263" s="30"/>
      <c r="AS263" s="30"/>
      <c r="AT263" s="47"/>
      <c r="AU263" s="30"/>
      <c r="AV263" s="47"/>
      <c r="AW263" s="30"/>
      <c r="AY263" s="30"/>
      <c r="BB263" s="30"/>
      <c r="BC263" s="30"/>
      <c r="BG263" s="30"/>
      <c r="BJ263" s="30"/>
      <c r="BK263" s="30"/>
      <c r="BN263" s="30"/>
      <c r="BP263" s="30"/>
      <c r="BR263" s="30"/>
      <c r="BU263" s="30"/>
      <c r="BV263" s="30"/>
      <c r="BY263" s="30"/>
      <c r="BZ263" s="30"/>
      <c r="CB263" s="30"/>
      <c r="CE263" s="30"/>
      <c r="CF263" s="30"/>
      <c r="CI263" s="30"/>
      <c r="CM263" s="30"/>
      <c r="CP263" s="30"/>
      <c r="CS263" s="30"/>
      <c r="CW263" s="30"/>
      <c r="CZ263" s="30"/>
    </row>
    <row r="264" spans="1:104" s="63" customFormat="1" x14ac:dyDescent="0.3">
      <c r="A264" s="47" t="s">
        <v>38</v>
      </c>
      <c r="B264" s="47">
        <v>1</v>
      </c>
      <c r="C264" s="30" t="s">
        <v>111</v>
      </c>
      <c r="D264" s="65">
        <v>1.5</v>
      </c>
      <c r="E264" s="30" t="s">
        <v>105</v>
      </c>
      <c r="G264" s="30"/>
      <c r="I264" s="30"/>
      <c r="J264" s="30"/>
      <c r="K264" s="30"/>
      <c r="L264" s="30"/>
      <c r="M264" s="30"/>
      <c r="N264" s="30"/>
      <c r="R264" s="30"/>
      <c r="S264" s="30"/>
      <c r="T264" s="30"/>
      <c r="U264" s="30"/>
      <c r="X264" s="30"/>
      <c r="Y264" s="30"/>
      <c r="Z264" s="69"/>
      <c r="AA264" s="69"/>
      <c r="AB264" s="69"/>
      <c r="AC264" s="51"/>
      <c r="AD264" s="51"/>
      <c r="AE264" s="51"/>
      <c r="AF264" s="30"/>
      <c r="AG264" s="30"/>
      <c r="AH264" s="30"/>
      <c r="AI264" s="30"/>
      <c r="AJ264" s="70"/>
      <c r="AK264" s="30"/>
      <c r="AL264" s="70"/>
      <c r="AM264" s="30"/>
      <c r="AN264" s="30"/>
      <c r="AO264" s="51"/>
      <c r="AP264" s="47"/>
      <c r="AQ264" s="47"/>
      <c r="AR264" s="30"/>
      <c r="AS264" s="30"/>
      <c r="AT264" s="47"/>
      <c r="AU264" s="30"/>
      <c r="AV264" s="47"/>
      <c r="AW264" s="30"/>
      <c r="AY264" s="30"/>
      <c r="BB264" s="30"/>
      <c r="BC264" s="30"/>
      <c r="BG264" s="30"/>
      <c r="BJ264" s="30"/>
      <c r="BK264" s="30"/>
      <c r="BN264" s="30"/>
      <c r="BP264" s="30"/>
      <c r="BR264" s="30"/>
      <c r="BU264" s="30"/>
      <c r="BV264" s="30"/>
      <c r="BY264" s="30"/>
      <c r="BZ264" s="30"/>
      <c r="CB264" s="30"/>
      <c r="CE264" s="30"/>
      <c r="CF264" s="30"/>
      <c r="CI264" s="30"/>
      <c r="CM264" s="30"/>
      <c r="CP264" s="30"/>
      <c r="CS264" s="30"/>
      <c r="CW264" s="30"/>
      <c r="CZ264" s="30"/>
    </row>
    <row r="265" spans="1:104" s="63" customFormat="1" x14ac:dyDescent="0.3">
      <c r="A265" s="47" t="s">
        <v>118</v>
      </c>
      <c r="B265" s="47">
        <v>1</v>
      </c>
      <c r="C265" s="30" t="s">
        <v>111</v>
      </c>
      <c r="D265" s="65">
        <v>1.625</v>
      </c>
      <c r="E265" s="30" t="s">
        <v>105</v>
      </c>
      <c r="G265" s="30"/>
      <c r="I265" s="30"/>
      <c r="J265" s="30"/>
      <c r="K265" s="30"/>
      <c r="L265" s="30"/>
      <c r="M265" s="30"/>
      <c r="N265" s="30"/>
      <c r="R265" s="30"/>
      <c r="S265" s="30"/>
      <c r="T265" s="30"/>
      <c r="U265" s="30"/>
      <c r="X265" s="30"/>
      <c r="Y265" s="30"/>
      <c r="Z265" s="69"/>
      <c r="AA265" s="69"/>
      <c r="AB265" s="69"/>
      <c r="AC265" s="51"/>
      <c r="AD265" s="51"/>
      <c r="AE265" s="51"/>
      <c r="AF265" s="30"/>
      <c r="AG265" s="30"/>
      <c r="AH265" s="30"/>
      <c r="AI265" s="30"/>
      <c r="AJ265" s="70"/>
      <c r="AK265" s="30"/>
      <c r="AL265" s="70"/>
      <c r="AM265" s="30"/>
      <c r="AN265" s="30"/>
      <c r="AO265" s="51"/>
      <c r="AP265" s="47"/>
      <c r="AQ265" s="47"/>
      <c r="AR265" s="30"/>
      <c r="AS265" s="30"/>
      <c r="AT265" s="47"/>
      <c r="AU265" s="30"/>
      <c r="AV265" s="47"/>
      <c r="AW265" s="30"/>
      <c r="AY265" s="30"/>
      <c r="BB265" s="30"/>
      <c r="BC265" s="30"/>
      <c r="BG265" s="30"/>
      <c r="BJ265" s="30"/>
      <c r="BK265" s="30"/>
      <c r="BN265" s="30"/>
      <c r="BP265" s="30"/>
      <c r="BR265" s="30"/>
      <c r="BU265" s="30"/>
      <c r="BV265" s="30"/>
      <c r="BY265" s="30"/>
      <c r="BZ265" s="30"/>
      <c r="CB265" s="30"/>
      <c r="CE265" s="30"/>
      <c r="CF265" s="30"/>
      <c r="CI265" s="30"/>
      <c r="CM265" s="30"/>
      <c r="CP265" s="30"/>
      <c r="CS265" s="30"/>
      <c r="CW265" s="30"/>
      <c r="CZ265" s="30"/>
    </row>
    <row r="266" spans="1:104" s="63" customFormat="1" x14ac:dyDescent="0.3">
      <c r="A266" s="47" t="s">
        <v>4</v>
      </c>
      <c r="B266" s="47">
        <v>1</v>
      </c>
      <c r="C266" s="30" t="s">
        <v>111</v>
      </c>
      <c r="D266" s="65">
        <v>1.5</v>
      </c>
      <c r="E266" s="30" t="s">
        <v>105</v>
      </c>
      <c r="G266" s="30"/>
      <c r="I266" s="30"/>
      <c r="J266" s="30"/>
      <c r="K266" s="30"/>
      <c r="L266" s="30"/>
      <c r="M266" s="30"/>
      <c r="N266" s="30"/>
      <c r="R266" s="30"/>
      <c r="S266" s="30"/>
      <c r="T266" s="30"/>
      <c r="U266" s="30"/>
      <c r="X266" s="30"/>
      <c r="Y266" s="30"/>
      <c r="Z266" s="69"/>
      <c r="AA266" s="69"/>
      <c r="AB266" s="69"/>
      <c r="AC266" s="51"/>
      <c r="AD266" s="51"/>
      <c r="AE266" s="51"/>
      <c r="AF266" s="30"/>
      <c r="AG266" s="30"/>
      <c r="AH266" s="30"/>
      <c r="AI266" s="30"/>
      <c r="AJ266" s="70"/>
      <c r="AK266" s="30"/>
      <c r="AL266" s="70"/>
      <c r="AM266" s="30"/>
      <c r="AN266" s="30"/>
      <c r="AO266" s="51"/>
      <c r="AP266" s="47"/>
      <c r="AQ266" s="47"/>
      <c r="AR266" s="30"/>
      <c r="AS266" s="30"/>
      <c r="AT266" s="47"/>
      <c r="AU266" s="30"/>
      <c r="AV266" s="47"/>
      <c r="AW266" s="30"/>
      <c r="AY266" s="30"/>
      <c r="BB266" s="30"/>
      <c r="BC266" s="30"/>
      <c r="BG266" s="30"/>
      <c r="BJ266" s="30"/>
      <c r="BK266" s="30"/>
      <c r="BN266" s="30"/>
      <c r="BP266" s="30"/>
      <c r="BR266" s="30"/>
      <c r="BU266" s="30"/>
      <c r="BV266" s="30"/>
      <c r="BY266" s="30"/>
      <c r="BZ266" s="30"/>
      <c r="CB266" s="30"/>
      <c r="CE266" s="30"/>
      <c r="CF266" s="30"/>
      <c r="CI266" s="30"/>
      <c r="CM266" s="30"/>
      <c r="CP266" s="30"/>
      <c r="CS266" s="30"/>
      <c r="CW266" s="30"/>
      <c r="CZ266" s="30"/>
    </row>
    <row r="267" spans="1:104" s="63" customFormat="1" x14ac:dyDescent="0.3">
      <c r="A267" s="47" t="s">
        <v>119</v>
      </c>
      <c r="B267" s="47">
        <v>1</v>
      </c>
      <c r="C267" s="30" t="s">
        <v>111</v>
      </c>
      <c r="D267" s="65">
        <v>1.5</v>
      </c>
      <c r="E267" s="30" t="s">
        <v>105</v>
      </c>
      <c r="G267" s="30"/>
      <c r="I267" s="30"/>
      <c r="J267" s="30"/>
      <c r="K267" s="30"/>
      <c r="L267" s="30"/>
      <c r="M267" s="30"/>
      <c r="N267" s="30"/>
      <c r="R267" s="30"/>
      <c r="S267" s="30"/>
      <c r="T267" s="30"/>
      <c r="U267" s="30"/>
      <c r="X267" s="30"/>
      <c r="Y267" s="30"/>
      <c r="Z267" s="69"/>
      <c r="AA267" s="69"/>
      <c r="AB267" s="69"/>
      <c r="AC267" s="51"/>
      <c r="AD267" s="51"/>
      <c r="AE267" s="51"/>
      <c r="AF267" s="30"/>
      <c r="AG267" s="30"/>
      <c r="AH267" s="30"/>
      <c r="AI267" s="30"/>
      <c r="AJ267" s="70"/>
      <c r="AK267" s="30"/>
      <c r="AL267" s="70"/>
      <c r="AM267" s="30"/>
      <c r="AN267" s="30"/>
      <c r="AO267" s="51"/>
      <c r="AP267" s="47"/>
      <c r="AQ267" s="47"/>
      <c r="AR267" s="30"/>
      <c r="AS267" s="30"/>
      <c r="AT267" s="47"/>
      <c r="AU267" s="30"/>
      <c r="AV267" s="47"/>
      <c r="AW267" s="30"/>
      <c r="AY267" s="30"/>
      <c r="BB267" s="30"/>
      <c r="BC267" s="30"/>
      <c r="BG267" s="30"/>
      <c r="BJ267" s="30"/>
      <c r="BK267" s="30"/>
      <c r="BN267" s="30"/>
      <c r="BP267" s="30"/>
      <c r="BR267" s="30"/>
      <c r="BU267" s="30"/>
      <c r="BV267" s="30"/>
      <c r="BY267" s="30"/>
      <c r="BZ267" s="30"/>
      <c r="CB267" s="30"/>
      <c r="CE267" s="30"/>
      <c r="CF267" s="30"/>
      <c r="CI267" s="30"/>
      <c r="CM267" s="30"/>
      <c r="CP267" s="30"/>
      <c r="CS267" s="30"/>
      <c r="CW267" s="30"/>
      <c r="CZ267" s="30"/>
    </row>
    <row r="268" spans="1:104" s="63" customFormat="1" x14ac:dyDescent="0.3">
      <c r="A268" s="107" t="s">
        <v>48</v>
      </c>
      <c r="B268" s="47">
        <v>1</v>
      </c>
      <c r="C268" s="30" t="s">
        <v>120</v>
      </c>
      <c r="D268" s="65">
        <v>18.559999999999999</v>
      </c>
      <c r="E268" s="30" t="s">
        <v>18</v>
      </c>
      <c r="G268" s="30"/>
      <c r="I268" s="30"/>
      <c r="J268" s="30"/>
      <c r="K268" s="30"/>
      <c r="L268" s="30"/>
      <c r="M268" s="30"/>
      <c r="N268" s="30"/>
      <c r="R268" s="30"/>
      <c r="S268" s="30"/>
      <c r="T268" s="30"/>
      <c r="U268" s="30"/>
      <c r="X268" s="30"/>
      <c r="Y268" s="30"/>
      <c r="Z268" s="69"/>
      <c r="AA268" s="69"/>
      <c r="AB268" s="69"/>
      <c r="AC268" s="51"/>
      <c r="AD268" s="51"/>
      <c r="AE268" s="51"/>
      <c r="AF268" s="30"/>
      <c r="AG268" s="30"/>
      <c r="AH268" s="30"/>
      <c r="AI268" s="30"/>
      <c r="AJ268" s="70"/>
      <c r="AK268" s="30"/>
      <c r="AL268" s="70"/>
      <c r="AM268" s="30"/>
      <c r="AN268" s="30"/>
      <c r="AO268" s="51"/>
      <c r="AP268" s="47"/>
      <c r="AQ268" s="47"/>
      <c r="AR268" s="30"/>
      <c r="AS268" s="30"/>
      <c r="AT268" s="47"/>
      <c r="AU268" s="30"/>
      <c r="AV268" s="47"/>
      <c r="AW268" s="30"/>
      <c r="AY268" s="30"/>
      <c r="BB268" s="30"/>
      <c r="BC268" s="30"/>
      <c r="BG268" s="30"/>
      <c r="BJ268" s="30"/>
      <c r="BK268" s="30"/>
      <c r="BN268" s="30"/>
      <c r="BP268" s="30"/>
      <c r="BR268" s="30"/>
      <c r="BU268" s="30"/>
      <c r="BV268" s="30"/>
      <c r="BY268" s="30"/>
      <c r="BZ268" s="30"/>
      <c r="CB268" s="30"/>
      <c r="CE268" s="30"/>
      <c r="CF268" s="30"/>
      <c r="CI268" s="30"/>
      <c r="CM268" s="30"/>
      <c r="CP268" s="30"/>
      <c r="CS268" s="30"/>
      <c r="CW268" s="30"/>
      <c r="CZ268" s="30"/>
    </row>
    <row r="269" spans="1:104" s="63" customFormat="1" x14ac:dyDescent="0.3">
      <c r="A269" s="107"/>
      <c r="B269" s="47">
        <v>1</v>
      </c>
      <c r="C269" s="30" t="s">
        <v>42</v>
      </c>
      <c r="D269" s="65">
        <v>164</v>
      </c>
      <c r="E269" s="30" t="s">
        <v>100</v>
      </c>
      <c r="F269" s="65">
        <f>D269/D224</f>
        <v>1.4642857142857142</v>
      </c>
      <c r="G269" s="30" t="s">
        <v>105</v>
      </c>
      <c r="I269" s="31"/>
      <c r="J269" s="31"/>
      <c r="K269" s="30"/>
      <c r="L269" s="30"/>
      <c r="M269" s="30"/>
      <c r="N269" s="30"/>
      <c r="R269" s="31"/>
      <c r="S269" s="31"/>
      <c r="T269" s="31"/>
      <c r="U269" s="30"/>
      <c r="X269" s="31"/>
      <c r="Y269" s="30"/>
      <c r="Z269" s="69"/>
      <c r="AA269" s="69"/>
      <c r="AB269" s="69"/>
      <c r="AC269" s="51"/>
      <c r="AD269" s="51"/>
      <c r="AE269" s="51"/>
      <c r="AF269" s="30"/>
      <c r="AG269" s="30"/>
      <c r="AH269" s="30"/>
      <c r="AI269" s="31"/>
      <c r="AJ269" s="70"/>
      <c r="AK269" s="30"/>
      <c r="AL269" s="70"/>
      <c r="AM269" s="31"/>
      <c r="AN269" s="30"/>
      <c r="AO269" s="51"/>
      <c r="AP269" s="47"/>
      <c r="AQ269" s="47"/>
      <c r="AR269" s="30"/>
      <c r="AS269" s="31"/>
      <c r="AT269" s="47"/>
      <c r="AU269" s="30"/>
      <c r="AV269" s="47"/>
      <c r="AW269" s="31"/>
      <c r="AY269" s="30"/>
      <c r="BB269" s="31"/>
      <c r="BC269" s="30"/>
      <c r="BG269" s="30"/>
      <c r="BJ269" s="31"/>
      <c r="BK269" s="30"/>
      <c r="BN269" s="30"/>
      <c r="BP269" s="31"/>
      <c r="BR269" s="30"/>
      <c r="BU269" s="30"/>
      <c r="BV269" s="31"/>
      <c r="BY269" s="30"/>
      <c r="BZ269" s="31"/>
      <c r="CB269" s="30"/>
      <c r="CE269" s="30"/>
      <c r="CF269" s="31"/>
      <c r="CI269" s="31"/>
      <c r="CM269" s="31"/>
      <c r="CP269" s="31"/>
      <c r="CS269" s="31"/>
      <c r="CW269" s="31"/>
      <c r="CZ269" s="31"/>
    </row>
    <row r="270" spans="1:104" s="63" customFormat="1" x14ac:dyDescent="0.3">
      <c r="A270" s="107" t="s">
        <v>121</v>
      </c>
      <c r="B270" s="47">
        <v>1</v>
      </c>
      <c r="C270" s="30" t="s">
        <v>45</v>
      </c>
      <c r="D270" s="65">
        <v>336</v>
      </c>
      <c r="E270" s="30" t="s">
        <v>100</v>
      </c>
      <c r="F270" s="65">
        <v>3</v>
      </c>
      <c r="G270" s="30" t="s">
        <v>105</v>
      </c>
      <c r="I270" s="30"/>
      <c r="J270" s="30"/>
      <c r="K270" s="30"/>
      <c r="L270" s="30"/>
      <c r="M270" s="30"/>
      <c r="N270" s="30"/>
      <c r="R270" s="30"/>
      <c r="S270" s="30"/>
      <c r="T270" s="30"/>
      <c r="U270" s="30"/>
      <c r="X270" s="30"/>
      <c r="Y270" s="30"/>
      <c r="Z270" s="69"/>
      <c r="AA270" s="69"/>
      <c r="AB270" s="69"/>
      <c r="AC270" s="51"/>
      <c r="AD270" s="51"/>
      <c r="AE270" s="51"/>
      <c r="AF270" s="30"/>
      <c r="AG270" s="30"/>
      <c r="AH270" s="30"/>
      <c r="AI270" s="30"/>
      <c r="AJ270" s="70"/>
      <c r="AK270" s="30"/>
      <c r="AL270" s="70"/>
      <c r="AM270" s="30"/>
      <c r="AN270" s="30"/>
      <c r="AO270" s="51"/>
      <c r="AP270" s="47"/>
      <c r="AQ270" s="47"/>
      <c r="AR270" s="30"/>
      <c r="AS270" s="30"/>
      <c r="AT270" s="47"/>
      <c r="AU270" s="30"/>
      <c r="AV270" s="47"/>
      <c r="AW270" s="30"/>
      <c r="AY270" s="30"/>
      <c r="BB270" s="30"/>
      <c r="BC270" s="30"/>
      <c r="BG270" s="30"/>
      <c r="BJ270" s="30"/>
      <c r="BK270" s="30"/>
      <c r="BN270" s="30"/>
      <c r="BP270" s="30"/>
      <c r="BR270" s="30"/>
      <c r="BU270" s="30"/>
      <c r="BV270" s="30"/>
      <c r="BY270" s="30"/>
      <c r="BZ270" s="30"/>
      <c r="CB270" s="30"/>
      <c r="CE270" s="30"/>
      <c r="CF270" s="30"/>
      <c r="CI270" s="30"/>
      <c r="CM270" s="30"/>
      <c r="CP270" s="30"/>
      <c r="CS270" s="30"/>
      <c r="CW270" s="30"/>
      <c r="CZ270" s="30"/>
    </row>
    <row r="271" spans="1:104" s="63" customFormat="1" x14ac:dyDescent="0.3">
      <c r="A271" s="107"/>
      <c r="B271" s="47">
        <v>1</v>
      </c>
      <c r="C271" s="30" t="s">
        <v>122</v>
      </c>
      <c r="D271" s="65">
        <v>240</v>
      </c>
      <c r="E271" s="30" t="s">
        <v>100</v>
      </c>
      <c r="F271" s="65">
        <f>D271/D239</f>
        <v>2.1428571428571428</v>
      </c>
      <c r="G271" s="30" t="s">
        <v>105</v>
      </c>
      <c r="I271" s="30"/>
      <c r="J271" s="30"/>
      <c r="K271" s="30"/>
      <c r="L271" s="30"/>
      <c r="M271" s="30"/>
      <c r="N271" s="30"/>
      <c r="R271" s="30"/>
      <c r="S271" s="30"/>
      <c r="T271" s="30"/>
      <c r="U271" s="30"/>
      <c r="X271" s="30"/>
      <c r="Y271" s="30"/>
      <c r="Z271" s="69"/>
      <c r="AA271" s="69"/>
      <c r="AB271" s="69"/>
      <c r="AC271" s="51"/>
      <c r="AD271" s="51"/>
      <c r="AE271" s="51"/>
      <c r="AF271" s="30"/>
      <c r="AG271" s="30"/>
      <c r="AH271" s="30"/>
      <c r="AI271" s="30"/>
      <c r="AJ271" s="70"/>
      <c r="AK271" s="30"/>
      <c r="AL271" s="70"/>
      <c r="AM271" s="30"/>
      <c r="AN271" s="30"/>
      <c r="AO271" s="51"/>
      <c r="AP271" s="47"/>
      <c r="AQ271" s="47"/>
      <c r="AR271" s="30"/>
      <c r="AS271" s="30"/>
      <c r="AT271" s="47"/>
      <c r="AU271" s="30"/>
      <c r="AV271" s="47"/>
      <c r="AW271" s="30"/>
      <c r="AY271" s="30"/>
      <c r="BB271" s="30"/>
      <c r="BC271" s="30"/>
      <c r="BG271" s="30"/>
      <c r="BJ271" s="30"/>
      <c r="BK271" s="30"/>
      <c r="BN271" s="30"/>
      <c r="BP271" s="30"/>
      <c r="BR271" s="30"/>
      <c r="BU271" s="30"/>
      <c r="BV271" s="30"/>
      <c r="BY271" s="30"/>
      <c r="BZ271" s="30"/>
      <c r="CB271" s="30"/>
      <c r="CE271" s="30"/>
      <c r="CF271" s="30"/>
      <c r="CI271" s="30"/>
      <c r="CM271" s="30"/>
      <c r="CP271" s="30"/>
      <c r="CS271" s="30"/>
      <c r="CW271" s="30"/>
      <c r="CZ271" s="30"/>
    </row>
    <row r="272" spans="1:104" s="63" customFormat="1" x14ac:dyDescent="0.3">
      <c r="A272" s="107" t="s">
        <v>41</v>
      </c>
      <c r="B272" s="47">
        <v>1</v>
      </c>
      <c r="C272" s="30" t="s">
        <v>27</v>
      </c>
      <c r="D272" s="65">
        <v>3.40835</v>
      </c>
      <c r="E272" s="30" t="s">
        <v>111</v>
      </c>
      <c r="F272" s="65">
        <f>D272*D273/D239</f>
        <v>5.9646125000000003</v>
      </c>
      <c r="G272" s="30" t="s">
        <v>105</v>
      </c>
      <c r="I272" s="30"/>
      <c r="J272" s="30"/>
      <c r="K272" s="30"/>
      <c r="L272" s="30"/>
      <c r="M272" s="30"/>
      <c r="N272" s="30"/>
      <c r="R272" s="30"/>
      <c r="S272" s="30"/>
      <c r="T272" s="30"/>
      <c r="U272" s="30"/>
      <c r="X272" s="30"/>
      <c r="Y272" s="30"/>
      <c r="Z272" s="69"/>
      <c r="AA272" s="69"/>
      <c r="AB272" s="69"/>
      <c r="AC272" s="51"/>
      <c r="AD272" s="51"/>
      <c r="AE272" s="51"/>
      <c r="AF272" s="30"/>
      <c r="AG272" s="30"/>
      <c r="AH272" s="30"/>
      <c r="AI272" s="30"/>
      <c r="AJ272" s="70"/>
      <c r="AK272" s="30"/>
      <c r="AL272" s="70"/>
      <c r="AM272" s="30"/>
      <c r="AN272" s="30"/>
      <c r="AO272" s="51"/>
      <c r="AP272" s="47"/>
      <c r="AQ272" s="47"/>
      <c r="AR272" s="30"/>
      <c r="AS272" s="30"/>
      <c r="AT272" s="47"/>
      <c r="AU272" s="30"/>
      <c r="AV272" s="47"/>
      <c r="AW272" s="30"/>
      <c r="AY272" s="30"/>
      <c r="BB272" s="30"/>
      <c r="BC272" s="30"/>
      <c r="BG272" s="30"/>
      <c r="BJ272" s="30"/>
      <c r="BK272" s="30"/>
      <c r="BN272" s="30"/>
      <c r="BP272" s="30"/>
      <c r="BR272" s="30"/>
      <c r="BU272" s="30"/>
      <c r="BV272" s="30"/>
      <c r="BY272" s="30"/>
      <c r="BZ272" s="30"/>
      <c r="CB272" s="30"/>
      <c r="CE272" s="30"/>
      <c r="CF272" s="30"/>
      <c r="CI272" s="30"/>
      <c r="CM272" s="30"/>
      <c r="CP272" s="30"/>
      <c r="CS272" s="30"/>
      <c r="CW272" s="30"/>
      <c r="CZ272" s="30"/>
    </row>
    <row r="273" spans="1:104" s="63" customFormat="1" x14ac:dyDescent="0.3">
      <c r="A273" s="107"/>
      <c r="B273" s="47">
        <v>1</v>
      </c>
      <c r="C273" s="30" t="s">
        <v>111</v>
      </c>
      <c r="D273" s="48">
        <v>196</v>
      </c>
      <c r="E273" s="30" t="s">
        <v>100</v>
      </c>
      <c r="F273" s="65"/>
      <c r="G273" s="47"/>
      <c r="I273" s="30"/>
      <c r="J273" s="30"/>
      <c r="K273" s="30"/>
      <c r="L273" s="30"/>
      <c r="M273" s="30"/>
      <c r="N273" s="30"/>
      <c r="R273" s="30"/>
      <c r="S273" s="30"/>
      <c r="T273" s="30"/>
      <c r="U273" s="30"/>
      <c r="X273" s="30"/>
      <c r="Y273" s="30"/>
      <c r="Z273" s="69"/>
      <c r="AA273" s="69"/>
      <c r="AB273" s="69"/>
      <c r="AC273" s="51"/>
      <c r="AD273" s="51"/>
      <c r="AE273" s="51"/>
      <c r="AF273" s="30"/>
      <c r="AG273" s="30"/>
      <c r="AH273" s="30"/>
      <c r="AI273" s="30"/>
      <c r="AJ273" s="70"/>
      <c r="AK273" s="30"/>
      <c r="AL273" s="70"/>
      <c r="AM273" s="30"/>
      <c r="AN273" s="30"/>
      <c r="AO273" s="51"/>
      <c r="AP273" s="47"/>
      <c r="AQ273" s="47"/>
      <c r="AR273" s="30"/>
      <c r="AS273" s="30"/>
      <c r="AT273" s="47"/>
      <c r="AU273" s="30"/>
      <c r="AV273" s="47"/>
      <c r="AW273" s="30"/>
      <c r="AY273" s="30"/>
      <c r="BB273" s="30"/>
      <c r="BC273" s="30"/>
      <c r="BG273" s="30"/>
      <c r="BJ273" s="30"/>
      <c r="BK273" s="30"/>
      <c r="BN273" s="30"/>
      <c r="BP273" s="30"/>
      <c r="BR273" s="30"/>
      <c r="BU273" s="30"/>
      <c r="BV273" s="30"/>
      <c r="BY273" s="30"/>
      <c r="BZ273" s="30"/>
      <c r="CB273" s="30"/>
      <c r="CE273" s="30"/>
      <c r="CF273" s="30"/>
      <c r="CI273" s="30"/>
      <c r="CM273" s="30"/>
      <c r="CP273" s="30"/>
      <c r="CS273" s="30"/>
      <c r="CW273" s="30"/>
      <c r="CZ273" s="30"/>
    </row>
    <row r="274" spans="1:104" s="63" customFormat="1" x14ac:dyDescent="0.3">
      <c r="A274" s="107" t="s">
        <v>33</v>
      </c>
      <c r="B274" s="47">
        <v>1</v>
      </c>
      <c r="C274" s="30" t="s">
        <v>28</v>
      </c>
      <c r="D274" s="48">
        <v>1</v>
      </c>
      <c r="E274" s="30" t="s">
        <v>46</v>
      </c>
      <c r="F274" s="65">
        <f>F275</f>
        <v>3.0446428571428572</v>
      </c>
      <c r="G274" s="30" t="s">
        <v>105</v>
      </c>
      <c r="I274" s="30"/>
      <c r="J274" s="30"/>
      <c r="K274" s="30"/>
      <c r="L274" s="30"/>
      <c r="M274" s="30"/>
      <c r="N274" s="30"/>
      <c r="R274" s="30"/>
      <c r="S274" s="30"/>
      <c r="T274" s="30"/>
      <c r="U274" s="30"/>
      <c r="X274" s="30"/>
      <c r="Y274" s="30"/>
      <c r="Z274" s="69"/>
      <c r="AA274" s="69"/>
      <c r="AB274" s="69"/>
      <c r="AC274" s="51"/>
      <c r="AD274" s="51"/>
      <c r="AE274" s="51"/>
      <c r="AF274" s="30"/>
      <c r="AG274" s="30"/>
      <c r="AH274" s="30"/>
      <c r="AI274" s="30"/>
      <c r="AJ274" s="70"/>
      <c r="AK274" s="30"/>
      <c r="AL274" s="70"/>
      <c r="AM274" s="30"/>
      <c r="AN274" s="30"/>
      <c r="AO274" s="51"/>
      <c r="AP274" s="47"/>
      <c r="AQ274" s="47"/>
      <c r="AR274" s="30"/>
      <c r="AS274" s="30"/>
      <c r="AT274" s="47"/>
      <c r="AU274" s="30"/>
      <c r="AV274" s="47"/>
      <c r="AW274" s="30"/>
      <c r="AY274" s="30"/>
      <c r="BB274" s="30"/>
      <c r="BC274" s="30"/>
      <c r="BG274" s="30"/>
      <c r="BJ274" s="30"/>
      <c r="BK274" s="30"/>
      <c r="BN274" s="30"/>
      <c r="BP274" s="30"/>
      <c r="BR274" s="30"/>
      <c r="BU274" s="30"/>
      <c r="BV274" s="30"/>
      <c r="BY274" s="30"/>
      <c r="BZ274" s="30"/>
      <c r="CB274" s="30"/>
      <c r="CE274" s="30"/>
      <c r="CF274" s="30"/>
      <c r="CI274" s="30"/>
      <c r="CM274" s="30"/>
      <c r="CP274" s="30"/>
      <c r="CS274" s="30"/>
      <c r="CW274" s="30"/>
      <c r="CZ274" s="30"/>
    </row>
    <row r="275" spans="1:104" s="63" customFormat="1" x14ac:dyDescent="0.3">
      <c r="A275" s="107"/>
      <c r="B275" s="47">
        <v>1</v>
      </c>
      <c r="C275" s="30" t="s">
        <v>46</v>
      </c>
      <c r="D275" s="48">
        <f>(355+327)/2</f>
        <v>341</v>
      </c>
      <c r="E275" s="30" t="s">
        <v>100</v>
      </c>
      <c r="F275" s="65">
        <f>D275/D239</f>
        <v>3.0446428571428572</v>
      </c>
      <c r="G275" s="30" t="s">
        <v>105</v>
      </c>
      <c r="I275" s="30"/>
      <c r="J275" s="30"/>
      <c r="K275" s="30"/>
      <c r="L275" s="30"/>
      <c r="M275" s="30"/>
      <c r="N275" s="30"/>
      <c r="R275" s="30"/>
      <c r="S275" s="30"/>
      <c r="T275" s="30"/>
      <c r="U275" s="30"/>
      <c r="X275" s="30"/>
      <c r="Y275" s="30"/>
      <c r="Z275" s="69"/>
      <c r="AA275" s="69"/>
      <c r="AB275" s="69"/>
      <c r="AC275" s="51"/>
      <c r="AD275" s="51"/>
      <c r="AE275" s="51"/>
      <c r="AF275" s="30"/>
      <c r="AG275" s="30"/>
      <c r="AH275" s="30"/>
      <c r="AI275" s="30"/>
      <c r="AJ275" s="70"/>
      <c r="AK275" s="30"/>
      <c r="AL275" s="70"/>
      <c r="AM275" s="30"/>
      <c r="AN275" s="30"/>
      <c r="AO275" s="51"/>
      <c r="AP275" s="47"/>
      <c r="AQ275" s="47"/>
      <c r="AR275" s="30"/>
      <c r="AS275" s="30"/>
      <c r="AT275" s="47"/>
      <c r="AU275" s="30"/>
      <c r="AV275" s="47"/>
      <c r="AW275" s="30"/>
      <c r="AY275" s="30"/>
      <c r="BB275" s="30"/>
      <c r="BC275" s="30"/>
      <c r="BG275" s="30"/>
      <c r="BJ275" s="30"/>
      <c r="BK275" s="30"/>
      <c r="BN275" s="30"/>
      <c r="BP275" s="30"/>
      <c r="BR275" s="30"/>
      <c r="BU275" s="30"/>
      <c r="BV275" s="30"/>
      <c r="BY275" s="30"/>
      <c r="BZ275" s="30"/>
      <c r="CB275" s="30"/>
      <c r="CE275" s="30"/>
      <c r="CF275" s="30"/>
      <c r="CI275" s="30"/>
      <c r="CM275" s="30"/>
      <c r="CP275" s="30"/>
      <c r="CS275" s="30"/>
      <c r="CW275" s="30"/>
      <c r="CZ275" s="30"/>
    </row>
    <row r="276" spans="1:104" s="63" customFormat="1" x14ac:dyDescent="0.3">
      <c r="A276" s="107" t="s">
        <v>44</v>
      </c>
      <c r="B276" s="47">
        <v>1</v>
      </c>
      <c r="C276" s="31" t="s">
        <v>43</v>
      </c>
      <c r="D276" s="48">
        <v>140.63</v>
      </c>
      <c r="E276" s="30" t="s">
        <v>100</v>
      </c>
      <c r="F276" s="65">
        <f>D276/D239</f>
        <v>1.255625</v>
      </c>
      <c r="G276" s="30" t="s">
        <v>105</v>
      </c>
      <c r="I276" s="30"/>
      <c r="J276" s="30"/>
      <c r="K276" s="30"/>
      <c r="L276" s="30"/>
      <c r="M276" s="30"/>
      <c r="N276" s="30"/>
      <c r="R276" s="30"/>
      <c r="S276" s="30"/>
      <c r="T276" s="30"/>
      <c r="U276" s="30"/>
      <c r="X276" s="30"/>
      <c r="Y276" s="30"/>
      <c r="Z276" s="69"/>
      <c r="AA276" s="69"/>
      <c r="AB276" s="69"/>
      <c r="AC276" s="51"/>
      <c r="AD276" s="51"/>
      <c r="AE276" s="51"/>
      <c r="AF276" s="30"/>
      <c r="AG276" s="30"/>
      <c r="AH276" s="30"/>
      <c r="AI276" s="30"/>
      <c r="AJ276" s="70"/>
      <c r="AK276" s="30"/>
      <c r="AL276" s="70"/>
      <c r="AM276" s="30"/>
      <c r="AN276" s="30"/>
      <c r="AO276" s="51"/>
      <c r="AP276" s="47"/>
      <c r="AQ276" s="47"/>
      <c r="AR276" s="30"/>
      <c r="AS276" s="30"/>
      <c r="AT276" s="47"/>
      <c r="AU276" s="30"/>
      <c r="AV276" s="47"/>
      <c r="AW276" s="30"/>
      <c r="AY276" s="30"/>
      <c r="BB276" s="30"/>
      <c r="BC276" s="30"/>
      <c r="BG276" s="30"/>
      <c r="BJ276" s="30"/>
      <c r="BK276" s="30"/>
      <c r="BN276" s="30"/>
      <c r="BP276" s="30"/>
      <c r="BR276" s="30"/>
      <c r="BU276" s="30"/>
      <c r="BV276" s="30"/>
      <c r="BY276" s="30"/>
      <c r="BZ276" s="30"/>
      <c r="CB276" s="30"/>
      <c r="CE276" s="30"/>
      <c r="CF276" s="30"/>
      <c r="CI276" s="30"/>
      <c r="CM276" s="30"/>
      <c r="CP276" s="30"/>
      <c r="CS276" s="30"/>
      <c r="CW276" s="30"/>
      <c r="CZ276" s="30"/>
    </row>
    <row r="277" spans="1:104" s="63" customFormat="1" x14ac:dyDescent="0.3">
      <c r="A277" s="107"/>
      <c r="B277" s="47">
        <v>1</v>
      </c>
      <c r="C277" s="31" t="s">
        <v>123</v>
      </c>
      <c r="D277" s="48">
        <v>0.91576999999999997</v>
      </c>
      <c r="E277" s="30" t="s">
        <v>43</v>
      </c>
      <c r="F277" s="65">
        <f>F276*D277</f>
        <v>1.1498637062499999</v>
      </c>
      <c r="G277" s="30" t="s">
        <v>105</v>
      </c>
      <c r="I277" s="30"/>
      <c r="J277" s="30"/>
      <c r="K277" s="30"/>
      <c r="L277" s="30"/>
      <c r="M277" s="30"/>
      <c r="N277" s="30"/>
      <c r="R277" s="30"/>
      <c r="S277" s="30"/>
      <c r="T277" s="30"/>
      <c r="U277" s="30"/>
      <c r="X277" s="30"/>
      <c r="Y277" s="30"/>
      <c r="Z277" s="69"/>
      <c r="AA277" s="69"/>
      <c r="AB277" s="69"/>
      <c r="AC277" s="51"/>
      <c r="AD277" s="51"/>
      <c r="AE277" s="51"/>
      <c r="AF277" s="30"/>
      <c r="AG277" s="30"/>
      <c r="AH277" s="30"/>
      <c r="AI277" s="30"/>
      <c r="AJ277" s="70"/>
      <c r="AK277" s="30"/>
      <c r="AL277" s="70"/>
      <c r="AM277" s="30"/>
      <c r="AN277" s="30"/>
      <c r="AO277" s="51"/>
      <c r="AP277" s="47"/>
      <c r="AQ277" s="47"/>
      <c r="AR277" s="30"/>
      <c r="AS277" s="30"/>
      <c r="AT277" s="47"/>
      <c r="AU277" s="30"/>
      <c r="AV277" s="47"/>
      <c r="AW277" s="30"/>
      <c r="AY277" s="30"/>
      <c r="BB277" s="30"/>
      <c r="BC277" s="30"/>
      <c r="BG277" s="30"/>
      <c r="BJ277" s="30"/>
      <c r="BK277" s="30"/>
      <c r="BN277" s="30"/>
      <c r="BP277" s="30"/>
      <c r="BR277" s="30"/>
      <c r="BU277" s="30"/>
      <c r="BV277" s="30"/>
      <c r="BY277" s="30"/>
      <c r="BZ277" s="30"/>
      <c r="CB277" s="30"/>
      <c r="CE277" s="30"/>
      <c r="CF277" s="30"/>
      <c r="CI277" s="30"/>
      <c r="CM277" s="30"/>
      <c r="CP277" s="30"/>
      <c r="CS277" s="30"/>
      <c r="CW277" s="30"/>
      <c r="CZ277" s="30"/>
    </row>
    <row r="278" spans="1:104" s="63" customFormat="1" x14ac:dyDescent="0.3">
      <c r="A278" s="107" t="s">
        <v>97</v>
      </c>
      <c r="B278" s="47">
        <v>1</v>
      </c>
      <c r="C278" s="31" t="s">
        <v>46</v>
      </c>
      <c r="D278" s="48">
        <v>2.37609</v>
      </c>
      <c r="E278" s="31" t="s">
        <v>111</v>
      </c>
      <c r="F278" s="65">
        <f>D278*D279</f>
        <v>4.1366063637000003</v>
      </c>
      <c r="G278" s="30" t="s">
        <v>105</v>
      </c>
      <c r="I278" s="30"/>
      <c r="J278" s="30"/>
      <c r="K278" s="31"/>
      <c r="L278" s="31"/>
      <c r="M278" s="31"/>
      <c r="N278" s="31"/>
      <c r="R278" s="30"/>
      <c r="S278" s="30"/>
      <c r="T278" s="30"/>
      <c r="U278" s="31"/>
      <c r="X278" s="30"/>
      <c r="Y278" s="31"/>
      <c r="Z278" s="69"/>
      <c r="AA278" s="69"/>
      <c r="AB278" s="69"/>
      <c r="AC278" s="51"/>
      <c r="AD278" s="51"/>
      <c r="AE278" s="51"/>
      <c r="AF278" s="31"/>
      <c r="AG278" s="31"/>
      <c r="AH278" s="31"/>
      <c r="AI278" s="30"/>
      <c r="AJ278" s="70"/>
      <c r="AK278" s="31"/>
      <c r="AL278" s="70"/>
      <c r="AM278" s="30"/>
      <c r="AN278" s="31"/>
      <c r="AO278" s="51"/>
      <c r="AP278" s="47"/>
      <c r="AQ278" s="47"/>
      <c r="AR278" s="31"/>
      <c r="AS278" s="30"/>
      <c r="AT278" s="47"/>
      <c r="AU278" s="31"/>
      <c r="AV278" s="47"/>
      <c r="AW278" s="30"/>
      <c r="AY278" s="31"/>
      <c r="BB278" s="30"/>
      <c r="BC278" s="31"/>
      <c r="BG278" s="31"/>
      <c r="BJ278" s="30"/>
      <c r="BK278" s="31"/>
      <c r="BN278" s="31"/>
      <c r="BP278" s="30"/>
      <c r="BR278" s="31"/>
      <c r="BU278" s="31"/>
      <c r="BV278" s="30"/>
      <c r="BY278" s="31"/>
      <c r="BZ278" s="30"/>
      <c r="CB278" s="31"/>
      <c r="CE278" s="31"/>
      <c r="CF278" s="30"/>
      <c r="CI278" s="30"/>
      <c r="CM278" s="30"/>
      <c r="CP278" s="30"/>
      <c r="CS278" s="30"/>
      <c r="CW278" s="30"/>
      <c r="CZ278" s="30"/>
    </row>
    <row r="279" spans="1:104" s="63" customFormat="1" x14ac:dyDescent="0.3">
      <c r="A279" s="107"/>
      <c r="B279" s="47">
        <v>1</v>
      </c>
      <c r="C279" s="31" t="s">
        <v>111</v>
      </c>
      <c r="D279" s="48">
        <v>1.7409300000000001</v>
      </c>
      <c r="E279" s="30" t="s">
        <v>105</v>
      </c>
      <c r="F279" s="65"/>
      <c r="G279" s="30"/>
      <c r="I279" s="30"/>
      <c r="J279" s="30"/>
      <c r="K279" s="30"/>
      <c r="L279" s="30"/>
      <c r="M279" s="30"/>
      <c r="N279" s="30"/>
      <c r="R279" s="30"/>
      <c r="S279" s="30"/>
      <c r="T279" s="30"/>
      <c r="U279" s="30"/>
      <c r="X279" s="30"/>
      <c r="Y279" s="30"/>
      <c r="Z279" s="69"/>
      <c r="AA279" s="69"/>
      <c r="AB279" s="69"/>
      <c r="AC279" s="51"/>
      <c r="AD279" s="51"/>
      <c r="AE279" s="51"/>
      <c r="AF279" s="30"/>
      <c r="AG279" s="30"/>
      <c r="AH279" s="30"/>
      <c r="AI279" s="30"/>
      <c r="AJ279" s="70"/>
      <c r="AK279" s="30"/>
      <c r="AL279" s="70"/>
      <c r="AM279" s="30"/>
      <c r="AN279" s="30"/>
      <c r="AO279" s="51"/>
      <c r="AP279" s="47"/>
      <c r="AQ279" s="47"/>
      <c r="AR279" s="30"/>
      <c r="AS279" s="30"/>
      <c r="AT279" s="47"/>
      <c r="AU279" s="30"/>
      <c r="AV279" s="47"/>
      <c r="AW279" s="30"/>
      <c r="AY279" s="30"/>
      <c r="BB279" s="30"/>
      <c r="BC279" s="30"/>
      <c r="BG279" s="30"/>
      <c r="BJ279" s="30"/>
      <c r="BK279" s="30"/>
      <c r="BN279" s="30"/>
      <c r="BP279" s="30"/>
      <c r="BR279" s="30"/>
      <c r="BU279" s="30"/>
      <c r="BV279" s="30"/>
      <c r="BY279" s="30"/>
      <c r="BZ279" s="30"/>
      <c r="CB279" s="30"/>
      <c r="CE279" s="30"/>
      <c r="CF279" s="30"/>
      <c r="CI279" s="30"/>
      <c r="CM279" s="30"/>
      <c r="CP279" s="30"/>
      <c r="CS279" s="30"/>
      <c r="CW279" s="30"/>
      <c r="CZ279" s="30"/>
    </row>
    <row r="280" spans="1:104" s="63" customFormat="1" x14ac:dyDescent="0.3">
      <c r="A280" s="107" t="s">
        <v>124</v>
      </c>
      <c r="B280" s="47">
        <v>1</v>
      </c>
      <c r="C280" s="31" t="s">
        <v>46</v>
      </c>
      <c r="D280" s="48">
        <v>242</v>
      </c>
      <c r="E280" s="30" t="s">
        <v>100</v>
      </c>
      <c r="F280" s="65">
        <f>D280/D239</f>
        <v>2.1607142857142856</v>
      </c>
      <c r="G280" s="30" t="s">
        <v>105</v>
      </c>
      <c r="I280" s="30"/>
      <c r="J280" s="30"/>
      <c r="K280" s="30"/>
      <c r="L280" s="30"/>
      <c r="M280" s="30"/>
      <c r="N280" s="30"/>
      <c r="R280" s="30"/>
      <c r="S280" s="30"/>
      <c r="T280" s="30"/>
      <c r="U280" s="30"/>
      <c r="X280" s="30"/>
      <c r="Y280" s="30"/>
      <c r="Z280" s="69"/>
      <c r="AA280" s="69"/>
      <c r="AB280" s="69"/>
      <c r="AC280" s="51"/>
      <c r="AD280" s="51"/>
      <c r="AE280" s="51"/>
      <c r="AF280" s="30"/>
      <c r="AG280" s="30"/>
      <c r="AH280" s="30"/>
      <c r="AI280" s="30"/>
      <c r="AJ280" s="70"/>
      <c r="AK280" s="30"/>
      <c r="AL280" s="70"/>
      <c r="AM280" s="30"/>
      <c r="AN280" s="30"/>
      <c r="AO280" s="51"/>
      <c r="AP280" s="47"/>
      <c r="AQ280" s="47"/>
      <c r="AR280" s="30"/>
      <c r="AS280" s="30"/>
      <c r="AT280" s="47"/>
      <c r="AU280" s="30"/>
      <c r="AV280" s="47"/>
      <c r="AW280" s="30"/>
      <c r="AY280" s="30"/>
      <c r="BB280" s="30"/>
      <c r="BC280" s="30"/>
      <c r="BG280" s="30"/>
      <c r="BJ280" s="30"/>
      <c r="BK280" s="30"/>
      <c r="BN280" s="30"/>
      <c r="BP280" s="30"/>
      <c r="BR280" s="30"/>
      <c r="BU280" s="30"/>
      <c r="BV280" s="30"/>
      <c r="BY280" s="30"/>
      <c r="BZ280" s="30"/>
      <c r="CB280" s="30"/>
      <c r="CE280" s="30"/>
      <c r="CF280" s="30"/>
      <c r="CI280" s="30"/>
      <c r="CM280" s="30"/>
      <c r="CP280" s="30"/>
      <c r="CS280" s="30"/>
      <c r="CW280" s="30"/>
      <c r="CZ280" s="30"/>
    </row>
    <row r="281" spans="1:104" s="63" customFormat="1" x14ac:dyDescent="0.3">
      <c r="A281" s="107"/>
      <c r="B281" s="47">
        <v>1</v>
      </c>
      <c r="C281" s="31" t="s">
        <v>43</v>
      </c>
      <c r="D281" s="65">
        <f>F283/D282</f>
        <v>4.400227973715972</v>
      </c>
      <c r="E281" s="30" t="s">
        <v>105</v>
      </c>
      <c r="F281" s="65">
        <f>D281/D231</f>
        <v>0.22001139868579861</v>
      </c>
      <c r="G281" s="30" t="s">
        <v>31</v>
      </c>
      <c r="I281" s="30"/>
      <c r="J281" s="30"/>
      <c r="K281" s="30"/>
      <c r="L281" s="30"/>
      <c r="M281" s="30"/>
      <c r="N281" s="30"/>
      <c r="R281" s="30"/>
      <c r="S281" s="30"/>
      <c r="T281" s="30"/>
      <c r="U281" s="30"/>
      <c r="X281" s="30"/>
      <c r="Y281" s="30"/>
      <c r="Z281" s="69"/>
      <c r="AA281" s="69"/>
      <c r="AB281" s="69"/>
      <c r="AC281" s="51"/>
      <c r="AD281" s="51"/>
      <c r="AE281" s="51"/>
      <c r="AF281" s="30"/>
      <c r="AG281" s="30"/>
      <c r="AH281" s="30"/>
      <c r="AI281" s="30"/>
      <c r="AJ281" s="70"/>
      <c r="AK281" s="30"/>
      <c r="AL281" s="70"/>
      <c r="AM281" s="30"/>
      <c r="AN281" s="30"/>
      <c r="AO281" s="51"/>
      <c r="AP281" s="47"/>
      <c r="AQ281" s="47"/>
      <c r="AR281" s="30"/>
      <c r="AS281" s="30"/>
      <c r="AT281" s="47"/>
      <c r="AU281" s="30"/>
      <c r="AV281" s="47"/>
      <c r="AW281" s="30"/>
      <c r="AY281" s="30"/>
      <c r="BB281" s="30"/>
      <c r="BC281" s="30"/>
      <c r="BG281" s="30"/>
      <c r="BJ281" s="30"/>
      <c r="BK281" s="30"/>
      <c r="BN281" s="30"/>
      <c r="BP281" s="30"/>
      <c r="BR281" s="30"/>
      <c r="BU281" s="30"/>
      <c r="BV281" s="30"/>
      <c r="BY281" s="30"/>
      <c r="BZ281" s="30"/>
      <c r="CB281" s="30"/>
      <c r="CE281" s="30"/>
      <c r="CF281" s="30"/>
      <c r="CI281" s="30"/>
      <c r="CM281" s="30"/>
      <c r="CP281" s="30"/>
      <c r="CS281" s="30"/>
      <c r="CW281" s="30"/>
      <c r="CZ281" s="30"/>
    </row>
    <row r="282" spans="1:104" s="63" customFormat="1" x14ac:dyDescent="0.3">
      <c r="A282" s="107"/>
      <c r="B282" s="47">
        <v>1</v>
      </c>
      <c r="C282" s="31" t="s">
        <v>125</v>
      </c>
      <c r="D282" s="48">
        <v>0.59655999999999998</v>
      </c>
      <c r="E282" s="30" t="s">
        <v>43</v>
      </c>
      <c r="I282" s="30"/>
      <c r="J282" s="30"/>
      <c r="K282" s="30"/>
      <c r="L282" s="30"/>
      <c r="M282" s="30"/>
      <c r="N282" s="30"/>
      <c r="R282" s="30"/>
      <c r="S282" s="30"/>
      <c r="T282" s="30"/>
      <c r="U282" s="30"/>
      <c r="X282" s="30"/>
      <c r="Y282" s="30"/>
      <c r="Z282" s="69"/>
      <c r="AA282" s="69"/>
      <c r="AB282" s="69"/>
      <c r="AC282" s="51"/>
      <c r="AD282" s="51"/>
      <c r="AE282" s="51"/>
      <c r="AF282" s="30"/>
      <c r="AG282" s="30"/>
      <c r="AH282" s="30"/>
      <c r="AI282" s="30"/>
      <c r="AJ282" s="70"/>
      <c r="AK282" s="30"/>
      <c r="AL282" s="70"/>
      <c r="AM282" s="30"/>
      <c r="AN282" s="30"/>
      <c r="AO282" s="51"/>
      <c r="AP282" s="47"/>
      <c r="AQ282" s="47"/>
      <c r="AR282" s="30"/>
      <c r="AS282" s="30"/>
      <c r="AT282" s="47"/>
      <c r="AU282" s="30"/>
      <c r="AV282" s="47"/>
      <c r="AW282" s="30"/>
      <c r="AY282" s="30"/>
      <c r="BB282" s="30"/>
      <c r="BC282" s="30"/>
      <c r="BG282" s="30"/>
      <c r="BJ282" s="30"/>
      <c r="BK282" s="30"/>
      <c r="BN282" s="30"/>
      <c r="BP282" s="30"/>
      <c r="BR282" s="30"/>
      <c r="BU282" s="30"/>
      <c r="BV282" s="30"/>
      <c r="BY282" s="30"/>
      <c r="BZ282" s="30"/>
      <c r="CB282" s="30"/>
      <c r="CE282" s="30"/>
      <c r="CF282" s="30"/>
      <c r="CI282" s="30"/>
      <c r="CM282" s="30"/>
      <c r="CP282" s="30"/>
      <c r="CS282" s="30"/>
      <c r="CW282" s="30"/>
      <c r="CZ282" s="30"/>
    </row>
    <row r="283" spans="1:104" s="63" customFormat="1" x14ac:dyDescent="0.3">
      <c r="A283" s="47" t="s">
        <v>94</v>
      </c>
      <c r="B283" s="47">
        <v>1</v>
      </c>
      <c r="C283" s="31" t="s">
        <v>125</v>
      </c>
      <c r="D283" s="48">
        <v>294</v>
      </c>
      <c r="E283" s="30" t="s">
        <v>100</v>
      </c>
      <c r="F283" s="65">
        <f>D283/D239</f>
        <v>2.625</v>
      </c>
      <c r="G283" s="30" t="s">
        <v>105</v>
      </c>
      <c r="H283" s="63">
        <f>F283/D231</f>
        <v>0.13125000000000001</v>
      </c>
      <c r="I283" s="30" t="s">
        <v>31</v>
      </c>
      <c r="J283" s="30"/>
      <c r="K283" s="30"/>
      <c r="L283" s="30"/>
      <c r="M283" s="30"/>
      <c r="N283" s="30"/>
      <c r="R283" s="30"/>
      <c r="S283" s="30"/>
      <c r="T283" s="30"/>
      <c r="U283" s="30"/>
      <c r="X283" s="30"/>
      <c r="Y283" s="30"/>
      <c r="Z283" s="69"/>
      <c r="AA283" s="69"/>
      <c r="AB283" s="69"/>
      <c r="AC283" s="51"/>
      <c r="AD283" s="51"/>
      <c r="AE283" s="51"/>
      <c r="AF283" s="30"/>
      <c r="AG283" s="30"/>
      <c r="AH283" s="30"/>
      <c r="AI283" s="30"/>
      <c r="AJ283" s="70"/>
      <c r="AK283" s="30"/>
      <c r="AL283" s="70"/>
      <c r="AM283" s="30"/>
      <c r="AN283" s="30"/>
      <c r="AO283" s="51"/>
      <c r="AP283" s="47"/>
      <c r="AQ283" s="47"/>
      <c r="AR283" s="30"/>
      <c r="AS283" s="30"/>
      <c r="AT283" s="47"/>
      <c r="AU283" s="30"/>
      <c r="AV283" s="47"/>
      <c r="AW283" s="30"/>
      <c r="AY283" s="30"/>
      <c r="BB283" s="30"/>
      <c r="BC283" s="30"/>
      <c r="BG283" s="30"/>
      <c r="BJ283" s="30"/>
      <c r="BK283" s="30"/>
      <c r="BN283" s="30"/>
      <c r="BP283" s="30"/>
      <c r="BR283" s="30"/>
      <c r="BU283" s="30"/>
      <c r="BV283" s="30"/>
      <c r="BY283" s="30"/>
      <c r="BZ283" s="30"/>
      <c r="CB283" s="30"/>
      <c r="CE283" s="30"/>
      <c r="CF283" s="30"/>
      <c r="CI283" s="30"/>
      <c r="CM283" s="30"/>
      <c r="CP283" s="30"/>
      <c r="CS283" s="30"/>
      <c r="CW283" s="30"/>
      <c r="CZ283" s="30"/>
    </row>
    <row r="284" spans="1:104" s="63" customFormat="1" x14ac:dyDescent="0.3">
      <c r="A284" s="47" t="s">
        <v>24</v>
      </c>
      <c r="B284" s="47">
        <v>1</v>
      </c>
      <c r="C284" s="31" t="s">
        <v>43</v>
      </c>
      <c r="D284" s="65">
        <v>0.88400000000000001</v>
      </c>
      <c r="E284" s="30" t="s">
        <v>105</v>
      </c>
      <c r="I284" s="30"/>
      <c r="J284" s="30"/>
      <c r="K284" s="30"/>
      <c r="L284" s="30"/>
      <c r="M284" s="30"/>
      <c r="N284" s="30"/>
      <c r="R284" s="30"/>
      <c r="S284" s="30"/>
      <c r="T284" s="30"/>
      <c r="U284" s="30"/>
      <c r="X284" s="30"/>
      <c r="Y284" s="30"/>
      <c r="Z284" s="69"/>
      <c r="AA284" s="69"/>
      <c r="AB284" s="69"/>
      <c r="AC284" s="51"/>
      <c r="AD284" s="51"/>
      <c r="AE284" s="51"/>
      <c r="AF284" s="30"/>
      <c r="AG284" s="30"/>
      <c r="AH284" s="30"/>
      <c r="AI284" s="30"/>
      <c r="AJ284" s="70"/>
      <c r="AK284" s="30"/>
      <c r="AL284" s="70"/>
      <c r="AM284" s="30"/>
      <c r="AN284" s="30"/>
      <c r="AO284" s="51"/>
      <c r="AP284" s="47"/>
      <c r="AQ284" s="47"/>
      <c r="AR284" s="30"/>
      <c r="AS284" s="30"/>
      <c r="AT284" s="47"/>
      <c r="AU284" s="30"/>
      <c r="AV284" s="47"/>
      <c r="AW284" s="30"/>
      <c r="AY284" s="30"/>
      <c r="BB284" s="30"/>
      <c r="BC284" s="30"/>
      <c r="BG284" s="30"/>
      <c r="BJ284" s="30"/>
      <c r="BK284" s="30"/>
      <c r="BN284" s="30"/>
      <c r="BP284" s="30"/>
      <c r="BR284" s="30"/>
      <c r="BU284" s="30"/>
      <c r="BV284" s="30"/>
      <c r="BY284" s="30"/>
      <c r="BZ284" s="30"/>
      <c r="CB284" s="30"/>
      <c r="CE284" s="30"/>
      <c r="CF284" s="30"/>
      <c r="CI284" s="30"/>
      <c r="CM284" s="30"/>
      <c r="CP284" s="30"/>
      <c r="CS284" s="30"/>
      <c r="CW284" s="30"/>
      <c r="CZ284" s="30"/>
    </row>
    <row r="285" spans="1:104" s="63" customFormat="1" x14ac:dyDescent="0.3">
      <c r="A285" s="47" t="s">
        <v>47</v>
      </c>
      <c r="B285" s="47">
        <v>1</v>
      </c>
      <c r="C285" s="31" t="s">
        <v>111</v>
      </c>
      <c r="D285" s="48">
        <v>149</v>
      </c>
      <c r="E285" s="30" t="s">
        <v>100</v>
      </c>
      <c r="F285" s="65">
        <f>D285/D239</f>
        <v>1.3303571428571428</v>
      </c>
      <c r="G285" s="30" t="s">
        <v>105</v>
      </c>
      <c r="I285" s="30"/>
      <c r="J285" s="30"/>
      <c r="K285" s="30"/>
      <c r="L285" s="30"/>
      <c r="M285" s="30"/>
      <c r="N285" s="30"/>
      <c r="R285" s="30"/>
      <c r="S285" s="30"/>
      <c r="T285" s="30"/>
      <c r="U285" s="30"/>
      <c r="X285" s="30"/>
      <c r="Y285" s="30"/>
      <c r="Z285" s="69"/>
      <c r="AA285" s="69"/>
      <c r="AB285" s="69"/>
      <c r="AC285" s="51"/>
      <c r="AD285" s="51"/>
      <c r="AE285" s="51"/>
      <c r="AF285" s="30"/>
      <c r="AG285" s="30"/>
      <c r="AH285" s="30"/>
      <c r="AI285" s="30"/>
      <c r="AJ285" s="70"/>
      <c r="AK285" s="30"/>
      <c r="AL285" s="70"/>
      <c r="AM285" s="30"/>
      <c r="AN285" s="30"/>
      <c r="AO285" s="51"/>
      <c r="AP285" s="47"/>
      <c r="AQ285" s="47"/>
      <c r="AR285" s="30"/>
      <c r="AS285" s="30"/>
      <c r="AT285" s="47"/>
      <c r="AU285" s="30"/>
      <c r="AV285" s="47"/>
      <c r="AW285" s="30"/>
      <c r="AY285" s="30"/>
      <c r="BB285" s="30"/>
      <c r="BC285" s="30"/>
      <c r="BG285" s="30"/>
      <c r="BJ285" s="30"/>
      <c r="BK285" s="30"/>
      <c r="BN285" s="30"/>
      <c r="BP285" s="30"/>
      <c r="BR285" s="30"/>
      <c r="BU285" s="30"/>
      <c r="BV285" s="30"/>
      <c r="BY285" s="30"/>
      <c r="BZ285" s="30"/>
      <c r="CB285" s="30"/>
      <c r="CE285" s="30"/>
      <c r="CF285" s="30"/>
      <c r="CI285" s="30"/>
      <c r="CM285" s="30"/>
      <c r="CP285" s="30"/>
      <c r="CS285" s="30"/>
      <c r="CW285" s="30"/>
      <c r="CZ285" s="30"/>
    </row>
    <row r="286" spans="1:104" s="63" customFormat="1" x14ac:dyDescent="0.3">
      <c r="A286" s="47" t="s">
        <v>48</v>
      </c>
      <c r="B286" s="47">
        <v>1</v>
      </c>
      <c r="C286" s="31" t="s">
        <v>43</v>
      </c>
      <c r="D286" s="48">
        <v>164</v>
      </c>
      <c r="E286" s="30" t="s">
        <v>100</v>
      </c>
      <c r="F286" s="65">
        <f>D286/D239</f>
        <v>1.4642857142857142</v>
      </c>
      <c r="G286" s="30" t="s">
        <v>105</v>
      </c>
      <c r="I286" s="30"/>
      <c r="J286" s="30"/>
      <c r="K286" s="30"/>
      <c r="L286" s="30"/>
      <c r="M286" s="30"/>
      <c r="N286" s="30"/>
      <c r="R286" s="30"/>
      <c r="S286" s="30"/>
      <c r="T286" s="30"/>
      <c r="U286" s="30"/>
      <c r="X286" s="30"/>
      <c r="Y286" s="30"/>
      <c r="Z286" s="69"/>
      <c r="AA286" s="69"/>
      <c r="AB286" s="69"/>
      <c r="AC286" s="51"/>
      <c r="AD286" s="51"/>
      <c r="AE286" s="51"/>
      <c r="AF286" s="30"/>
      <c r="AG286" s="30"/>
      <c r="AH286" s="30"/>
      <c r="AI286" s="30"/>
      <c r="AJ286" s="70"/>
      <c r="AK286" s="30"/>
      <c r="AL286" s="70"/>
      <c r="AM286" s="30"/>
      <c r="AN286" s="30"/>
      <c r="AO286" s="51"/>
      <c r="AP286" s="47"/>
      <c r="AQ286" s="47"/>
      <c r="AR286" s="30"/>
      <c r="AS286" s="30"/>
      <c r="AT286" s="47"/>
      <c r="AU286" s="30"/>
      <c r="AV286" s="47"/>
      <c r="AW286" s="30"/>
      <c r="AY286" s="30"/>
      <c r="BB286" s="30"/>
      <c r="BC286" s="30"/>
      <c r="BG286" s="30"/>
      <c r="BJ286" s="30"/>
      <c r="BK286" s="30"/>
      <c r="BN286" s="30"/>
      <c r="BP286" s="30"/>
      <c r="BR286" s="30"/>
      <c r="BU286" s="30"/>
      <c r="BV286" s="30"/>
      <c r="BY286" s="30"/>
      <c r="BZ286" s="30"/>
      <c r="CB286" s="30"/>
      <c r="CE286" s="30"/>
      <c r="CF286" s="30"/>
      <c r="CI286" s="30"/>
      <c r="CM286" s="30"/>
      <c r="CP286" s="30"/>
      <c r="CS286" s="30"/>
      <c r="CW286" s="30"/>
      <c r="CZ286" s="30"/>
    </row>
    <row r="287" spans="1:104" s="63" customFormat="1" x14ac:dyDescent="0.3">
      <c r="A287" s="107" t="s">
        <v>59</v>
      </c>
      <c r="B287" s="47">
        <v>1</v>
      </c>
      <c r="C287" s="31" t="s">
        <v>125</v>
      </c>
      <c r="D287" s="48">
        <v>2.0271699999999999</v>
      </c>
      <c r="E287" s="30" t="s">
        <v>46</v>
      </c>
      <c r="F287" s="65">
        <f>D288*D287/D239</f>
        <v>6.0815099999999997</v>
      </c>
      <c r="G287" s="30" t="s">
        <v>105</v>
      </c>
      <c r="I287" s="30"/>
      <c r="J287" s="30"/>
      <c r="K287" s="30"/>
      <c r="L287" s="30"/>
      <c r="M287" s="30"/>
      <c r="N287" s="30"/>
      <c r="R287" s="30"/>
      <c r="S287" s="30"/>
      <c r="T287" s="30"/>
      <c r="U287" s="30"/>
      <c r="X287" s="30"/>
      <c r="Y287" s="30"/>
      <c r="Z287" s="69"/>
      <c r="AA287" s="69"/>
      <c r="AB287" s="69"/>
      <c r="AC287" s="51"/>
      <c r="AD287" s="51"/>
      <c r="AE287" s="51"/>
      <c r="AF287" s="30"/>
      <c r="AG287" s="30"/>
      <c r="AH287" s="30"/>
      <c r="AI287" s="30"/>
      <c r="AJ287" s="70"/>
      <c r="AK287" s="30"/>
      <c r="AL287" s="70"/>
      <c r="AM287" s="30"/>
      <c r="AN287" s="30"/>
      <c r="AO287" s="51"/>
      <c r="AP287" s="47"/>
      <c r="AQ287" s="47"/>
      <c r="AR287" s="30"/>
      <c r="AS287" s="30"/>
      <c r="AT287" s="47"/>
      <c r="AU287" s="30"/>
      <c r="AV287" s="47"/>
      <c r="AW287" s="30"/>
      <c r="AY287" s="30"/>
      <c r="BB287" s="30"/>
      <c r="BC287" s="30"/>
      <c r="BG287" s="30"/>
      <c r="BJ287" s="30"/>
      <c r="BK287" s="30"/>
      <c r="BN287" s="30"/>
      <c r="BP287" s="30"/>
      <c r="BR287" s="30"/>
      <c r="BU287" s="30"/>
      <c r="BV287" s="30"/>
      <c r="BY287" s="30"/>
      <c r="BZ287" s="30"/>
      <c r="CB287" s="30"/>
      <c r="CE287" s="30"/>
      <c r="CF287" s="30"/>
      <c r="CI287" s="30"/>
      <c r="CM287" s="30"/>
      <c r="CP287" s="30"/>
      <c r="CS287" s="30"/>
      <c r="CW287" s="30"/>
      <c r="CZ287" s="30"/>
    </row>
    <row r="288" spans="1:104" s="63" customFormat="1" x14ac:dyDescent="0.3">
      <c r="A288" s="107"/>
      <c r="B288" s="47">
        <v>1</v>
      </c>
      <c r="C288" s="31" t="s">
        <v>46</v>
      </c>
      <c r="D288" s="48">
        <v>336</v>
      </c>
      <c r="E288" s="30" t="s">
        <v>100</v>
      </c>
      <c r="F288" s="65">
        <f>D288/D239</f>
        <v>3</v>
      </c>
      <c r="G288" s="30" t="s">
        <v>105</v>
      </c>
      <c r="H288" s="65">
        <f>F288/D231</f>
        <v>0.15</v>
      </c>
      <c r="I288" s="30" t="s">
        <v>31</v>
      </c>
      <c r="J288" s="30"/>
      <c r="K288" s="30"/>
      <c r="L288" s="30"/>
      <c r="M288" s="30"/>
      <c r="N288" s="30"/>
      <c r="R288" s="30"/>
      <c r="S288" s="30"/>
      <c r="T288" s="30"/>
      <c r="U288" s="30"/>
      <c r="X288" s="30"/>
      <c r="Y288" s="30"/>
      <c r="Z288" s="69"/>
      <c r="AA288" s="69"/>
      <c r="AB288" s="69"/>
      <c r="AC288" s="51"/>
      <c r="AD288" s="51"/>
      <c r="AE288" s="51"/>
      <c r="AF288" s="30"/>
      <c r="AG288" s="30"/>
      <c r="AH288" s="30"/>
      <c r="AI288" s="30"/>
      <c r="AJ288" s="70"/>
      <c r="AK288" s="30"/>
      <c r="AL288" s="70"/>
      <c r="AM288" s="30"/>
      <c r="AN288" s="30"/>
      <c r="AO288" s="51"/>
      <c r="AP288" s="47"/>
      <c r="AQ288" s="47"/>
      <c r="AR288" s="30"/>
      <c r="AS288" s="30"/>
      <c r="AT288" s="47"/>
      <c r="AU288" s="30"/>
      <c r="AV288" s="47"/>
      <c r="AW288" s="30"/>
      <c r="AY288" s="30"/>
      <c r="BB288" s="30"/>
      <c r="BC288" s="30"/>
      <c r="BG288" s="30"/>
      <c r="BJ288" s="30"/>
      <c r="BK288" s="30"/>
      <c r="BN288" s="30"/>
      <c r="BP288" s="30"/>
      <c r="BR288" s="30"/>
      <c r="BU288" s="30"/>
      <c r="BV288" s="30"/>
      <c r="BY288" s="30"/>
      <c r="BZ288" s="30"/>
      <c r="CB288" s="30"/>
      <c r="CE288" s="30"/>
      <c r="CF288" s="30"/>
      <c r="CI288" s="30"/>
      <c r="CM288" s="30"/>
      <c r="CP288" s="30"/>
      <c r="CS288" s="30"/>
      <c r="CW288" s="30"/>
      <c r="CZ288" s="30"/>
    </row>
    <row r="289" spans="1:104" s="63" customFormat="1" x14ac:dyDescent="0.3">
      <c r="A289" s="73" t="s">
        <v>126</v>
      </c>
      <c r="B289" s="47">
        <v>1</v>
      </c>
      <c r="C289" s="31" t="s">
        <v>43</v>
      </c>
      <c r="D289" s="48">
        <v>746.66700000000003</v>
      </c>
      <c r="E289" s="30" t="s">
        <v>100</v>
      </c>
      <c r="F289" s="65">
        <f>D289/D239</f>
        <v>6.6666696428571433</v>
      </c>
      <c r="G289" s="30" t="s">
        <v>105</v>
      </c>
      <c r="H289" s="65">
        <f>F289/D231</f>
        <v>0.33333348214285718</v>
      </c>
      <c r="I289" s="30" t="s">
        <v>31</v>
      </c>
      <c r="J289" s="30"/>
      <c r="K289" s="30"/>
      <c r="L289" s="30"/>
      <c r="M289" s="30"/>
      <c r="N289" s="30"/>
      <c r="R289" s="30"/>
      <c r="S289" s="30"/>
      <c r="T289" s="30"/>
      <c r="U289" s="30"/>
      <c r="X289" s="30"/>
      <c r="Y289" s="30"/>
      <c r="Z289" s="69"/>
      <c r="AA289" s="69"/>
      <c r="AB289" s="69"/>
      <c r="AC289" s="51"/>
      <c r="AD289" s="51"/>
      <c r="AE289" s="51"/>
      <c r="AF289" s="30"/>
      <c r="AG289" s="30"/>
      <c r="AH289" s="30"/>
      <c r="AI289" s="30"/>
      <c r="AJ289" s="70"/>
      <c r="AK289" s="30"/>
      <c r="AL289" s="70"/>
      <c r="AM289" s="30"/>
      <c r="AN289" s="30"/>
      <c r="AO289" s="51"/>
      <c r="AP289" s="47"/>
      <c r="AQ289" s="47"/>
      <c r="AR289" s="30"/>
      <c r="AS289" s="30"/>
      <c r="AT289" s="47"/>
      <c r="AU289" s="30"/>
      <c r="AV289" s="47"/>
      <c r="AW289" s="30"/>
      <c r="AY289" s="30"/>
      <c r="BB289" s="30"/>
      <c r="BC289" s="30"/>
      <c r="BG289" s="30"/>
      <c r="BJ289" s="30"/>
      <c r="BK289" s="30"/>
      <c r="BN289" s="30"/>
      <c r="BP289" s="30"/>
      <c r="BR289" s="30"/>
      <c r="BU289" s="30"/>
      <c r="BV289" s="30"/>
      <c r="BY289" s="30"/>
      <c r="BZ289" s="30"/>
      <c r="CB289" s="30"/>
      <c r="CE289" s="30"/>
      <c r="CF289" s="30"/>
      <c r="CI289" s="30"/>
      <c r="CM289" s="30"/>
      <c r="CP289" s="30"/>
      <c r="CS289" s="30"/>
      <c r="CW289" s="30"/>
      <c r="CZ289" s="30"/>
    </row>
    <row r="290" spans="1:104" s="63" customFormat="1" x14ac:dyDescent="0.3">
      <c r="A290" s="107" t="s">
        <v>6</v>
      </c>
      <c r="B290" s="47">
        <v>1</v>
      </c>
      <c r="C290" s="31" t="s">
        <v>123</v>
      </c>
      <c r="D290" s="48">
        <v>260</v>
      </c>
      <c r="E290" s="30" t="s">
        <v>100</v>
      </c>
      <c r="F290" s="65">
        <f>D290/D239</f>
        <v>2.3214285714285716</v>
      </c>
      <c r="G290" s="30" t="s">
        <v>105</v>
      </c>
      <c r="I290" s="30"/>
      <c r="J290" s="30"/>
      <c r="K290" s="30"/>
      <c r="L290" s="30"/>
      <c r="M290" s="30"/>
      <c r="N290" s="30"/>
      <c r="R290" s="30"/>
      <c r="S290" s="30"/>
      <c r="T290" s="30"/>
      <c r="U290" s="30"/>
      <c r="X290" s="30"/>
      <c r="Y290" s="30"/>
      <c r="AC290" s="51"/>
      <c r="AD290" s="51"/>
      <c r="AE290" s="51"/>
      <c r="AF290" s="30"/>
      <c r="AG290" s="30"/>
      <c r="AH290" s="30"/>
      <c r="AI290" s="30"/>
      <c r="AJ290" s="47"/>
      <c r="AK290" s="30"/>
      <c r="AL290" s="47"/>
      <c r="AM290" s="30"/>
      <c r="AN290" s="30"/>
      <c r="AO290" s="51"/>
      <c r="AP290" s="47"/>
      <c r="AQ290" s="47"/>
      <c r="AR290" s="30"/>
      <c r="AS290" s="30"/>
      <c r="AT290" s="47"/>
      <c r="AU290" s="30"/>
      <c r="AV290" s="47"/>
      <c r="AW290" s="30"/>
      <c r="AY290" s="30"/>
      <c r="BB290" s="30"/>
      <c r="BC290" s="30"/>
      <c r="BG290" s="30"/>
      <c r="BJ290" s="30"/>
      <c r="BK290" s="30"/>
      <c r="BN290" s="30"/>
      <c r="BP290" s="30"/>
      <c r="BR290" s="30"/>
      <c r="BU290" s="30"/>
      <c r="BV290" s="30"/>
      <c r="BY290" s="30"/>
      <c r="BZ290" s="30"/>
      <c r="CB290" s="30"/>
      <c r="CE290" s="30"/>
      <c r="CF290" s="30"/>
      <c r="CI290" s="30"/>
      <c r="CM290" s="30"/>
      <c r="CP290" s="30"/>
      <c r="CS290" s="30"/>
      <c r="CW290" s="30"/>
      <c r="CZ290" s="30"/>
    </row>
    <row r="291" spans="1:104" s="63" customFormat="1" x14ac:dyDescent="0.3">
      <c r="A291" s="107"/>
      <c r="B291" s="47">
        <v>1</v>
      </c>
      <c r="C291" s="31" t="s">
        <v>43</v>
      </c>
      <c r="D291" s="48">
        <v>1.5662799999999999</v>
      </c>
      <c r="E291" s="30" t="s">
        <v>105</v>
      </c>
      <c r="F291" s="65">
        <f>D291/D231</f>
        <v>7.8313999999999995E-2</v>
      </c>
      <c r="G291" s="30" t="s">
        <v>31</v>
      </c>
      <c r="I291" s="30"/>
      <c r="J291" s="30"/>
      <c r="K291" s="30"/>
      <c r="L291" s="30"/>
      <c r="M291" s="30"/>
      <c r="N291" s="30"/>
      <c r="R291" s="30"/>
      <c r="S291" s="30"/>
      <c r="T291" s="30"/>
      <c r="U291" s="30"/>
      <c r="X291" s="30"/>
      <c r="Y291" s="30"/>
      <c r="AC291" s="51"/>
      <c r="AD291" s="51"/>
      <c r="AE291" s="51"/>
      <c r="AF291" s="30"/>
      <c r="AG291" s="30"/>
      <c r="AH291" s="30"/>
      <c r="AI291" s="30"/>
      <c r="AJ291" s="47"/>
      <c r="AK291" s="30"/>
      <c r="AL291" s="47"/>
      <c r="AM291" s="30"/>
      <c r="AN291" s="30"/>
      <c r="AO291" s="51"/>
      <c r="AP291" s="47"/>
      <c r="AQ291" s="47"/>
      <c r="AR291" s="30"/>
      <c r="AS291" s="30"/>
      <c r="AT291" s="47"/>
      <c r="AU291" s="30"/>
      <c r="AV291" s="47"/>
      <c r="AW291" s="30"/>
      <c r="AY291" s="30"/>
      <c r="BB291" s="30"/>
      <c r="BC291" s="30"/>
      <c r="BG291" s="30"/>
      <c r="BJ291" s="30"/>
      <c r="BK291" s="30"/>
      <c r="BN291" s="30"/>
      <c r="BP291" s="30"/>
      <c r="BR291" s="30"/>
      <c r="BU291" s="30"/>
      <c r="BV291" s="30"/>
      <c r="BY291" s="30"/>
      <c r="BZ291" s="30"/>
      <c r="CB291" s="30"/>
      <c r="CE291" s="30"/>
      <c r="CF291" s="30"/>
      <c r="CI291" s="30"/>
      <c r="CM291" s="30"/>
      <c r="CP291" s="30"/>
      <c r="CS291" s="30"/>
      <c r="CW291" s="30"/>
      <c r="CZ291" s="30"/>
    </row>
    <row r="292" spans="1:104" s="63" customFormat="1" x14ac:dyDescent="0.3">
      <c r="A292" s="107"/>
      <c r="B292" s="47">
        <v>1</v>
      </c>
      <c r="C292" s="31" t="s">
        <v>26</v>
      </c>
      <c r="D292" s="48">
        <v>560</v>
      </c>
      <c r="E292" s="30" t="s">
        <v>100</v>
      </c>
      <c r="F292" s="65">
        <f>D292/D239</f>
        <v>5</v>
      </c>
      <c r="G292" s="30" t="s">
        <v>105</v>
      </c>
      <c r="H292" s="51"/>
      <c r="I292" s="30"/>
      <c r="J292" s="30"/>
      <c r="K292" s="30"/>
      <c r="L292" s="30"/>
      <c r="M292" s="30"/>
      <c r="N292" s="30"/>
      <c r="P292" s="51"/>
      <c r="Q292" s="51"/>
      <c r="R292" s="30"/>
      <c r="S292" s="30"/>
      <c r="T292" s="30"/>
      <c r="U292" s="30"/>
      <c r="X292" s="30"/>
      <c r="Y292" s="30"/>
      <c r="AF292" s="30"/>
      <c r="AG292" s="30"/>
      <c r="AH292" s="30"/>
      <c r="AI292" s="30"/>
      <c r="AJ292" s="47"/>
      <c r="AK292" s="30"/>
      <c r="AM292" s="30"/>
      <c r="AN292" s="30"/>
      <c r="AP292" s="51"/>
      <c r="AQ292" s="51"/>
      <c r="AR292" s="30"/>
      <c r="AS292" s="30"/>
      <c r="AU292" s="30"/>
      <c r="AW292" s="30"/>
      <c r="AY292" s="30"/>
      <c r="BB292" s="30"/>
      <c r="BC292" s="30"/>
      <c r="BG292" s="30"/>
      <c r="BJ292" s="30"/>
      <c r="BK292" s="30"/>
      <c r="BM292" s="51"/>
      <c r="BN292" s="30"/>
      <c r="BP292" s="30"/>
      <c r="BR292" s="30"/>
      <c r="BU292" s="30"/>
      <c r="BV292" s="30"/>
      <c r="BY292" s="30"/>
      <c r="BZ292" s="30"/>
      <c r="CB292" s="30"/>
      <c r="CE292" s="30"/>
      <c r="CF292" s="30"/>
      <c r="CI292" s="30"/>
      <c r="CM292" s="30"/>
      <c r="CP292" s="30"/>
      <c r="CS292" s="30"/>
      <c r="CW292" s="30"/>
      <c r="CZ292" s="30"/>
    </row>
    <row r="293" spans="1:104" s="47" customFormat="1" x14ac:dyDescent="0.3">
      <c r="A293" s="107" t="s">
        <v>86</v>
      </c>
      <c r="B293" s="47">
        <v>1</v>
      </c>
      <c r="C293" s="30" t="s">
        <v>46</v>
      </c>
      <c r="D293" s="74">
        <v>80</v>
      </c>
      <c r="E293" s="30" t="s">
        <v>100</v>
      </c>
      <c r="F293" s="75">
        <f>D293/D294</f>
        <v>0.7142857142857143</v>
      </c>
      <c r="G293" s="30" t="s">
        <v>105</v>
      </c>
      <c r="H293" s="74"/>
      <c r="I293" s="30"/>
      <c r="J293" s="30"/>
      <c r="K293" s="30"/>
      <c r="L293" s="30"/>
      <c r="M293" s="30"/>
      <c r="N293" s="30"/>
      <c r="O293" s="74"/>
      <c r="P293" s="74"/>
      <c r="Q293" s="74"/>
      <c r="R293" s="30"/>
      <c r="S293" s="30"/>
      <c r="T293" s="30"/>
      <c r="U293" s="30"/>
      <c r="V293" s="74"/>
      <c r="W293" s="74"/>
      <c r="X293" s="30"/>
      <c r="Y293" s="30"/>
      <c r="AF293" s="30"/>
      <c r="AG293" s="30"/>
      <c r="AH293" s="30"/>
      <c r="AI293" s="30"/>
      <c r="AK293" s="30"/>
      <c r="AM293" s="30"/>
      <c r="AN293" s="30"/>
      <c r="AR293" s="30"/>
      <c r="AS293" s="30"/>
      <c r="AU293" s="30"/>
      <c r="AW293" s="30"/>
      <c r="AY293" s="30"/>
      <c r="BB293" s="30"/>
      <c r="BC293" s="30"/>
      <c r="BG293" s="30"/>
      <c r="BJ293" s="30"/>
      <c r="BK293" s="30"/>
      <c r="BN293" s="30"/>
      <c r="BP293" s="30"/>
      <c r="BR293" s="30"/>
      <c r="BU293" s="30"/>
      <c r="BV293" s="30"/>
      <c r="BY293" s="30"/>
      <c r="BZ293" s="30"/>
      <c r="CB293" s="30"/>
      <c r="CE293" s="30"/>
      <c r="CF293" s="30"/>
      <c r="CI293" s="30"/>
      <c r="CM293" s="30"/>
      <c r="CP293" s="30"/>
      <c r="CS293" s="30"/>
      <c r="CW293" s="30"/>
      <c r="CZ293" s="30"/>
    </row>
    <row r="294" spans="1:104" s="47" customFormat="1" x14ac:dyDescent="0.3">
      <c r="A294" s="107"/>
      <c r="B294" s="47">
        <v>1</v>
      </c>
      <c r="C294" s="30" t="s">
        <v>105</v>
      </c>
      <c r="D294" s="74">
        <v>112</v>
      </c>
      <c r="E294" s="30" t="s">
        <v>100</v>
      </c>
      <c r="F294" s="74"/>
      <c r="G294" s="74"/>
      <c r="H294" s="74"/>
      <c r="I294" s="30"/>
      <c r="J294" s="30"/>
      <c r="K294" s="30"/>
      <c r="L294" s="30"/>
      <c r="M294" s="30"/>
      <c r="N294" s="30"/>
      <c r="O294" s="74"/>
      <c r="P294" s="74"/>
      <c r="Q294" s="74"/>
      <c r="R294" s="30"/>
      <c r="S294" s="30"/>
      <c r="T294" s="30"/>
      <c r="U294" s="30"/>
      <c r="V294" s="74"/>
      <c r="W294" s="74"/>
      <c r="X294" s="30"/>
      <c r="Y294" s="30"/>
      <c r="AF294" s="30"/>
      <c r="AG294" s="30"/>
      <c r="AH294" s="30"/>
      <c r="AI294" s="30"/>
      <c r="AK294" s="30"/>
      <c r="AM294" s="30"/>
      <c r="AN294" s="30"/>
      <c r="AR294" s="30"/>
      <c r="AS294" s="30"/>
      <c r="AU294" s="30"/>
      <c r="AW294" s="30"/>
      <c r="AY294" s="30"/>
      <c r="BB294" s="30"/>
      <c r="BC294" s="30"/>
      <c r="BG294" s="30"/>
      <c r="BJ294" s="30"/>
      <c r="BK294" s="30"/>
      <c r="BN294" s="30"/>
      <c r="BP294" s="30"/>
      <c r="BR294" s="30"/>
      <c r="BU294" s="30"/>
      <c r="BV294" s="30"/>
      <c r="BY294" s="30"/>
      <c r="BZ294" s="30"/>
      <c r="CB294" s="30"/>
      <c r="CE294" s="30"/>
      <c r="CF294" s="30"/>
      <c r="CI294" s="30"/>
      <c r="CM294" s="30"/>
      <c r="CP294" s="30"/>
      <c r="CS294" s="30"/>
      <c r="CW294" s="30"/>
      <c r="CZ294" s="30"/>
    </row>
    <row r="295" spans="1:104" s="47" customFormat="1" x14ac:dyDescent="0.3">
      <c r="A295" s="73" t="s">
        <v>127</v>
      </c>
      <c r="B295" s="47">
        <v>1</v>
      </c>
      <c r="C295" s="31" t="s">
        <v>46</v>
      </c>
      <c r="D295" s="48">
        <v>336</v>
      </c>
      <c r="E295" s="30" t="s">
        <v>100</v>
      </c>
      <c r="F295" s="65">
        <f>D295/D294</f>
        <v>3</v>
      </c>
      <c r="G295" s="30" t="s">
        <v>105</v>
      </c>
      <c r="H295" s="74"/>
      <c r="I295" s="30"/>
      <c r="J295" s="30"/>
      <c r="K295" s="30"/>
      <c r="L295" s="30"/>
      <c r="M295" s="30"/>
      <c r="N295" s="30"/>
      <c r="O295" s="74"/>
      <c r="P295" s="74"/>
      <c r="Q295" s="74"/>
      <c r="R295" s="30"/>
      <c r="S295" s="30"/>
      <c r="T295" s="30"/>
      <c r="U295" s="30"/>
      <c r="V295" s="74"/>
      <c r="W295" s="74"/>
      <c r="X295" s="30"/>
      <c r="Y295" s="30"/>
      <c r="AF295" s="30"/>
      <c r="AG295" s="30"/>
      <c r="AH295" s="30"/>
      <c r="AI295" s="30"/>
      <c r="AK295" s="30"/>
      <c r="AM295" s="30"/>
      <c r="AN295" s="30"/>
      <c r="AR295" s="30"/>
      <c r="AS295" s="30"/>
      <c r="AU295" s="30"/>
      <c r="AW295" s="30"/>
      <c r="AY295" s="30"/>
      <c r="BB295" s="30"/>
      <c r="BC295" s="30"/>
      <c r="BG295" s="30"/>
      <c r="BJ295" s="30"/>
      <c r="BK295" s="30"/>
      <c r="BN295" s="30"/>
      <c r="BP295" s="30"/>
      <c r="BR295" s="30"/>
      <c r="BU295" s="30"/>
      <c r="BV295" s="30"/>
      <c r="BY295" s="30"/>
      <c r="BZ295" s="30"/>
      <c r="CB295" s="30"/>
      <c r="CE295" s="30"/>
      <c r="CF295" s="30"/>
      <c r="CI295" s="30"/>
      <c r="CM295" s="30"/>
      <c r="CP295" s="30"/>
      <c r="CS295" s="30"/>
      <c r="CW295" s="30"/>
      <c r="CZ295" s="30"/>
    </row>
    <row r="296" spans="1:104" s="47" customFormat="1" x14ac:dyDescent="0.3">
      <c r="A296" s="47" t="s">
        <v>128</v>
      </c>
      <c r="B296" s="47">
        <v>1</v>
      </c>
      <c r="C296" s="31" t="s">
        <v>129</v>
      </c>
      <c r="D296" s="48">
        <v>9</v>
      </c>
      <c r="E296" s="30" t="s">
        <v>18</v>
      </c>
      <c r="F296" s="74"/>
      <c r="G296" s="74"/>
      <c r="H296" s="74"/>
      <c r="I296" s="30"/>
      <c r="J296" s="30"/>
      <c r="K296" s="30"/>
      <c r="L296" s="30"/>
      <c r="M296" s="30"/>
      <c r="N296" s="30"/>
      <c r="O296" s="74"/>
      <c r="P296" s="74"/>
      <c r="Q296" s="74"/>
      <c r="R296" s="30"/>
      <c r="S296" s="30"/>
      <c r="T296" s="30"/>
      <c r="U296" s="30"/>
      <c r="V296" s="74"/>
      <c r="W296" s="74"/>
      <c r="X296" s="30"/>
      <c r="Y296" s="30"/>
      <c r="AF296" s="30"/>
      <c r="AG296" s="30"/>
      <c r="AH296" s="30"/>
      <c r="AI296" s="30"/>
      <c r="AK296" s="30"/>
      <c r="AM296" s="30"/>
      <c r="AN296" s="30"/>
      <c r="AR296" s="30"/>
      <c r="AS296" s="30"/>
      <c r="AU296" s="30"/>
      <c r="AW296" s="30"/>
      <c r="AY296" s="30"/>
      <c r="BB296" s="30"/>
      <c r="BC296" s="30"/>
      <c r="BG296" s="30"/>
      <c r="BJ296" s="30"/>
      <c r="BK296" s="30"/>
      <c r="BN296" s="30"/>
      <c r="BP296" s="30"/>
      <c r="BR296" s="30"/>
      <c r="BU296" s="30"/>
      <c r="BV296" s="30"/>
      <c r="BY296" s="30"/>
      <c r="BZ296" s="30"/>
      <c r="CB296" s="30"/>
      <c r="CE296" s="30"/>
      <c r="CF296" s="30"/>
      <c r="CI296" s="30"/>
      <c r="CM296" s="30"/>
      <c r="CP296" s="30"/>
      <c r="CS296" s="30"/>
      <c r="CW296" s="30"/>
      <c r="CZ296" s="30"/>
    </row>
    <row r="297" spans="1:104" s="47" customFormat="1" x14ac:dyDescent="0.3">
      <c r="A297" s="47" t="s">
        <v>87</v>
      </c>
      <c r="B297" s="47">
        <v>1</v>
      </c>
      <c r="C297" s="31" t="s">
        <v>43</v>
      </c>
      <c r="D297" s="48">
        <f>756/3720</f>
        <v>0.20322580645161289</v>
      </c>
      <c r="E297" s="30" t="s">
        <v>105</v>
      </c>
      <c r="F297" s="75">
        <f>D297/D231</f>
        <v>1.0161290322580644E-2</v>
      </c>
      <c r="G297" s="34" t="s">
        <v>31</v>
      </c>
      <c r="H297" s="74"/>
      <c r="I297" s="30"/>
      <c r="J297" s="30"/>
      <c r="K297" s="30"/>
      <c r="L297" s="30"/>
      <c r="M297" s="30"/>
      <c r="N297" s="30"/>
      <c r="O297" s="74"/>
      <c r="P297" s="74"/>
      <c r="Q297" s="74"/>
      <c r="R297" s="30"/>
      <c r="S297" s="30"/>
      <c r="T297" s="30"/>
      <c r="U297" s="30"/>
      <c r="V297" s="74"/>
      <c r="W297" s="74"/>
      <c r="X297" s="30"/>
      <c r="Y297" s="30"/>
      <c r="AF297" s="30"/>
      <c r="AG297" s="30"/>
      <c r="AH297" s="30"/>
      <c r="AI297" s="30"/>
      <c r="AK297" s="30"/>
      <c r="AM297" s="30"/>
      <c r="AN297" s="30"/>
      <c r="AR297" s="30"/>
      <c r="AS297" s="30"/>
      <c r="AU297" s="30"/>
      <c r="AW297" s="30"/>
      <c r="AY297" s="30"/>
      <c r="BB297" s="30"/>
      <c r="BC297" s="30"/>
      <c r="BG297" s="30"/>
      <c r="BJ297" s="30"/>
      <c r="BK297" s="30"/>
      <c r="BN297" s="30"/>
      <c r="BP297" s="30"/>
      <c r="BR297" s="30"/>
      <c r="BU297" s="30"/>
      <c r="BV297" s="30"/>
      <c r="BY297" s="30"/>
      <c r="BZ297" s="30"/>
      <c r="CB297" s="30"/>
      <c r="CE297" s="30"/>
      <c r="CF297" s="30"/>
      <c r="CI297" s="30"/>
      <c r="CM297" s="30"/>
      <c r="CP297" s="30"/>
      <c r="CS297" s="30"/>
      <c r="CW297" s="30"/>
      <c r="CZ297" s="30"/>
    </row>
    <row r="298" spans="1:104" s="47" customFormat="1" x14ac:dyDescent="0.3">
      <c r="A298" s="47" t="s">
        <v>9</v>
      </c>
      <c r="B298" s="47">
        <v>1</v>
      </c>
      <c r="C298" s="31" t="s">
        <v>111</v>
      </c>
      <c r="D298" s="48">
        <f>600/400</f>
        <v>1.5</v>
      </c>
      <c r="E298" s="30" t="s">
        <v>105</v>
      </c>
      <c r="F298" s="74"/>
      <c r="G298" s="74"/>
      <c r="H298" s="74"/>
      <c r="I298" s="30"/>
      <c r="J298" s="30"/>
      <c r="K298" s="30"/>
      <c r="L298" s="30"/>
      <c r="M298" s="30"/>
      <c r="N298" s="30"/>
      <c r="O298" s="74"/>
      <c r="P298" s="74"/>
      <c r="Q298" s="74"/>
      <c r="R298" s="30"/>
      <c r="S298" s="30"/>
      <c r="T298" s="30"/>
      <c r="U298" s="30"/>
      <c r="V298" s="74"/>
      <c r="W298" s="74"/>
      <c r="X298" s="30"/>
      <c r="Y298" s="30"/>
      <c r="AF298" s="30"/>
      <c r="AG298" s="30"/>
      <c r="AH298" s="30"/>
      <c r="AI298" s="30"/>
      <c r="AK298" s="30"/>
      <c r="AM298" s="30"/>
      <c r="AN298" s="30"/>
      <c r="AR298" s="30"/>
      <c r="AS298" s="30"/>
      <c r="AU298" s="30"/>
      <c r="AW298" s="30"/>
      <c r="AY298" s="30"/>
      <c r="BB298" s="30"/>
      <c r="BC298" s="30"/>
      <c r="BG298" s="30"/>
      <c r="BJ298" s="30"/>
      <c r="BK298" s="30"/>
      <c r="BN298" s="30"/>
      <c r="BP298" s="30"/>
      <c r="BR298" s="30"/>
      <c r="BU298" s="30"/>
      <c r="BV298" s="30"/>
      <c r="BY298" s="30"/>
      <c r="BZ298" s="30"/>
      <c r="CB298" s="30"/>
      <c r="CE298" s="30"/>
      <c r="CF298" s="30"/>
      <c r="CI298" s="30"/>
      <c r="CM298" s="30"/>
      <c r="CP298" s="30"/>
      <c r="CS298" s="30"/>
      <c r="CW298" s="30"/>
      <c r="CZ298" s="30"/>
    </row>
    <row r="299" spans="1:104" s="47" customFormat="1" x14ac:dyDescent="0.3">
      <c r="A299" s="47" t="s">
        <v>130</v>
      </c>
      <c r="B299" s="47">
        <v>1</v>
      </c>
      <c r="C299" s="31" t="s">
        <v>46</v>
      </c>
      <c r="D299" s="48">
        <f>600/400</f>
        <v>1.5</v>
      </c>
      <c r="E299" s="30" t="s">
        <v>105</v>
      </c>
      <c r="F299" s="74"/>
      <c r="G299" s="74"/>
      <c r="H299" s="74"/>
      <c r="I299" s="30"/>
      <c r="J299" s="30"/>
      <c r="K299" s="30"/>
      <c r="L299" s="30"/>
      <c r="M299" s="30"/>
      <c r="N299" s="30"/>
      <c r="O299" s="74"/>
      <c r="P299" s="74"/>
      <c r="Q299" s="74"/>
      <c r="R299" s="30"/>
      <c r="S299" s="30"/>
      <c r="T299" s="30"/>
      <c r="U299" s="30"/>
      <c r="V299" s="74"/>
      <c r="W299" s="74"/>
      <c r="X299" s="30"/>
      <c r="Y299" s="30"/>
      <c r="AF299" s="30"/>
      <c r="AG299" s="30"/>
      <c r="AH299" s="30"/>
      <c r="AI299" s="30"/>
      <c r="AK299" s="30"/>
      <c r="AM299" s="30"/>
      <c r="AN299" s="30"/>
      <c r="AR299" s="30"/>
      <c r="AS299" s="30"/>
      <c r="AU299" s="30"/>
      <c r="AW299" s="30"/>
      <c r="AY299" s="30"/>
      <c r="BB299" s="30"/>
      <c r="BC299" s="30"/>
      <c r="BG299" s="30"/>
      <c r="BJ299" s="30"/>
      <c r="BK299" s="30"/>
      <c r="BN299" s="30"/>
      <c r="BP299" s="30"/>
      <c r="BR299" s="30"/>
      <c r="BU299" s="30"/>
      <c r="BV299" s="30"/>
      <c r="BY299" s="30"/>
      <c r="BZ299" s="30"/>
      <c r="CB299" s="30"/>
      <c r="CE299" s="30"/>
      <c r="CF299" s="30"/>
      <c r="CI299" s="30"/>
      <c r="CM299" s="30"/>
      <c r="CP299" s="30"/>
      <c r="CS299" s="30"/>
      <c r="CW299" s="30"/>
      <c r="CZ299" s="30"/>
    </row>
    <row r="300" spans="1:104" s="47" customFormat="1" x14ac:dyDescent="0.3">
      <c r="A300" s="47" t="s">
        <v>37</v>
      </c>
      <c r="B300" s="47">
        <v>1</v>
      </c>
      <c r="C300" s="31" t="s">
        <v>43</v>
      </c>
      <c r="D300" s="48">
        <f>3600/2400</f>
        <v>1.5</v>
      </c>
      <c r="E300" s="30" t="s">
        <v>105</v>
      </c>
      <c r="F300" s="75">
        <f>D300/D231</f>
        <v>7.4999999999999997E-2</v>
      </c>
      <c r="G300" s="34" t="s">
        <v>31</v>
      </c>
      <c r="H300" s="74"/>
      <c r="I300" s="30"/>
      <c r="J300" s="30"/>
      <c r="K300" s="30"/>
      <c r="L300" s="30"/>
      <c r="M300" s="30"/>
      <c r="N300" s="30"/>
      <c r="O300" s="74"/>
      <c r="P300" s="74"/>
      <c r="Q300" s="74"/>
      <c r="R300" s="30"/>
      <c r="S300" s="30"/>
      <c r="T300" s="30"/>
      <c r="U300" s="30"/>
      <c r="V300" s="74"/>
      <c r="W300" s="74"/>
      <c r="X300" s="30"/>
      <c r="Y300" s="30"/>
      <c r="AF300" s="30"/>
      <c r="AG300" s="30"/>
      <c r="AH300" s="30"/>
      <c r="AI300" s="30"/>
      <c r="AK300" s="30"/>
      <c r="AM300" s="30"/>
      <c r="AN300" s="30"/>
      <c r="AR300" s="30"/>
      <c r="AS300" s="30"/>
      <c r="AU300" s="30"/>
      <c r="AW300" s="30"/>
      <c r="AY300" s="30"/>
      <c r="BB300" s="30"/>
      <c r="BC300" s="30"/>
      <c r="BG300" s="30"/>
      <c r="BJ300" s="30"/>
      <c r="BK300" s="30"/>
      <c r="BN300" s="30"/>
      <c r="BP300" s="30"/>
      <c r="BR300" s="30"/>
      <c r="BU300" s="30"/>
      <c r="BV300" s="30"/>
      <c r="BY300" s="30"/>
      <c r="BZ300" s="30"/>
      <c r="CB300" s="30"/>
      <c r="CE300" s="30"/>
      <c r="CF300" s="30"/>
      <c r="CI300" s="30"/>
      <c r="CM300" s="30"/>
      <c r="CP300" s="30"/>
      <c r="CS300" s="30"/>
      <c r="CW300" s="30"/>
      <c r="CZ300" s="30"/>
    </row>
    <row r="301" spans="1:104" s="63" customFormat="1" x14ac:dyDescent="0.3">
      <c r="A301" s="47" t="s">
        <v>25</v>
      </c>
      <c r="B301" s="47">
        <v>1</v>
      </c>
      <c r="C301" s="31" t="s">
        <v>43</v>
      </c>
      <c r="D301" s="63">
        <v>153.125</v>
      </c>
      <c r="E301" s="30" t="s">
        <v>100</v>
      </c>
      <c r="F301" s="65">
        <f>D301/D239</f>
        <v>1.3671875</v>
      </c>
      <c r="G301" s="30" t="s">
        <v>105</v>
      </c>
      <c r="H301" s="51"/>
      <c r="K301" s="30"/>
      <c r="L301" s="30"/>
      <c r="M301" s="30"/>
      <c r="N301" s="30"/>
      <c r="P301" s="51"/>
      <c r="Q301" s="51"/>
      <c r="U301" s="30"/>
      <c r="Y301" s="30"/>
      <c r="AF301" s="30"/>
      <c r="AG301" s="30"/>
      <c r="AH301" s="30"/>
      <c r="AJ301" s="47"/>
      <c r="AK301" s="30"/>
      <c r="AN301" s="30"/>
      <c r="AP301" s="51"/>
      <c r="AQ301" s="51"/>
      <c r="AR301" s="30"/>
      <c r="AU301" s="30"/>
      <c r="AY301" s="30"/>
      <c r="BC301" s="30"/>
      <c r="BG301" s="30"/>
      <c r="BK301" s="30"/>
      <c r="BM301" s="51"/>
      <c r="BN301" s="30"/>
      <c r="BR301" s="30"/>
      <c r="BU301" s="30"/>
      <c r="BY301" s="30"/>
      <c r="CB301" s="30"/>
      <c r="CE301" s="30"/>
    </row>
    <row r="302" spans="1:104" s="47" customFormat="1" x14ac:dyDescent="0.3">
      <c r="A302" s="107" t="s">
        <v>33</v>
      </c>
      <c r="B302" s="47">
        <v>1</v>
      </c>
      <c r="C302" s="30" t="s">
        <v>28</v>
      </c>
      <c r="D302" s="48">
        <v>1</v>
      </c>
      <c r="E302" s="30" t="s">
        <v>46</v>
      </c>
      <c r="F302" s="65">
        <f>F303</f>
        <v>3.0446428571428572</v>
      </c>
      <c r="G302" s="30" t="s">
        <v>105</v>
      </c>
      <c r="I302" s="63"/>
      <c r="J302" s="63"/>
      <c r="K302" s="30"/>
      <c r="L302" s="30"/>
      <c r="M302" s="30"/>
      <c r="N302" s="30"/>
      <c r="R302" s="63"/>
      <c r="S302" s="63"/>
      <c r="T302" s="63"/>
      <c r="U302" s="30"/>
      <c r="X302" s="63"/>
      <c r="Y302" s="30"/>
      <c r="AF302" s="30"/>
      <c r="AG302" s="30"/>
      <c r="AH302" s="30"/>
      <c r="AI302" s="63"/>
      <c r="AK302" s="30"/>
      <c r="AM302" s="63"/>
      <c r="AN302" s="30"/>
      <c r="AR302" s="30"/>
      <c r="AS302" s="63"/>
      <c r="AU302" s="30"/>
      <c r="AW302" s="63"/>
      <c r="AY302" s="30"/>
      <c r="BB302" s="63"/>
      <c r="BC302" s="30"/>
      <c r="BG302" s="30"/>
      <c r="BJ302" s="63"/>
      <c r="BK302" s="30"/>
      <c r="BN302" s="30"/>
      <c r="BP302" s="63"/>
      <c r="BR302" s="30"/>
      <c r="BU302" s="30"/>
      <c r="BV302" s="63"/>
      <c r="BY302" s="30"/>
      <c r="BZ302" s="63"/>
      <c r="CB302" s="30"/>
      <c r="CE302" s="30"/>
      <c r="CF302" s="63"/>
      <c r="CI302" s="63"/>
      <c r="CM302" s="63"/>
      <c r="CP302" s="63"/>
      <c r="CS302" s="63"/>
      <c r="CW302" s="63"/>
      <c r="CZ302" s="63"/>
    </row>
    <row r="303" spans="1:104" s="47" customFormat="1" x14ac:dyDescent="0.3">
      <c r="A303" s="107"/>
      <c r="B303" s="47">
        <v>1</v>
      </c>
      <c r="C303" s="30" t="s">
        <v>46</v>
      </c>
      <c r="D303" s="48">
        <f>(355+327)/2</f>
        <v>341</v>
      </c>
      <c r="E303" s="30" t="s">
        <v>100</v>
      </c>
      <c r="F303" s="65">
        <f>D303/D239</f>
        <v>3.0446428571428572</v>
      </c>
      <c r="G303" s="30" t="s">
        <v>105</v>
      </c>
      <c r="I303" s="63"/>
      <c r="J303" s="63"/>
      <c r="K303" s="30"/>
      <c r="L303" s="30"/>
      <c r="M303" s="30"/>
      <c r="N303" s="30"/>
      <c r="R303" s="63"/>
      <c r="S303" s="63"/>
      <c r="T303" s="63"/>
      <c r="U303" s="30"/>
      <c r="X303" s="63"/>
      <c r="Y303" s="30"/>
      <c r="AF303" s="30"/>
      <c r="AG303" s="30"/>
      <c r="AH303" s="30"/>
      <c r="AI303" s="63"/>
      <c r="AK303" s="30"/>
      <c r="AM303" s="63"/>
      <c r="AN303" s="30"/>
      <c r="AR303" s="30"/>
      <c r="AS303" s="63"/>
      <c r="AU303" s="30"/>
      <c r="AW303" s="63"/>
      <c r="AY303" s="30"/>
      <c r="BB303" s="63"/>
      <c r="BC303" s="30"/>
      <c r="BG303" s="30"/>
      <c r="BJ303" s="63"/>
      <c r="BK303" s="30"/>
      <c r="BN303" s="30"/>
      <c r="BP303" s="63"/>
      <c r="BR303" s="30"/>
      <c r="BU303" s="30"/>
      <c r="BV303" s="63"/>
      <c r="BY303" s="30"/>
      <c r="BZ303" s="63"/>
      <c r="CB303" s="30"/>
      <c r="CE303" s="30"/>
      <c r="CF303" s="63"/>
      <c r="CI303" s="63"/>
      <c r="CM303" s="63"/>
      <c r="CP303" s="63"/>
      <c r="CS303" s="63"/>
      <c r="CW303" s="63"/>
      <c r="CZ303" s="63"/>
    </row>
    <row r="304" spans="1:104" s="47" customFormat="1" x14ac:dyDescent="0.3">
      <c r="A304" s="107"/>
      <c r="B304" s="47">
        <v>1</v>
      </c>
      <c r="C304" s="31" t="s">
        <v>19</v>
      </c>
      <c r="D304" s="48">
        <f>(2.2+2.5)/2</f>
        <v>2.35</v>
      </c>
      <c r="E304" s="30" t="s">
        <v>100</v>
      </c>
      <c r="F304" s="65">
        <f>D304/D239</f>
        <v>2.0982142857142859E-2</v>
      </c>
      <c r="G304" s="30" t="s">
        <v>105</v>
      </c>
      <c r="I304" s="63"/>
      <c r="J304" s="63"/>
      <c r="K304" s="30"/>
      <c r="L304" s="30"/>
      <c r="M304" s="30"/>
      <c r="N304" s="30"/>
      <c r="R304" s="63"/>
      <c r="S304" s="63"/>
      <c r="T304" s="63"/>
      <c r="U304" s="30"/>
      <c r="X304" s="63"/>
      <c r="Y304" s="30"/>
      <c r="AF304" s="30"/>
      <c r="AG304" s="30"/>
      <c r="AH304" s="30"/>
      <c r="AI304" s="63"/>
      <c r="AK304" s="30"/>
      <c r="AM304" s="63"/>
      <c r="AN304" s="30"/>
      <c r="AR304" s="30"/>
      <c r="AS304" s="63"/>
      <c r="AU304" s="30"/>
      <c r="AW304" s="63"/>
      <c r="AY304" s="30"/>
      <c r="BB304" s="63"/>
      <c r="BC304" s="30"/>
      <c r="BG304" s="30"/>
      <c r="BJ304" s="63"/>
      <c r="BK304" s="30"/>
      <c r="BN304" s="30"/>
      <c r="BP304" s="63"/>
      <c r="BR304" s="30"/>
      <c r="BU304" s="30"/>
      <c r="BV304" s="63"/>
      <c r="BY304" s="30"/>
      <c r="BZ304" s="63"/>
      <c r="CB304" s="30"/>
      <c r="CE304" s="30"/>
      <c r="CF304" s="63"/>
      <c r="CI304" s="63"/>
      <c r="CM304" s="63"/>
      <c r="CP304" s="63"/>
      <c r="CS304" s="63"/>
      <c r="CW304" s="63"/>
      <c r="CZ304" s="63"/>
    </row>
    <row r="305" spans="1:104" s="80" customFormat="1" x14ac:dyDescent="0.3">
      <c r="A305" s="47" t="s">
        <v>95</v>
      </c>
      <c r="B305" s="47">
        <v>1</v>
      </c>
      <c r="C305" s="31" t="s">
        <v>28</v>
      </c>
      <c r="D305" s="48">
        <v>640</v>
      </c>
      <c r="E305" s="30" t="s">
        <v>100</v>
      </c>
      <c r="F305" s="65">
        <f>D305/D239</f>
        <v>5.7142857142857144</v>
      </c>
      <c r="G305" s="30" t="s">
        <v>105</v>
      </c>
      <c r="H305" s="76"/>
      <c r="I305" s="63"/>
      <c r="J305" s="63"/>
      <c r="K305" s="30"/>
      <c r="L305" s="30"/>
      <c r="M305" s="30"/>
      <c r="N305" s="30"/>
      <c r="O305" s="77"/>
      <c r="P305" s="76"/>
      <c r="Q305" s="76"/>
      <c r="R305" s="63"/>
      <c r="S305" s="63"/>
      <c r="T305" s="63"/>
      <c r="U305" s="30"/>
      <c r="V305" s="77"/>
      <c r="W305" s="77"/>
      <c r="X305" s="63"/>
      <c r="Y305" s="30"/>
      <c r="Z305" s="76"/>
      <c r="AA305" s="76"/>
      <c r="AB305" s="77"/>
      <c r="AC305" s="76"/>
      <c r="AD305" s="76"/>
      <c r="AE305" s="76"/>
      <c r="AF305" s="30"/>
      <c r="AG305" s="30"/>
      <c r="AH305" s="30"/>
      <c r="AI305" s="63"/>
      <c r="AJ305" s="77"/>
      <c r="AK305" s="30"/>
      <c r="AL305" s="76"/>
      <c r="AM305" s="63"/>
      <c r="AN305" s="30"/>
      <c r="AO305" s="78"/>
      <c r="AP305" s="76"/>
      <c r="AQ305" s="79"/>
      <c r="AR305" s="30"/>
      <c r="AS305" s="63"/>
      <c r="AT305" s="76"/>
      <c r="AU305" s="30"/>
      <c r="AV305" s="77"/>
      <c r="AW305" s="63"/>
      <c r="AX305" s="76"/>
      <c r="AY305" s="30"/>
      <c r="AZ305" s="76"/>
      <c r="BA305" s="76"/>
      <c r="BB305" s="63"/>
      <c r="BC305" s="30"/>
      <c r="BD305" s="77"/>
      <c r="BE305" s="76"/>
      <c r="BF305" s="76"/>
      <c r="BG305" s="30"/>
      <c r="BH305" s="77"/>
      <c r="BI305" s="76"/>
      <c r="BJ305" s="63"/>
      <c r="BK305" s="30"/>
      <c r="BL305" s="77"/>
      <c r="BM305" s="76"/>
      <c r="BN305" s="30"/>
      <c r="BO305" s="77"/>
      <c r="BP305" s="63"/>
      <c r="BQ305" s="76"/>
      <c r="BR305" s="30"/>
      <c r="BS305" s="79"/>
      <c r="BT305" s="76"/>
      <c r="BU305" s="30"/>
      <c r="BV305" s="63"/>
      <c r="BY305" s="30"/>
      <c r="BZ305" s="63"/>
      <c r="CB305" s="30"/>
      <c r="CE305" s="30"/>
      <c r="CF305" s="63"/>
      <c r="CI305" s="63"/>
      <c r="CM305" s="63"/>
      <c r="CP305" s="63"/>
      <c r="CS305" s="63"/>
      <c r="CW305" s="63"/>
      <c r="CZ305" s="63"/>
    </row>
    <row r="306" spans="1:104" s="80" customFormat="1" x14ac:dyDescent="0.3">
      <c r="A306" s="107" t="s">
        <v>5</v>
      </c>
      <c r="B306" s="47">
        <v>1</v>
      </c>
      <c r="C306" s="31" t="s">
        <v>21</v>
      </c>
      <c r="D306" s="48">
        <v>196</v>
      </c>
      <c r="E306" s="30" t="s">
        <v>100</v>
      </c>
      <c r="F306" s="65">
        <f>D306/D239</f>
        <v>1.75</v>
      </c>
      <c r="G306" s="30" t="s">
        <v>105</v>
      </c>
      <c r="H306" s="76"/>
      <c r="I306" s="63"/>
      <c r="J306" s="63"/>
      <c r="K306" s="30"/>
      <c r="L306" s="30"/>
      <c r="M306" s="30"/>
      <c r="N306" s="30"/>
      <c r="O306" s="76"/>
      <c r="P306" s="79"/>
      <c r="Q306" s="76"/>
      <c r="R306" s="63"/>
      <c r="S306" s="63"/>
      <c r="T306" s="63"/>
      <c r="U306" s="30"/>
      <c r="V306" s="76"/>
      <c r="W306" s="76"/>
      <c r="X306" s="63"/>
      <c r="Y306" s="30"/>
      <c r="Z306" s="76"/>
      <c r="AA306" s="76"/>
      <c r="AB306" s="76"/>
      <c r="AC306" s="79"/>
      <c r="AD306" s="79"/>
      <c r="AE306" s="79"/>
      <c r="AF306" s="30"/>
      <c r="AG306" s="30"/>
      <c r="AH306" s="30"/>
      <c r="AI306" s="63"/>
      <c r="AJ306" s="76"/>
      <c r="AK306" s="30"/>
      <c r="AL306" s="79"/>
      <c r="AM306" s="63"/>
      <c r="AN306" s="30"/>
      <c r="AO306" s="76"/>
      <c r="AQ306" s="76"/>
      <c r="AR306" s="30"/>
      <c r="AS306" s="63"/>
      <c r="AT306" s="79"/>
      <c r="AU306" s="30"/>
      <c r="AV306" s="76"/>
      <c r="AW306" s="63"/>
      <c r="AX306" s="79"/>
      <c r="AY306" s="30"/>
      <c r="AZ306" s="76"/>
      <c r="BA306" s="76"/>
      <c r="BB306" s="63"/>
      <c r="BC306" s="30"/>
      <c r="BD306" s="76"/>
      <c r="BE306" s="79"/>
      <c r="BF306" s="79"/>
      <c r="BG306" s="30"/>
      <c r="BH306" s="76"/>
      <c r="BI306" s="79"/>
      <c r="BJ306" s="63"/>
      <c r="BK306" s="30"/>
      <c r="BL306" s="76"/>
      <c r="BM306" s="77"/>
      <c r="BN306" s="30"/>
      <c r="BO306" s="76"/>
      <c r="BP306" s="63"/>
      <c r="BQ306" s="79"/>
      <c r="BR306" s="30"/>
      <c r="BS306" s="76"/>
      <c r="BT306" s="79"/>
      <c r="BU306" s="30"/>
      <c r="BV306" s="63"/>
      <c r="BW306" s="76"/>
      <c r="BY306" s="30"/>
      <c r="BZ306" s="63"/>
      <c r="CB306" s="30"/>
      <c r="CE306" s="30"/>
      <c r="CF306" s="63"/>
      <c r="CI306" s="63"/>
      <c r="CM306" s="63"/>
      <c r="CP306" s="63"/>
      <c r="CS306" s="63"/>
      <c r="CW306" s="63"/>
      <c r="CZ306" s="63"/>
    </row>
    <row r="307" spans="1:104" s="63" customFormat="1" ht="13.8" customHeight="1" x14ac:dyDescent="0.3">
      <c r="A307" s="107"/>
      <c r="B307" s="47">
        <v>1</v>
      </c>
      <c r="C307" s="31" t="s">
        <v>131</v>
      </c>
      <c r="D307" s="48">
        <v>280</v>
      </c>
      <c r="E307" s="30" t="s">
        <v>100</v>
      </c>
      <c r="F307" s="65">
        <f>D307/D239</f>
        <v>2.5</v>
      </c>
      <c r="G307" s="30" t="s">
        <v>105</v>
      </c>
      <c r="K307" s="30"/>
      <c r="L307" s="30"/>
      <c r="M307" s="30"/>
      <c r="N307" s="30"/>
      <c r="U307" s="30"/>
      <c r="Y307" s="30"/>
      <c r="AF307" s="30"/>
      <c r="AG307" s="30"/>
      <c r="AH307" s="30"/>
      <c r="AK307" s="30"/>
      <c r="AN307" s="30"/>
      <c r="AR307" s="30"/>
      <c r="AU307" s="30"/>
      <c r="AY307" s="30"/>
      <c r="BC307" s="30"/>
      <c r="BG307" s="30"/>
      <c r="BK307" s="30"/>
      <c r="BN307" s="30"/>
      <c r="BR307" s="30"/>
      <c r="BU307" s="30"/>
      <c r="BY307" s="30"/>
      <c r="CB307" s="30"/>
      <c r="CE307" s="30"/>
    </row>
    <row r="308" spans="1:104" s="63" customFormat="1" x14ac:dyDescent="0.3">
      <c r="A308" s="68" t="s">
        <v>23</v>
      </c>
      <c r="B308" s="47">
        <v>1</v>
      </c>
      <c r="C308" s="31" t="s">
        <v>111</v>
      </c>
      <c r="D308" s="48">
        <v>112</v>
      </c>
      <c r="E308" s="30" t="s">
        <v>100</v>
      </c>
      <c r="F308" s="65">
        <f>D308/D239</f>
        <v>1</v>
      </c>
      <c r="G308" s="30" t="s">
        <v>105</v>
      </c>
      <c r="K308" s="30"/>
      <c r="L308" s="30"/>
      <c r="M308" s="30"/>
      <c r="N308" s="30"/>
      <c r="U308" s="30"/>
      <c r="Y308" s="30"/>
      <c r="AF308" s="30"/>
      <c r="AG308" s="30"/>
      <c r="AH308" s="30"/>
      <c r="AK308" s="30"/>
      <c r="AN308" s="30"/>
      <c r="AR308" s="30"/>
      <c r="AU308" s="30"/>
      <c r="AY308" s="30"/>
      <c r="BC308" s="30"/>
      <c r="BG308" s="30"/>
      <c r="BK308" s="30"/>
      <c r="BN308" s="30"/>
      <c r="BR308" s="30"/>
      <c r="BU308" s="30"/>
      <c r="BY308" s="30"/>
      <c r="CB308" s="30"/>
      <c r="CE308" s="30"/>
    </row>
    <row r="309" spans="1:104" s="63" customFormat="1" x14ac:dyDescent="0.3">
      <c r="A309" s="68" t="s">
        <v>83</v>
      </c>
      <c r="B309" s="47">
        <v>1</v>
      </c>
      <c r="C309" s="31" t="s">
        <v>46</v>
      </c>
      <c r="D309" s="48">
        <v>0.67513000000000001</v>
      </c>
      <c r="E309" s="30" t="s">
        <v>105</v>
      </c>
      <c r="F309" s="65">
        <f>D309/D231</f>
        <v>3.3756500000000002E-2</v>
      </c>
      <c r="G309" s="30" t="s">
        <v>31</v>
      </c>
      <c r="K309" s="30"/>
      <c r="L309" s="30"/>
      <c r="M309" s="30"/>
      <c r="N309" s="30"/>
      <c r="U309" s="30"/>
      <c r="Y309" s="30"/>
      <c r="AF309" s="30"/>
      <c r="AG309" s="30"/>
      <c r="AH309" s="30"/>
      <c r="AK309" s="30"/>
      <c r="AN309" s="30"/>
      <c r="AR309" s="30"/>
      <c r="AU309" s="30"/>
      <c r="AY309" s="30"/>
      <c r="BC309" s="30"/>
      <c r="BG309" s="30"/>
      <c r="BK309" s="30"/>
      <c r="BN309" s="30"/>
      <c r="BR309" s="30"/>
      <c r="BU309" s="30"/>
      <c r="BY309" s="30"/>
      <c r="CB309" s="30"/>
      <c r="CE309" s="30"/>
    </row>
    <row r="310" spans="1:104" s="63" customFormat="1" x14ac:dyDescent="0.3">
      <c r="A310" s="72" t="s">
        <v>85</v>
      </c>
      <c r="B310" s="47">
        <v>1</v>
      </c>
      <c r="C310" s="31" t="s">
        <v>125</v>
      </c>
      <c r="D310" s="48">
        <v>2.39975</v>
      </c>
      <c r="E310" s="30" t="s">
        <v>105</v>
      </c>
      <c r="F310" s="65"/>
      <c r="G310" s="30"/>
      <c r="K310" s="30"/>
      <c r="L310" s="30"/>
      <c r="M310" s="30"/>
      <c r="N310" s="30"/>
      <c r="U310" s="30"/>
      <c r="Y310" s="30"/>
      <c r="AF310" s="30"/>
      <c r="AG310" s="30"/>
      <c r="AH310" s="30"/>
      <c r="AK310" s="30"/>
      <c r="AN310" s="30"/>
      <c r="AR310" s="30"/>
      <c r="AU310" s="30"/>
      <c r="AY310" s="30"/>
      <c r="BC310" s="30"/>
      <c r="BG310" s="30"/>
      <c r="BK310" s="30"/>
      <c r="BN310" s="30"/>
      <c r="BR310" s="30"/>
      <c r="BU310" s="30"/>
      <c r="BY310" s="30"/>
      <c r="CB310" s="30"/>
      <c r="CE310" s="30"/>
    </row>
    <row r="311" spans="1:104" s="63" customFormat="1" x14ac:dyDescent="0.3">
      <c r="A311" s="68" t="s">
        <v>84</v>
      </c>
      <c r="B311" s="47">
        <v>1</v>
      </c>
      <c r="C311" s="31" t="s">
        <v>43</v>
      </c>
      <c r="D311" s="48">
        <v>746.66600000000005</v>
      </c>
      <c r="E311" s="30" t="s">
        <v>100</v>
      </c>
      <c r="F311" s="65">
        <f>D311/D239</f>
        <v>6.6666607142857144</v>
      </c>
      <c r="G311" s="30" t="s">
        <v>105</v>
      </c>
      <c r="K311" s="30"/>
      <c r="L311" s="30"/>
      <c r="M311" s="30"/>
      <c r="N311" s="30"/>
      <c r="U311" s="30"/>
      <c r="Y311" s="30"/>
      <c r="AF311" s="30"/>
      <c r="AG311" s="30"/>
      <c r="AH311" s="30"/>
      <c r="AK311" s="30"/>
      <c r="AN311" s="30"/>
      <c r="AR311" s="30"/>
      <c r="AU311" s="30"/>
      <c r="AY311" s="30"/>
      <c r="BC311" s="30"/>
      <c r="BG311" s="30"/>
      <c r="BK311" s="30"/>
      <c r="BN311" s="30"/>
      <c r="BR311" s="30"/>
      <c r="BU311" s="30"/>
      <c r="BY311" s="30"/>
      <c r="CB311" s="30"/>
      <c r="CE311" s="30"/>
    </row>
    <row r="312" spans="1:104" s="63" customFormat="1" x14ac:dyDescent="0.3">
      <c r="A312" s="68" t="s">
        <v>132</v>
      </c>
      <c r="B312" s="47">
        <v>1</v>
      </c>
      <c r="C312" s="31" t="s">
        <v>46</v>
      </c>
      <c r="D312" s="48">
        <v>250</v>
      </c>
      <c r="E312" s="30" t="s">
        <v>100</v>
      </c>
      <c r="F312" s="65">
        <f>D312/D239</f>
        <v>2.2321428571428572</v>
      </c>
      <c r="G312" s="30" t="s">
        <v>105</v>
      </c>
      <c r="K312" s="30"/>
      <c r="L312" s="30"/>
      <c r="M312" s="30"/>
      <c r="N312" s="30"/>
      <c r="U312" s="30"/>
      <c r="Y312" s="30"/>
      <c r="AF312" s="30"/>
      <c r="AG312" s="30"/>
      <c r="AH312" s="30"/>
      <c r="AK312" s="30"/>
      <c r="AN312" s="30"/>
      <c r="AR312" s="30"/>
      <c r="AU312" s="30"/>
      <c r="AY312" s="30"/>
      <c r="BC312" s="30"/>
      <c r="BG312" s="30"/>
      <c r="BK312" s="30"/>
      <c r="BN312" s="30"/>
      <c r="BR312" s="30"/>
      <c r="BU312" s="30"/>
      <c r="BY312" s="30"/>
      <c r="CB312" s="30"/>
      <c r="CE312" s="30"/>
    </row>
    <row r="313" spans="1:104" s="63" customFormat="1" x14ac:dyDescent="0.3">
      <c r="A313" s="68" t="s">
        <v>23</v>
      </c>
      <c r="B313" s="47">
        <v>1</v>
      </c>
      <c r="C313" s="31" t="s">
        <v>111</v>
      </c>
      <c r="D313" s="48">
        <v>112</v>
      </c>
      <c r="E313" s="30" t="s">
        <v>100</v>
      </c>
      <c r="F313" s="65">
        <f>D313/D239</f>
        <v>1</v>
      </c>
      <c r="G313" s="30" t="s">
        <v>105</v>
      </c>
      <c r="K313" s="30"/>
      <c r="L313" s="30"/>
      <c r="M313" s="30"/>
      <c r="N313" s="30"/>
      <c r="U313" s="30"/>
      <c r="Y313" s="30"/>
      <c r="AF313" s="30"/>
      <c r="AG313" s="30"/>
      <c r="AH313" s="30"/>
      <c r="AK313" s="30"/>
      <c r="AN313" s="30"/>
      <c r="AR313" s="30"/>
      <c r="AU313" s="30"/>
      <c r="AY313" s="30"/>
      <c r="BC313" s="30"/>
      <c r="BG313" s="30"/>
      <c r="BK313" s="30"/>
      <c r="BN313" s="30"/>
      <c r="BR313" s="30"/>
      <c r="BU313" s="30"/>
      <c r="BY313" s="30"/>
      <c r="CB313" s="30"/>
      <c r="CE313" s="30"/>
    </row>
    <row r="314" spans="1:104" s="63" customFormat="1" x14ac:dyDescent="0.3">
      <c r="A314" s="108" t="s">
        <v>133</v>
      </c>
      <c r="B314" s="47">
        <v>1</v>
      </c>
      <c r="C314" s="31" t="s">
        <v>46</v>
      </c>
      <c r="D314" s="48">
        <v>227</v>
      </c>
      <c r="E314" s="30" t="s">
        <v>100</v>
      </c>
      <c r="F314" s="65">
        <f>D314/D239</f>
        <v>2.0267857142857144</v>
      </c>
      <c r="G314" s="30" t="s">
        <v>105</v>
      </c>
      <c r="K314" s="30"/>
      <c r="L314" s="30"/>
      <c r="M314" s="30"/>
      <c r="N314" s="30"/>
      <c r="U314" s="30"/>
      <c r="Y314" s="30"/>
      <c r="AF314" s="30"/>
      <c r="AG314" s="30"/>
      <c r="AH314" s="30"/>
      <c r="AK314" s="30"/>
      <c r="AN314" s="30"/>
      <c r="AR314" s="30"/>
      <c r="AU314" s="30"/>
      <c r="AY314" s="30"/>
      <c r="BC314" s="30"/>
      <c r="BG314" s="30"/>
      <c r="BK314" s="30"/>
      <c r="BN314" s="30"/>
      <c r="BR314" s="30"/>
      <c r="BU314" s="30"/>
      <c r="BY314" s="30"/>
      <c r="CB314" s="30"/>
      <c r="CE314" s="30"/>
    </row>
    <row r="315" spans="1:104" s="63" customFormat="1" x14ac:dyDescent="0.3">
      <c r="A315" s="108"/>
      <c r="B315" s="47">
        <v>1</v>
      </c>
      <c r="C315" s="30" t="s">
        <v>125</v>
      </c>
      <c r="D315" s="63">
        <v>746.66700000000003</v>
      </c>
      <c r="E315" s="30" t="s">
        <v>100</v>
      </c>
      <c r="F315" s="48">
        <f>D315/D239</f>
        <v>6.6666696428571433</v>
      </c>
      <c r="G315" s="30" t="s">
        <v>105</v>
      </c>
      <c r="H315" s="47"/>
      <c r="K315" s="51"/>
      <c r="L315" s="51"/>
      <c r="M315" s="51"/>
      <c r="N315" s="51"/>
      <c r="O315" s="47"/>
      <c r="P315" s="47"/>
      <c r="Q315" s="47"/>
      <c r="U315" s="51"/>
      <c r="Y315" s="51"/>
      <c r="AF315" s="51"/>
      <c r="AG315" s="51"/>
      <c r="AH315" s="51"/>
      <c r="AK315" s="51"/>
      <c r="AN315" s="51"/>
      <c r="AR315" s="51"/>
      <c r="AU315" s="51"/>
      <c r="AY315" s="51"/>
      <c r="BC315" s="51"/>
      <c r="BG315" s="51"/>
      <c r="BK315" s="51"/>
      <c r="BN315" s="51"/>
      <c r="BR315" s="51"/>
      <c r="BU315" s="51"/>
      <c r="BY315" s="51"/>
      <c r="CB315" s="51"/>
      <c r="CE315" s="51"/>
    </row>
    <row r="316" spans="1:104" s="63" customFormat="1" x14ac:dyDescent="0.3">
      <c r="A316" s="108"/>
      <c r="B316" s="47">
        <v>1</v>
      </c>
      <c r="C316" s="30" t="s">
        <v>43</v>
      </c>
      <c r="D316" s="48">
        <v>0.75087000000000004</v>
      </c>
      <c r="E316" s="30" t="s">
        <v>32</v>
      </c>
      <c r="F316" s="48">
        <f>D316*F314</f>
        <v>1.5218525892857144</v>
      </c>
      <c r="G316" s="30" t="s">
        <v>105</v>
      </c>
      <c r="H316" s="47"/>
      <c r="K316" s="51"/>
      <c r="L316" s="51"/>
      <c r="M316" s="51"/>
      <c r="N316" s="51"/>
      <c r="O316" s="47"/>
      <c r="P316" s="47"/>
      <c r="Q316" s="47"/>
      <c r="U316" s="51"/>
      <c r="Y316" s="51"/>
      <c r="AF316" s="51"/>
      <c r="AG316" s="51"/>
      <c r="AH316" s="51"/>
      <c r="AK316" s="51"/>
      <c r="AN316" s="51"/>
      <c r="AR316" s="51"/>
      <c r="AU316" s="51"/>
      <c r="AY316" s="51"/>
      <c r="BC316" s="51"/>
      <c r="BG316" s="51"/>
      <c r="BK316" s="51"/>
      <c r="BN316" s="51"/>
      <c r="BR316" s="51"/>
      <c r="BU316" s="51"/>
      <c r="BY316" s="51"/>
      <c r="CB316" s="51"/>
      <c r="CE316" s="51"/>
    </row>
    <row r="317" spans="1:104" x14ac:dyDescent="0.3">
      <c r="A317" s="35" t="s">
        <v>170</v>
      </c>
      <c r="E317" s="58"/>
    </row>
    <row r="318" spans="1:104" x14ac:dyDescent="0.3">
      <c r="E318" s="58"/>
    </row>
    <row r="319" spans="1:104" x14ac:dyDescent="0.3">
      <c r="B319" s="47">
        <v>1</v>
      </c>
      <c r="C319" s="30" t="s">
        <v>171</v>
      </c>
      <c r="D319" s="48">
        <v>20</v>
      </c>
      <c r="E319" s="36" t="s">
        <v>14</v>
      </c>
      <c r="F319" s="48">
        <v>240</v>
      </c>
      <c r="G319" s="30" t="s">
        <v>15</v>
      </c>
    </row>
    <row r="320" spans="1:104" x14ac:dyDescent="0.3">
      <c r="C320" s="30"/>
      <c r="E320" s="81"/>
    </row>
    <row r="321" spans="1:3" x14ac:dyDescent="0.3">
      <c r="A321" s="59"/>
      <c r="B321" s="59"/>
      <c r="C321" s="59"/>
    </row>
    <row r="322" spans="1:3" x14ac:dyDescent="0.3">
      <c r="A322" s="59"/>
      <c r="B322" s="59"/>
      <c r="C322" s="59"/>
    </row>
    <row r="323" spans="1:3" x14ac:dyDescent="0.3">
      <c r="A323" s="59"/>
      <c r="B323" s="59"/>
      <c r="C323" s="59"/>
    </row>
    <row r="324" spans="1:3" x14ac:dyDescent="0.3">
      <c r="A324" s="59"/>
      <c r="B324" s="59"/>
      <c r="C324" s="59"/>
    </row>
    <row r="325" spans="1:3" x14ac:dyDescent="0.3">
      <c r="A325" s="59"/>
      <c r="B325" s="59"/>
      <c r="C325" s="59"/>
    </row>
    <row r="326" spans="1:3" x14ac:dyDescent="0.3">
      <c r="A326" s="59"/>
      <c r="B326" s="59"/>
      <c r="C326" s="59"/>
    </row>
    <row r="327" spans="1:3" x14ac:dyDescent="0.3">
      <c r="A327" s="59"/>
      <c r="B327" s="59"/>
      <c r="C327" s="59"/>
    </row>
    <row r="328" spans="1:3" x14ac:dyDescent="0.3">
      <c r="A328" s="59"/>
      <c r="B328" s="59"/>
      <c r="C328" s="59"/>
    </row>
    <row r="329" spans="1:3" x14ac:dyDescent="0.3">
      <c r="A329" s="59"/>
      <c r="B329" s="59"/>
      <c r="C329" s="59"/>
    </row>
    <row r="330" spans="1:3" x14ac:dyDescent="0.3">
      <c r="A330" s="59"/>
      <c r="B330" s="59"/>
      <c r="C330" s="59"/>
    </row>
    <row r="331" spans="1:3" x14ac:dyDescent="0.3">
      <c r="A331" s="59"/>
      <c r="B331" s="59"/>
      <c r="C331" s="59"/>
    </row>
    <row r="332" spans="1:3" x14ac:dyDescent="0.3">
      <c r="A332" s="59"/>
      <c r="B332" s="59"/>
      <c r="C332" s="59"/>
    </row>
    <row r="333" spans="1:3" x14ac:dyDescent="0.3">
      <c r="A333" s="59"/>
      <c r="B333" s="59"/>
      <c r="C333" s="59"/>
    </row>
    <row r="334" spans="1:3" x14ac:dyDescent="0.3">
      <c r="A334" s="59"/>
      <c r="B334" s="59"/>
      <c r="C334" s="59"/>
    </row>
    <row r="335" spans="1:3" x14ac:dyDescent="0.3">
      <c r="A335" s="59"/>
      <c r="B335" s="59"/>
      <c r="C335" s="59"/>
    </row>
    <row r="336" spans="1:3" x14ac:dyDescent="0.3">
      <c r="A336" s="59"/>
      <c r="B336" s="59"/>
      <c r="C336" s="59"/>
    </row>
    <row r="337" spans="1:3" x14ac:dyDescent="0.3">
      <c r="A337" s="59"/>
      <c r="B337" s="59"/>
      <c r="C337" s="59"/>
    </row>
    <row r="338" spans="1:3" x14ac:dyDescent="0.3">
      <c r="A338" s="59"/>
      <c r="B338" s="59"/>
      <c r="C338" s="59"/>
    </row>
    <row r="339" spans="1:3" x14ac:dyDescent="0.3">
      <c r="A339" s="59"/>
      <c r="B339" s="59"/>
      <c r="C339" s="59"/>
    </row>
    <row r="340" spans="1:3" x14ac:dyDescent="0.3">
      <c r="A340" s="59"/>
      <c r="B340" s="59"/>
      <c r="C340" s="59"/>
    </row>
    <row r="341" spans="1:3" x14ac:dyDescent="0.3">
      <c r="A341" s="59"/>
      <c r="B341" s="59"/>
      <c r="C341" s="59"/>
    </row>
    <row r="342" spans="1:3" x14ac:dyDescent="0.3">
      <c r="A342" s="59"/>
      <c r="B342" s="59"/>
      <c r="C342" s="59"/>
    </row>
    <row r="343" spans="1:3" x14ac:dyDescent="0.3">
      <c r="A343" s="59"/>
      <c r="B343" s="59"/>
      <c r="C343" s="59"/>
    </row>
    <row r="344" spans="1:3" x14ac:dyDescent="0.3">
      <c r="A344" s="59"/>
      <c r="B344" s="59"/>
      <c r="C344" s="59"/>
    </row>
    <row r="345" spans="1:3" x14ac:dyDescent="0.3">
      <c r="A345" s="59"/>
      <c r="B345" s="59"/>
      <c r="C345" s="59"/>
    </row>
    <row r="346" spans="1:3" x14ac:dyDescent="0.3">
      <c r="A346" s="59"/>
      <c r="B346" s="59"/>
      <c r="C346" s="59"/>
    </row>
    <row r="347" spans="1:3" x14ac:dyDescent="0.3">
      <c r="A347" s="59"/>
      <c r="B347" s="59"/>
      <c r="C347" s="59"/>
    </row>
    <row r="348" spans="1:3" x14ac:dyDescent="0.3">
      <c r="A348" s="59"/>
      <c r="B348" s="59"/>
      <c r="C348" s="59"/>
    </row>
    <row r="349" spans="1:3" x14ac:dyDescent="0.3">
      <c r="A349" s="59"/>
      <c r="B349" s="59"/>
      <c r="C349" s="59"/>
    </row>
    <row r="350" spans="1:3" x14ac:dyDescent="0.3">
      <c r="A350" s="59"/>
      <c r="B350" s="59"/>
      <c r="C350" s="59"/>
    </row>
    <row r="351" spans="1:3" x14ac:dyDescent="0.3">
      <c r="A351" s="59"/>
      <c r="B351" s="59"/>
      <c r="C351" s="59"/>
    </row>
  </sheetData>
  <mergeCells count="32">
    <mergeCell ref="AE1:AG1"/>
    <mergeCell ref="AH1:AJ1"/>
    <mergeCell ref="A272:A273"/>
    <mergeCell ref="B226:B227"/>
    <mergeCell ref="C226:C227"/>
    <mergeCell ref="D226:D227"/>
    <mergeCell ref="E226:E227"/>
    <mergeCell ref="B240:B241"/>
    <mergeCell ref="C240:C241"/>
    <mergeCell ref="D240:D241"/>
    <mergeCell ref="E240:E241"/>
    <mergeCell ref="E1:G1"/>
    <mergeCell ref="H1:J1"/>
    <mergeCell ref="K1:M1"/>
    <mergeCell ref="R1:T1"/>
    <mergeCell ref="A254:A255"/>
    <mergeCell ref="A314:A316"/>
    <mergeCell ref="A290:A292"/>
    <mergeCell ref="A293:A294"/>
    <mergeCell ref="A302:A304"/>
    <mergeCell ref="A306:A307"/>
    <mergeCell ref="A274:A275"/>
    <mergeCell ref="A276:A277"/>
    <mergeCell ref="A278:A279"/>
    <mergeCell ref="A280:A282"/>
    <mergeCell ref="A287:A288"/>
    <mergeCell ref="AB1:AD1"/>
    <mergeCell ref="A257:A258"/>
    <mergeCell ref="A268:A269"/>
    <mergeCell ref="A270:A271"/>
    <mergeCell ref="X1:Z1"/>
    <mergeCell ref="U1:W1"/>
  </mergeCells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DE197"/>
  <sheetViews>
    <sheetView topLeftCell="A2" zoomScale="60" zoomScaleNormal="60" workbookViewId="0">
      <pane xSplit="4" ySplit="2" topLeftCell="X44" activePane="bottomRight" state="frozen"/>
      <selection activeCell="A2" sqref="A2"/>
      <selection pane="topRight" activeCell="E2" sqref="E2"/>
      <selection pane="bottomLeft" activeCell="A4" sqref="A4"/>
      <selection pane="bottomRight" activeCell="AH65" sqref="AH65"/>
    </sheetView>
  </sheetViews>
  <sheetFormatPr defaultRowHeight="14.4" x14ac:dyDescent="0.3"/>
  <cols>
    <col min="1" max="1" width="40.5546875" style="38" bestFit="1" customWidth="1"/>
    <col min="2" max="2" width="17.21875" style="38" customWidth="1"/>
    <col min="3" max="4" width="11.88671875" style="38" customWidth="1"/>
    <col min="5" max="15" width="11.88671875" style="59" customWidth="1"/>
    <col min="16" max="16" width="11.21875" style="59" customWidth="1"/>
    <col min="17" max="19" width="11.88671875" style="59" customWidth="1"/>
    <col min="20" max="21" width="13.6640625" style="59" customWidth="1"/>
    <col min="22" max="23" width="11.88671875" style="59" customWidth="1"/>
    <col min="24" max="24" width="13" style="59" customWidth="1"/>
    <col min="25" max="25" width="13.6640625" style="59" customWidth="1"/>
    <col min="26" max="27" width="8.88671875" style="59" customWidth="1"/>
    <col min="28" max="28" width="11.21875" style="59" customWidth="1"/>
    <col min="29" max="29" width="12.33203125" style="59" customWidth="1"/>
    <col min="30" max="30" width="11.44140625" style="59" customWidth="1"/>
    <col min="31" max="31" width="12.21875" style="59" customWidth="1"/>
    <col min="32" max="32" width="15.5546875" style="59" customWidth="1"/>
    <col min="33" max="33" width="11.109375" style="59" customWidth="1"/>
    <col min="34" max="34" width="14.109375" style="59" customWidth="1"/>
    <col min="35" max="35" width="16.44140625" style="59" customWidth="1"/>
    <col min="36" max="36" width="11.44140625" style="59" customWidth="1"/>
    <col min="37" max="16384" width="8.88671875" style="59"/>
  </cols>
  <sheetData>
    <row r="1" spans="1:40" x14ac:dyDescent="0.3">
      <c r="E1" s="38"/>
      <c r="F1" s="38"/>
      <c r="G1" s="38"/>
      <c r="H1" s="38"/>
      <c r="I1" s="38"/>
      <c r="J1" s="38"/>
    </row>
    <row r="2" spans="1:40" x14ac:dyDescent="0.3">
      <c r="A2" s="83"/>
      <c r="B2" s="83"/>
      <c r="C2" s="83"/>
      <c r="E2" s="106" t="s">
        <v>506</v>
      </c>
      <c r="F2" s="106"/>
      <c r="G2" s="106"/>
      <c r="H2" s="38"/>
      <c r="I2" s="106" t="s">
        <v>507</v>
      </c>
      <c r="J2" s="106"/>
      <c r="K2" s="106"/>
      <c r="L2" s="38"/>
      <c r="M2" s="106" t="s">
        <v>482</v>
      </c>
      <c r="N2" s="106"/>
      <c r="O2" s="106"/>
      <c r="P2" s="38"/>
      <c r="Q2" s="106" t="s">
        <v>481</v>
      </c>
      <c r="R2" s="106"/>
      <c r="S2" s="106"/>
      <c r="T2" s="38"/>
      <c r="U2" s="106" t="s">
        <v>463</v>
      </c>
      <c r="V2" s="106"/>
      <c r="W2" s="106"/>
      <c r="X2" s="38"/>
      <c r="Y2" s="106" t="s">
        <v>459</v>
      </c>
      <c r="Z2" s="106"/>
      <c r="AA2" s="106"/>
      <c r="AB2" s="38"/>
      <c r="AC2" s="106" t="s">
        <v>452</v>
      </c>
      <c r="AD2" s="106"/>
      <c r="AE2" s="106"/>
      <c r="AF2" s="106" t="s">
        <v>453</v>
      </c>
      <c r="AG2" s="106"/>
      <c r="AH2" s="106"/>
      <c r="AI2" s="106" t="s">
        <v>193</v>
      </c>
      <c r="AJ2" s="106"/>
      <c r="AK2" s="106"/>
      <c r="AL2" s="38"/>
      <c r="AM2" s="38"/>
      <c r="AN2" s="38"/>
    </row>
    <row r="3" spans="1:40" s="54" customFormat="1" ht="28.8" customHeight="1" x14ac:dyDescent="0.3">
      <c r="A3" s="55" t="s">
        <v>0</v>
      </c>
      <c r="B3" s="95" t="s">
        <v>80</v>
      </c>
      <c r="C3" s="95" t="s">
        <v>98</v>
      </c>
      <c r="D3" s="53" t="s">
        <v>30</v>
      </c>
      <c r="E3" s="53" t="s">
        <v>29</v>
      </c>
      <c r="F3" s="53" t="s">
        <v>2</v>
      </c>
      <c r="G3" s="54" t="s">
        <v>433</v>
      </c>
      <c r="H3" s="53" t="s">
        <v>30</v>
      </c>
      <c r="I3" s="53" t="s">
        <v>29</v>
      </c>
      <c r="J3" s="53" t="s">
        <v>2</v>
      </c>
      <c r="K3" s="54" t="s">
        <v>433</v>
      </c>
      <c r="L3" s="53" t="s">
        <v>30</v>
      </c>
      <c r="M3" s="53" t="s">
        <v>29</v>
      </c>
      <c r="N3" s="53" t="s">
        <v>2</v>
      </c>
      <c r="O3" s="54" t="s">
        <v>433</v>
      </c>
      <c r="P3" s="53" t="s">
        <v>30</v>
      </c>
      <c r="Q3" s="53" t="s">
        <v>29</v>
      </c>
      <c r="R3" s="53" t="s">
        <v>2</v>
      </c>
      <c r="S3" s="54" t="s">
        <v>433</v>
      </c>
      <c r="T3" s="53" t="s">
        <v>30</v>
      </c>
      <c r="U3" s="53" t="s">
        <v>29</v>
      </c>
      <c r="V3" s="53" t="s">
        <v>2</v>
      </c>
      <c r="W3" s="54" t="s">
        <v>433</v>
      </c>
      <c r="X3" s="53" t="s">
        <v>30</v>
      </c>
      <c r="Y3" s="53" t="s">
        <v>29</v>
      </c>
      <c r="Z3" s="53" t="s">
        <v>2</v>
      </c>
      <c r="AA3" s="54" t="s">
        <v>433</v>
      </c>
      <c r="AB3" s="53" t="s">
        <v>30</v>
      </c>
      <c r="AC3" s="53" t="s">
        <v>29</v>
      </c>
      <c r="AD3" s="53" t="s">
        <v>2</v>
      </c>
      <c r="AE3" s="54" t="s">
        <v>433</v>
      </c>
      <c r="AF3" s="53" t="s">
        <v>29</v>
      </c>
      <c r="AG3" s="53" t="s">
        <v>2</v>
      </c>
      <c r="AH3" s="54" t="s">
        <v>433</v>
      </c>
      <c r="AI3" s="53" t="s">
        <v>29</v>
      </c>
      <c r="AJ3" s="53" t="s">
        <v>2</v>
      </c>
      <c r="AK3" s="54" t="s">
        <v>433</v>
      </c>
    </row>
    <row r="4" spans="1:40" s="97" customFormat="1" x14ac:dyDescent="0.3">
      <c r="A4" s="38" t="s">
        <v>295</v>
      </c>
      <c r="B4" s="96"/>
      <c r="C4" s="93" t="s">
        <v>527</v>
      </c>
      <c r="D4" s="96" t="s">
        <v>1</v>
      </c>
      <c r="E4" s="93"/>
      <c r="F4" s="93"/>
      <c r="G4" s="94" t="str">
        <f>IFERROR(F4/E4,"")</f>
        <v/>
      </c>
      <c r="H4" s="93"/>
      <c r="I4" s="93"/>
      <c r="J4" s="93"/>
      <c r="K4" s="93"/>
      <c r="L4" s="93"/>
      <c r="M4" s="93"/>
      <c r="N4" s="93"/>
      <c r="O4" s="94" t="str">
        <f>IFERROR(N4/M4,"")</f>
        <v/>
      </c>
      <c r="P4" s="93"/>
      <c r="Q4" s="93"/>
      <c r="R4" s="93"/>
      <c r="S4" s="94" t="str">
        <f>IFERROR(R4/Q4,"")</f>
        <v/>
      </c>
      <c r="T4" s="93"/>
      <c r="U4" s="93"/>
      <c r="V4" s="93"/>
      <c r="W4" s="94" t="str">
        <f>IFERROR(V4/U4,"")</f>
        <v/>
      </c>
      <c r="X4" s="93"/>
      <c r="Y4" s="93"/>
      <c r="Z4" s="93"/>
      <c r="AA4" s="94" t="str">
        <f>IFERROR(Z4/Y4,"")</f>
        <v/>
      </c>
      <c r="AB4" s="57"/>
      <c r="AC4" s="57"/>
      <c r="AD4" s="57"/>
      <c r="AE4" s="94" t="str">
        <f>IFERROR(AD4/AC4,"")</f>
        <v/>
      </c>
      <c r="AF4" s="57"/>
      <c r="AG4" s="57"/>
      <c r="AH4" s="94" t="str">
        <f>IFERROR(AG4/AF4,"")</f>
        <v/>
      </c>
      <c r="AI4" s="57">
        <v>24</v>
      </c>
      <c r="AJ4" s="57">
        <v>1300</v>
      </c>
      <c r="AK4" s="94">
        <f>IFERROR(AJ4/AI4,"")</f>
        <v>54.166666666666664</v>
      </c>
    </row>
    <row r="5" spans="1:40" s="97" customFormat="1" x14ac:dyDescent="0.3">
      <c r="A5" s="38" t="s">
        <v>296</v>
      </c>
      <c r="B5" s="96"/>
      <c r="C5" s="93" t="s">
        <v>527</v>
      </c>
      <c r="D5" s="96" t="s">
        <v>1</v>
      </c>
      <c r="E5" s="93"/>
      <c r="F5" s="93"/>
      <c r="G5" s="94" t="str">
        <f t="shared" ref="G5:G67" si="0">IFERROR(F5/E5,"")</f>
        <v/>
      </c>
      <c r="H5" s="93"/>
      <c r="I5" s="93"/>
      <c r="J5" s="93"/>
      <c r="K5" s="93"/>
      <c r="L5" s="93"/>
      <c r="M5" s="93"/>
      <c r="N5" s="93"/>
      <c r="O5" s="94" t="str">
        <f t="shared" ref="O5:O67" si="1">IFERROR(N5/M5,"")</f>
        <v/>
      </c>
      <c r="P5" s="93"/>
      <c r="Q5" s="93"/>
      <c r="R5" s="93"/>
      <c r="S5" s="94" t="str">
        <f t="shared" ref="S5:S67" si="2">IFERROR(R5/Q5,"")</f>
        <v/>
      </c>
      <c r="T5" s="93"/>
      <c r="U5" s="93"/>
      <c r="V5" s="93"/>
      <c r="W5" s="94" t="str">
        <f t="shared" ref="W5:W67" si="3">IFERROR(V5/U5,"")</f>
        <v/>
      </c>
      <c r="X5" s="93"/>
      <c r="Y5" s="93"/>
      <c r="Z5" s="93"/>
      <c r="AA5" s="94" t="str">
        <f t="shared" ref="AA5:AA67" si="4">IFERROR(Z5/Y5,"")</f>
        <v/>
      </c>
      <c r="AB5" s="57"/>
      <c r="AC5" s="57"/>
      <c r="AD5" s="57"/>
      <c r="AE5" s="94" t="str">
        <f t="shared" ref="AE5:AE67" si="5">IFERROR(AD5/AC5,"")</f>
        <v/>
      </c>
      <c r="AF5" s="57"/>
      <c r="AG5" s="57"/>
      <c r="AH5" s="94" t="str">
        <f t="shared" ref="AH5:AH67" si="6">IFERROR(AG5/AF5,"")</f>
        <v/>
      </c>
      <c r="AI5" s="57">
        <v>24</v>
      </c>
      <c r="AJ5" s="57">
        <v>2400</v>
      </c>
      <c r="AK5" s="94">
        <f t="shared" ref="AK5:AK67" si="7">IFERROR(AJ5/AI5,"")</f>
        <v>100</v>
      </c>
    </row>
    <row r="6" spans="1:40" s="97" customFormat="1" x14ac:dyDescent="0.3">
      <c r="A6" s="38" t="s">
        <v>297</v>
      </c>
      <c r="B6" s="96"/>
      <c r="C6" s="93" t="s">
        <v>527</v>
      </c>
      <c r="D6" s="96" t="s">
        <v>1</v>
      </c>
      <c r="E6" s="93"/>
      <c r="F6" s="93"/>
      <c r="G6" s="94" t="str">
        <f t="shared" si="0"/>
        <v/>
      </c>
      <c r="H6" s="93"/>
      <c r="I6" s="93"/>
      <c r="J6" s="93"/>
      <c r="K6" s="93"/>
      <c r="L6" s="93"/>
      <c r="M6" s="93"/>
      <c r="N6" s="93"/>
      <c r="O6" s="94" t="str">
        <f t="shared" si="1"/>
        <v/>
      </c>
      <c r="P6" s="93"/>
      <c r="Q6" s="93"/>
      <c r="R6" s="93"/>
      <c r="S6" s="94" t="str">
        <f t="shared" si="2"/>
        <v/>
      </c>
      <c r="T6" s="93"/>
      <c r="U6" s="93"/>
      <c r="V6" s="93"/>
      <c r="W6" s="94" t="str">
        <f t="shared" si="3"/>
        <v/>
      </c>
      <c r="X6" s="93"/>
      <c r="Y6" s="93"/>
      <c r="Z6" s="93"/>
      <c r="AA6" s="94" t="str">
        <f t="shared" si="4"/>
        <v/>
      </c>
      <c r="AB6" s="57"/>
      <c r="AC6" s="57"/>
      <c r="AD6" s="57"/>
      <c r="AE6" s="94" t="str">
        <f t="shared" si="5"/>
        <v/>
      </c>
      <c r="AF6" s="57"/>
      <c r="AG6" s="57"/>
      <c r="AH6" s="94" t="str">
        <f t="shared" si="6"/>
        <v/>
      </c>
      <c r="AI6" s="57">
        <v>15</v>
      </c>
      <c r="AJ6" s="57">
        <v>1100</v>
      </c>
      <c r="AK6" s="94">
        <f t="shared" si="7"/>
        <v>73.333333333333329</v>
      </c>
    </row>
    <row r="7" spans="1:40" s="97" customFormat="1" x14ac:dyDescent="0.3">
      <c r="A7" s="38" t="s">
        <v>298</v>
      </c>
      <c r="B7" s="96"/>
      <c r="C7" s="93" t="s">
        <v>527</v>
      </c>
      <c r="D7" s="96" t="s">
        <v>1</v>
      </c>
      <c r="E7" s="93"/>
      <c r="F7" s="93"/>
      <c r="G7" s="94" t="str">
        <f t="shared" si="0"/>
        <v/>
      </c>
      <c r="H7" s="93"/>
      <c r="I7" s="93"/>
      <c r="J7" s="93"/>
      <c r="K7" s="93"/>
      <c r="L7" s="93"/>
      <c r="M7" s="93"/>
      <c r="N7" s="93"/>
      <c r="O7" s="94" t="str">
        <f t="shared" si="1"/>
        <v/>
      </c>
      <c r="P7" s="93"/>
      <c r="Q7" s="93"/>
      <c r="R7" s="93"/>
      <c r="S7" s="94" t="str">
        <f t="shared" si="2"/>
        <v/>
      </c>
      <c r="T7" s="93"/>
      <c r="U7" s="93"/>
      <c r="V7" s="93"/>
      <c r="W7" s="94" t="str">
        <f t="shared" si="3"/>
        <v/>
      </c>
      <c r="X7" s="93"/>
      <c r="Y7" s="93"/>
      <c r="Z7" s="93"/>
      <c r="AA7" s="94" t="str">
        <f t="shared" si="4"/>
        <v/>
      </c>
      <c r="AB7" s="57"/>
      <c r="AC7" s="57"/>
      <c r="AD7" s="57"/>
      <c r="AE7" s="94" t="str">
        <f t="shared" si="5"/>
        <v/>
      </c>
      <c r="AF7" s="57"/>
      <c r="AG7" s="57"/>
      <c r="AH7" s="94" t="str">
        <f t="shared" si="6"/>
        <v/>
      </c>
      <c r="AI7" s="57">
        <v>42</v>
      </c>
      <c r="AJ7" s="57">
        <v>2300</v>
      </c>
      <c r="AK7" s="94">
        <f t="shared" si="7"/>
        <v>54.761904761904759</v>
      </c>
    </row>
    <row r="8" spans="1:40" s="97" customFormat="1" ht="15" x14ac:dyDescent="0.3">
      <c r="A8" s="38" t="s">
        <v>299</v>
      </c>
      <c r="B8" s="96"/>
      <c r="C8" s="93" t="s">
        <v>527</v>
      </c>
      <c r="D8" s="96" t="s">
        <v>1</v>
      </c>
      <c r="E8" s="93"/>
      <c r="F8" s="93"/>
      <c r="G8" s="94" t="str">
        <f t="shared" si="0"/>
        <v/>
      </c>
      <c r="H8" s="93"/>
      <c r="I8" s="93"/>
      <c r="J8" s="93"/>
      <c r="K8" s="93"/>
      <c r="L8" s="93"/>
      <c r="M8" s="93"/>
      <c r="N8" s="93"/>
      <c r="O8" s="94" t="str">
        <f t="shared" si="1"/>
        <v/>
      </c>
      <c r="P8" s="93"/>
      <c r="Q8" s="93"/>
      <c r="R8" s="93"/>
      <c r="S8" s="94" t="str">
        <f t="shared" si="2"/>
        <v/>
      </c>
      <c r="T8" s="93"/>
      <c r="U8" s="93"/>
      <c r="V8" s="93"/>
      <c r="W8" s="94" t="str">
        <f t="shared" si="3"/>
        <v/>
      </c>
      <c r="X8" s="93"/>
      <c r="Y8" s="93"/>
      <c r="Z8" s="93"/>
      <c r="AA8" s="94" t="str">
        <f t="shared" si="4"/>
        <v/>
      </c>
      <c r="AB8" s="57"/>
      <c r="AC8" s="57"/>
      <c r="AD8" s="57"/>
      <c r="AE8" s="94" t="str">
        <f t="shared" si="5"/>
        <v/>
      </c>
      <c r="AF8" s="57"/>
      <c r="AG8" s="57"/>
      <c r="AH8" s="94" t="str">
        <f t="shared" si="6"/>
        <v/>
      </c>
      <c r="AI8" s="57">
        <v>3000</v>
      </c>
      <c r="AJ8" s="57">
        <v>94600</v>
      </c>
      <c r="AK8" s="94">
        <f t="shared" si="7"/>
        <v>31.533333333333335</v>
      </c>
    </row>
    <row r="9" spans="1:40" s="97" customFormat="1" x14ac:dyDescent="0.3">
      <c r="A9" s="38" t="s">
        <v>300</v>
      </c>
      <c r="B9" s="96"/>
      <c r="C9" s="93" t="s">
        <v>527</v>
      </c>
      <c r="D9" s="96" t="s">
        <v>1</v>
      </c>
      <c r="E9" s="93"/>
      <c r="F9" s="93"/>
      <c r="G9" s="94" t="str">
        <f t="shared" si="0"/>
        <v/>
      </c>
      <c r="H9" s="93"/>
      <c r="I9" s="93"/>
      <c r="J9" s="93"/>
      <c r="K9" s="93"/>
      <c r="L9" s="93"/>
      <c r="M9" s="93"/>
      <c r="N9" s="93"/>
      <c r="O9" s="94" t="str">
        <f t="shared" si="1"/>
        <v/>
      </c>
      <c r="P9" s="93"/>
      <c r="Q9" s="93"/>
      <c r="R9" s="93"/>
      <c r="S9" s="94" t="str">
        <f t="shared" si="2"/>
        <v/>
      </c>
      <c r="T9" s="93"/>
      <c r="U9" s="93"/>
      <c r="V9" s="93"/>
      <c r="W9" s="94" t="str">
        <f t="shared" si="3"/>
        <v/>
      </c>
      <c r="X9" s="93"/>
      <c r="Y9" s="93"/>
      <c r="Z9" s="93"/>
      <c r="AA9" s="94" t="str">
        <f t="shared" si="4"/>
        <v/>
      </c>
      <c r="AB9" s="57"/>
      <c r="AC9" s="57"/>
      <c r="AD9" s="57"/>
      <c r="AE9" s="94" t="str">
        <f t="shared" si="5"/>
        <v/>
      </c>
      <c r="AF9" s="57"/>
      <c r="AG9" s="57"/>
      <c r="AH9" s="94" t="str">
        <f t="shared" si="6"/>
        <v/>
      </c>
      <c r="AI9" s="57">
        <v>224</v>
      </c>
      <c r="AJ9" s="57">
        <v>7700</v>
      </c>
      <c r="AK9" s="94">
        <f t="shared" si="7"/>
        <v>34.375</v>
      </c>
    </row>
    <row r="10" spans="1:40" s="97" customFormat="1" x14ac:dyDescent="0.3">
      <c r="A10" s="38" t="s">
        <v>301</v>
      </c>
      <c r="B10" s="96"/>
      <c r="C10" s="93" t="s">
        <v>527</v>
      </c>
      <c r="D10" s="96" t="s">
        <v>1</v>
      </c>
      <c r="E10" s="93"/>
      <c r="F10" s="93"/>
      <c r="G10" s="94" t="str">
        <f t="shared" si="0"/>
        <v/>
      </c>
      <c r="H10" s="93"/>
      <c r="I10" s="93"/>
      <c r="J10" s="93"/>
      <c r="K10" s="93"/>
      <c r="L10" s="93"/>
      <c r="M10" s="93"/>
      <c r="N10" s="93"/>
      <c r="O10" s="94" t="str">
        <f t="shared" si="1"/>
        <v/>
      </c>
      <c r="P10" s="93"/>
      <c r="Q10" s="93"/>
      <c r="R10" s="93"/>
      <c r="S10" s="94" t="str">
        <f t="shared" si="2"/>
        <v/>
      </c>
      <c r="T10" s="93"/>
      <c r="U10" s="93"/>
      <c r="V10" s="93"/>
      <c r="W10" s="94" t="str">
        <f t="shared" si="3"/>
        <v/>
      </c>
      <c r="X10" s="93"/>
      <c r="Y10" s="93"/>
      <c r="Z10" s="93"/>
      <c r="AA10" s="94" t="str">
        <f t="shared" si="4"/>
        <v/>
      </c>
      <c r="AB10" s="57"/>
      <c r="AC10" s="57"/>
      <c r="AD10" s="57"/>
      <c r="AE10" s="94" t="str">
        <f t="shared" si="5"/>
        <v/>
      </c>
      <c r="AF10" s="57"/>
      <c r="AG10" s="57"/>
      <c r="AH10" s="94" t="str">
        <f t="shared" si="6"/>
        <v/>
      </c>
      <c r="AI10" s="57">
        <v>93</v>
      </c>
      <c r="AJ10" s="57">
        <v>5300</v>
      </c>
      <c r="AK10" s="94">
        <f t="shared" si="7"/>
        <v>56.98924731182796</v>
      </c>
    </row>
    <row r="11" spans="1:40" s="97" customFormat="1" x14ac:dyDescent="0.3">
      <c r="A11" s="38" t="s">
        <v>60</v>
      </c>
      <c r="B11" s="96" t="s">
        <v>523</v>
      </c>
      <c r="C11" s="93" t="s">
        <v>527</v>
      </c>
      <c r="D11" s="96" t="s">
        <v>1</v>
      </c>
      <c r="E11" s="93">
        <f>570978*$F$107</f>
        <v>142744.5</v>
      </c>
      <c r="F11" s="93">
        <v>875600</v>
      </c>
      <c r="G11" s="94">
        <f t="shared" si="0"/>
        <v>6.1340366879284316</v>
      </c>
      <c r="H11" s="57"/>
      <c r="I11" s="93"/>
      <c r="J11" s="93"/>
      <c r="K11" s="57"/>
      <c r="L11" s="93"/>
      <c r="M11" s="93"/>
      <c r="N11" s="94"/>
      <c r="O11" s="94" t="str">
        <f t="shared" si="1"/>
        <v/>
      </c>
      <c r="P11" s="93"/>
      <c r="Q11" s="93"/>
      <c r="R11" s="93"/>
      <c r="S11" s="94" t="str">
        <f t="shared" si="2"/>
        <v/>
      </c>
      <c r="T11" s="93"/>
      <c r="U11" s="93"/>
      <c r="V11" s="93"/>
      <c r="W11" s="94" t="str">
        <f t="shared" si="3"/>
        <v/>
      </c>
      <c r="X11" s="93"/>
      <c r="Y11" s="93"/>
      <c r="Z11" s="93"/>
      <c r="AA11" s="94" t="str">
        <f t="shared" si="4"/>
        <v/>
      </c>
      <c r="AB11" s="57"/>
      <c r="AC11" s="57"/>
      <c r="AD11" s="57"/>
      <c r="AE11" s="94" t="str">
        <f t="shared" si="5"/>
        <v/>
      </c>
      <c r="AF11" s="57"/>
      <c r="AG11" s="57"/>
      <c r="AH11" s="94" t="str">
        <f t="shared" si="6"/>
        <v/>
      </c>
      <c r="AI11" s="57"/>
      <c r="AJ11" s="57"/>
      <c r="AK11" s="94" t="str">
        <f t="shared" si="7"/>
        <v/>
      </c>
    </row>
    <row r="12" spans="1:40" s="97" customFormat="1" x14ac:dyDescent="0.3">
      <c r="A12" s="38" t="s">
        <v>525</v>
      </c>
      <c r="B12" s="96" t="s">
        <v>524</v>
      </c>
      <c r="C12" s="93" t="s">
        <v>527</v>
      </c>
      <c r="D12" s="96" t="s">
        <v>1</v>
      </c>
      <c r="E12" s="93">
        <f>937720*$F$107</f>
        <v>234430</v>
      </c>
      <c r="F12" s="93">
        <v>1172000</v>
      </c>
      <c r="G12" s="94">
        <f t="shared" si="0"/>
        <v>4.9993601501514311</v>
      </c>
      <c r="H12" s="93" t="s">
        <v>424</v>
      </c>
      <c r="I12" s="93"/>
      <c r="J12" s="93"/>
      <c r="K12" s="94">
        <f>(1+1)/2+((11+12)/2/$D$196)</f>
        <v>1.575</v>
      </c>
      <c r="L12" s="93"/>
      <c r="M12" s="93"/>
      <c r="N12" s="93"/>
      <c r="O12" s="94" t="str">
        <f t="shared" si="1"/>
        <v/>
      </c>
      <c r="P12" s="93"/>
      <c r="Q12" s="93"/>
      <c r="R12" s="93"/>
      <c r="S12" s="94" t="str">
        <f t="shared" si="2"/>
        <v/>
      </c>
      <c r="T12" s="93"/>
      <c r="U12" s="93"/>
      <c r="V12" s="93"/>
      <c r="W12" s="94" t="str">
        <f t="shared" si="3"/>
        <v/>
      </c>
      <c r="X12" s="93"/>
      <c r="Y12" s="93"/>
      <c r="Z12" s="93"/>
      <c r="AA12" s="94" t="str">
        <f t="shared" si="4"/>
        <v/>
      </c>
      <c r="AB12" s="57"/>
      <c r="AC12" s="57"/>
      <c r="AD12" s="57"/>
      <c r="AE12" s="94" t="str">
        <f t="shared" si="5"/>
        <v/>
      </c>
      <c r="AF12" s="57"/>
      <c r="AG12" s="57"/>
      <c r="AH12" s="94" t="str">
        <f t="shared" si="6"/>
        <v/>
      </c>
      <c r="AI12" s="57"/>
      <c r="AJ12" s="57"/>
      <c r="AK12" s="94" t="str">
        <f t="shared" si="7"/>
        <v/>
      </c>
    </row>
    <row r="13" spans="1:40" s="97" customFormat="1" x14ac:dyDescent="0.3">
      <c r="A13" s="38" t="s">
        <v>38</v>
      </c>
      <c r="B13" s="96" t="s">
        <v>523</v>
      </c>
      <c r="C13" s="93" t="s">
        <v>527</v>
      </c>
      <c r="D13" s="96" t="s">
        <v>1</v>
      </c>
      <c r="E13" s="93">
        <f>320000*$F$107</f>
        <v>80000</v>
      </c>
      <c r="F13" s="93">
        <v>200000</v>
      </c>
      <c r="G13" s="94">
        <f t="shared" si="0"/>
        <v>2.5</v>
      </c>
      <c r="H13" s="93"/>
      <c r="I13" s="93"/>
      <c r="J13" s="93"/>
      <c r="K13" s="93"/>
      <c r="L13" s="93"/>
      <c r="M13" s="93"/>
      <c r="N13" s="93"/>
      <c r="O13" s="94" t="str">
        <f t="shared" si="1"/>
        <v/>
      </c>
      <c r="P13" s="93"/>
      <c r="Q13" s="93"/>
      <c r="R13" s="93"/>
      <c r="S13" s="94" t="str">
        <f t="shared" si="2"/>
        <v/>
      </c>
      <c r="T13" s="93"/>
      <c r="U13" s="93"/>
      <c r="V13" s="93"/>
      <c r="W13" s="94" t="str">
        <f t="shared" si="3"/>
        <v/>
      </c>
      <c r="X13" s="93"/>
      <c r="Y13" s="93"/>
      <c r="Z13" s="93"/>
      <c r="AA13" s="94" t="str">
        <f t="shared" si="4"/>
        <v/>
      </c>
      <c r="AB13" s="57"/>
      <c r="AC13" s="57"/>
      <c r="AD13" s="57"/>
      <c r="AE13" s="94" t="str">
        <f t="shared" si="5"/>
        <v/>
      </c>
      <c r="AF13" s="57"/>
      <c r="AG13" s="57"/>
      <c r="AH13" s="94" t="str">
        <f t="shared" si="6"/>
        <v/>
      </c>
      <c r="AI13" s="57"/>
      <c r="AJ13" s="57"/>
      <c r="AK13" s="94" t="str">
        <f t="shared" si="7"/>
        <v/>
      </c>
    </row>
    <row r="14" spans="1:40" s="97" customFormat="1" x14ac:dyDescent="0.3">
      <c r="A14" s="38" t="s">
        <v>526</v>
      </c>
      <c r="B14" s="96" t="s">
        <v>523</v>
      </c>
      <c r="C14" s="93" t="s">
        <v>527</v>
      </c>
      <c r="D14" s="96" t="s">
        <v>1</v>
      </c>
      <c r="E14" s="93">
        <f>42000*$F$107</f>
        <v>10500</v>
      </c>
      <c r="F14" s="93">
        <v>60000</v>
      </c>
      <c r="G14" s="94">
        <f t="shared" si="0"/>
        <v>5.7142857142857144</v>
      </c>
      <c r="H14" s="93"/>
      <c r="I14" s="93"/>
      <c r="J14" s="93"/>
      <c r="K14" s="93"/>
      <c r="L14" s="93"/>
      <c r="M14" s="93"/>
      <c r="N14" s="93"/>
      <c r="O14" s="94" t="str">
        <f t="shared" si="1"/>
        <v/>
      </c>
      <c r="P14" s="93"/>
      <c r="Q14" s="93"/>
      <c r="R14" s="93"/>
      <c r="S14" s="94" t="str">
        <f t="shared" si="2"/>
        <v/>
      </c>
      <c r="T14" s="93"/>
      <c r="U14" s="93"/>
      <c r="V14" s="93"/>
      <c r="W14" s="94" t="str">
        <f t="shared" si="3"/>
        <v/>
      </c>
      <c r="X14" s="93"/>
      <c r="Y14" s="93"/>
      <c r="Z14" s="93"/>
      <c r="AA14" s="94" t="str">
        <f t="shared" si="4"/>
        <v/>
      </c>
      <c r="AB14" s="57"/>
      <c r="AC14" s="57"/>
      <c r="AD14" s="57"/>
      <c r="AE14" s="94" t="str">
        <f t="shared" si="5"/>
        <v/>
      </c>
      <c r="AF14" s="57"/>
      <c r="AG14" s="57"/>
      <c r="AH14" s="94" t="str">
        <f t="shared" si="6"/>
        <v/>
      </c>
      <c r="AI14" s="57"/>
      <c r="AJ14" s="57"/>
      <c r="AK14" s="94" t="str">
        <f t="shared" si="7"/>
        <v/>
      </c>
    </row>
    <row r="15" spans="1:40" s="97" customFormat="1" x14ac:dyDescent="0.3">
      <c r="A15" s="38" t="s">
        <v>60</v>
      </c>
      <c r="B15" s="96"/>
      <c r="C15" s="93" t="s">
        <v>527</v>
      </c>
      <c r="D15" s="96" t="s">
        <v>1</v>
      </c>
      <c r="E15" s="93"/>
      <c r="F15" s="93"/>
      <c r="G15" s="94" t="str">
        <f t="shared" si="0"/>
        <v/>
      </c>
      <c r="H15" s="93"/>
      <c r="I15" s="93"/>
      <c r="J15" s="93"/>
      <c r="K15" s="93"/>
      <c r="L15" s="93"/>
      <c r="M15" s="93"/>
      <c r="N15" s="93"/>
      <c r="O15" s="94"/>
      <c r="P15" s="57"/>
      <c r="Q15" s="93"/>
      <c r="R15" s="93"/>
      <c r="S15" s="94"/>
      <c r="T15" s="93"/>
      <c r="U15" s="57"/>
      <c r="V15" s="57"/>
      <c r="W15" s="94" t="str">
        <f t="shared" si="3"/>
        <v/>
      </c>
      <c r="X15" s="57"/>
      <c r="Y15" s="57"/>
      <c r="Z15" s="57"/>
      <c r="AA15" s="94" t="str">
        <f t="shared" si="4"/>
        <v/>
      </c>
      <c r="AB15" s="57" t="s">
        <v>1</v>
      </c>
      <c r="AC15" s="57">
        <f>196617480/$F$102</f>
        <v>87775.66071428571</v>
      </c>
      <c r="AD15" s="57">
        <v>1163267</v>
      </c>
      <c r="AE15" s="94">
        <f t="shared" si="5"/>
        <v>13.252728495960787</v>
      </c>
      <c r="AF15" s="57">
        <f>262077420/$F$102</f>
        <v>116998.84821428571</v>
      </c>
      <c r="AG15" s="57">
        <v>1601946</v>
      </c>
      <c r="AH15" s="94">
        <f t="shared" si="6"/>
        <v>13.691980942120081</v>
      </c>
      <c r="AI15" s="57"/>
      <c r="AJ15" s="57"/>
      <c r="AK15" s="94" t="str">
        <f t="shared" si="7"/>
        <v/>
      </c>
    </row>
    <row r="16" spans="1:40" s="97" customFormat="1" x14ac:dyDescent="0.3">
      <c r="A16" s="38" t="s">
        <v>642</v>
      </c>
      <c r="B16" s="96"/>
      <c r="C16" s="93" t="s">
        <v>527</v>
      </c>
      <c r="D16" s="96" t="s">
        <v>1</v>
      </c>
      <c r="E16" s="93"/>
      <c r="F16" s="93"/>
      <c r="G16" s="94" t="str">
        <f t="shared" si="0"/>
        <v/>
      </c>
      <c r="H16" s="93"/>
      <c r="I16" s="93"/>
      <c r="J16" s="93"/>
      <c r="K16" s="93"/>
      <c r="L16" s="93"/>
      <c r="M16" s="93"/>
      <c r="N16" s="93"/>
      <c r="O16" s="94"/>
      <c r="P16" s="93"/>
      <c r="Q16" s="93"/>
      <c r="R16" s="93"/>
      <c r="S16" s="94"/>
      <c r="T16" s="93"/>
      <c r="U16" s="93"/>
      <c r="V16" s="93"/>
      <c r="W16" s="94" t="str">
        <f t="shared" si="3"/>
        <v/>
      </c>
      <c r="X16" s="93"/>
      <c r="Y16" s="93"/>
      <c r="Z16" s="93"/>
      <c r="AA16" s="94" t="str">
        <f t="shared" si="4"/>
        <v/>
      </c>
      <c r="AB16" s="57" t="s">
        <v>1</v>
      </c>
      <c r="AC16" s="57">
        <f>2119138/$F$102</f>
        <v>946.04375000000005</v>
      </c>
      <c r="AD16" s="57">
        <v>9127</v>
      </c>
      <c r="AE16" s="94">
        <f t="shared" si="5"/>
        <v>9.6475453698626517</v>
      </c>
      <c r="AF16" s="57">
        <f>1253208/$F$102</f>
        <v>559.46785714285716</v>
      </c>
      <c r="AG16" s="57">
        <v>6100</v>
      </c>
      <c r="AH16" s="94">
        <f t="shared" si="6"/>
        <v>10.903217981372604</v>
      </c>
      <c r="AI16" s="57"/>
      <c r="AJ16" s="57"/>
      <c r="AK16" s="94" t="str">
        <f t="shared" si="7"/>
        <v/>
      </c>
    </row>
    <row r="17" spans="1:37" s="97" customFormat="1" x14ac:dyDescent="0.3">
      <c r="A17" s="38" t="s">
        <v>38</v>
      </c>
      <c r="B17" s="96"/>
      <c r="C17" s="93" t="s">
        <v>527</v>
      </c>
      <c r="D17" s="96" t="s">
        <v>1</v>
      </c>
      <c r="E17" s="93"/>
      <c r="F17" s="93"/>
      <c r="G17" s="94" t="str">
        <f t="shared" si="0"/>
        <v/>
      </c>
      <c r="H17" s="93"/>
      <c r="I17" s="93"/>
      <c r="J17" s="93"/>
      <c r="K17" s="93"/>
      <c r="L17" s="93"/>
      <c r="M17" s="93"/>
      <c r="N17" s="93"/>
      <c r="O17" s="94"/>
      <c r="P17" s="57"/>
      <c r="Q17" s="93"/>
      <c r="R17" s="93"/>
      <c r="S17" s="94"/>
      <c r="T17" s="93"/>
      <c r="U17" s="93"/>
      <c r="V17" s="93"/>
      <c r="W17" s="94" t="str">
        <f t="shared" si="3"/>
        <v/>
      </c>
      <c r="X17" s="93"/>
      <c r="Y17" s="93"/>
      <c r="Z17" s="93"/>
      <c r="AA17" s="94" t="str">
        <f t="shared" si="4"/>
        <v/>
      </c>
      <c r="AB17" s="57"/>
      <c r="AC17" s="57"/>
      <c r="AD17" s="57"/>
      <c r="AE17" s="94" t="str">
        <f t="shared" si="5"/>
        <v/>
      </c>
      <c r="AF17" s="57"/>
      <c r="AG17" s="57"/>
      <c r="AH17" s="94" t="str">
        <f t="shared" si="6"/>
        <v/>
      </c>
      <c r="AI17" s="57"/>
      <c r="AJ17" s="57"/>
      <c r="AK17" s="94" t="str">
        <f t="shared" si="7"/>
        <v/>
      </c>
    </row>
    <row r="18" spans="1:37" s="97" customFormat="1" x14ac:dyDescent="0.3">
      <c r="A18" s="38" t="s">
        <v>483</v>
      </c>
      <c r="B18" s="96"/>
      <c r="C18" s="93" t="s">
        <v>527</v>
      </c>
      <c r="D18" s="96" t="s">
        <v>1</v>
      </c>
      <c r="E18" s="93"/>
      <c r="F18" s="93"/>
      <c r="G18" s="94" t="str">
        <f t="shared" si="0"/>
        <v/>
      </c>
      <c r="H18" s="93"/>
      <c r="I18" s="93"/>
      <c r="J18" s="93"/>
      <c r="K18" s="93"/>
      <c r="L18" s="93"/>
      <c r="M18" s="93"/>
      <c r="N18" s="93"/>
      <c r="O18" s="94"/>
      <c r="P18" s="57"/>
      <c r="Q18" s="93"/>
      <c r="R18" s="93"/>
      <c r="S18" s="94"/>
      <c r="T18" s="93"/>
      <c r="U18" s="93"/>
      <c r="V18" s="93"/>
      <c r="W18" s="94" t="str">
        <f t="shared" si="3"/>
        <v/>
      </c>
      <c r="X18" s="93"/>
      <c r="Y18" s="93"/>
      <c r="Z18" s="93"/>
      <c r="AA18" s="94" t="str">
        <f t="shared" si="4"/>
        <v/>
      </c>
      <c r="AB18" s="57"/>
      <c r="AC18" s="57"/>
      <c r="AD18" s="57"/>
      <c r="AE18" s="94" t="str">
        <f t="shared" si="5"/>
        <v/>
      </c>
      <c r="AF18" s="57"/>
      <c r="AG18" s="57"/>
      <c r="AH18" s="94" t="str">
        <f t="shared" si="6"/>
        <v/>
      </c>
      <c r="AI18" s="57"/>
      <c r="AJ18" s="57"/>
      <c r="AK18" s="94" t="str">
        <f t="shared" si="7"/>
        <v/>
      </c>
    </row>
    <row r="19" spans="1:37" s="97" customFormat="1" x14ac:dyDescent="0.3">
      <c r="A19" s="38" t="s">
        <v>53</v>
      </c>
      <c r="B19" s="96"/>
      <c r="C19" s="93" t="s">
        <v>527</v>
      </c>
      <c r="D19" s="96" t="s">
        <v>1</v>
      </c>
      <c r="E19" s="93"/>
      <c r="F19" s="93"/>
      <c r="G19" s="94" t="str">
        <f t="shared" si="0"/>
        <v/>
      </c>
      <c r="H19" s="93"/>
      <c r="I19" s="93"/>
      <c r="J19" s="93"/>
      <c r="K19" s="93"/>
      <c r="L19" s="93"/>
      <c r="M19" s="93"/>
      <c r="N19" s="93"/>
      <c r="O19" s="94"/>
      <c r="P19" s="57"/>
      <c r="Q19" s="93"/>
      <c r="R19" s="93"/>
      <c r="S19" s="94"/>
      <c r="T19" s="93"/>
      <c r="U19" s="93"/>
      <c r="V19" s="93"/>
      <c r="W19" s="94" t="str">
        <f t="shared" si="3"/>
        <v/>
      </c>
      <c r="X19" s="93"/>
      <c r="Y19" s="93"/>
      <c r="Z19" s="93"/>
      <c r="AA19" s="94" t="str">
        <f t="shared" si="4"/>
        <v/>
      </c>
      <c r="AB19" s="57"/>
      <c r="AC19" s="57"/>
      <c r="AD19" s="57"/>
      <c r="AE19" s="94" t="str">
        <f t="shared" si="5"/>
        <v/>
      </c>
      <c r="AF19" s="57"/>
      <c r="AG19" s="57"/>
      <c r="AH19" s="94" t="str">
        <f t="shared" si="6"/>
        <v/>
      </c>
      <c r="AI19" s="57"/>
      <c r="AJ19" s="57"/>
      <c r="AK19" s="94" t="str">
        <f t="shared" si="7"/>
        <v/>
      </c>
    </row>
    <row r="20" spans="1:37" s="97" customFormat="1" x14ac:dyDescent="0.3">
      <c r="A20" s="38" t="s">
        <v>643</v>
      </c>
      <c r="B20" s="96"/>
      <c r="C20" s="93" t="s">
        <v>527</v>
      </c>
      <c r="D20" s="96" t="s">
        <v>1</v>
      </c>
      <c r="E20" s="93"/>
      <c r="F20" s="93"/>
      <c r="G20" s="94" t="str">
        <f t="shared" si="0"/>
        <v/>
      </c>
      <c r="H20" s="93"/>
      <c r="I20" s="93"/>
      <c r="J20" s="93"/>
      <c r="K20" s="93"/>
      <c r="L20" s="93"/>
      <c r="M20" s="93"/>
      <c r="N20" s="93"/>
      <c r="O20" s="94"/>
      <c r="P20" s="93"/>
      <c r="Q20" s="93"/>
      <c r="R20" s="93"/>
      <c r="S20" s="94"/>
      <c r="T20" s="93"/>
      <c r="U20" s="93"/>
      <c r="V20" s="93"/>
      <c r="W20" s="94" t="str">
        <f t="shared" si="3"/>
        <v/>
      </c>
      <c r="X20" s="93"/>
      <c r="Y20" s="93"/>
      <c r="Z20" s="93"/>
      <c r="AA20" s="94" t="str">
        <f t="shared" si="4"/>
        <v/>
      </c>
      <c r="AB20" s="57"/>
      <c r="AC20" s="57"/>
      <c r="AD20" s="57"/>
      <c r="AE20" s="94" t="str">
        <f t="shared" si="5"/>
        <v/>
      </c>
      <c r="AF20" s="57"/>
      <c r="AG20" s="57"/>
      <c r="AH20" s="94" t="str">
        <f t="shared" si="6"/>
        <v/>
      </c>
      <c r="AI20" s="57">
        <v>457</v>
      </c>
      <c r="AJ20" s="57">
        <v>2900</v>
      </c>
      <c r="AK20" s="94">
        <f t="shared" si="7"/>
        <v>6.3457330415754925</v>
      </c>
    </row>
    <row r="21" spans="1:37" s="97" customFormat="1" x14ac:dyDescent="0.3">
      <c r="A21" s="38" t="s">
        <v>516</v>
      </c>
      <c r="B21" s="96"/>
      <c r="C21" s="93" t="s">
        <v>527</v>
      </c>
      <c r="D21" s="96" t="s">
        <v>1</v>
      </c>
      <c r="E21" s="93"/>
      <c r="F21" s="93"/>
      <c r="G21" s="94" t="str">
        <f t="shared" si="0"/>
        <v/>
      </c>
      <c r="H21" s="93"/>
      <c r="I21" s="93"/>
      <c r="J21" s="93"/>
      <c r="K21" s="93"/>
      <c r="L21" s="93"/>
      <c r="M21" s="93"/>
      <c r="N21" s="93"/>
      <c r="O21" s="94"/>
      <c r="P21" s="93"/>
      <c r="Q21" s="93"/>
      <c r="R21" s="93"/>
      <c r="S21" s="94"/>
      <c r="T21" s="93"/>
      <c r="U21" s="93"/>
      <c r="V21" s="93"/>
      <c r="W21" s="94" t="str">
        <f t="shared" si="3"/>
        <v/>
      </c>
      <c r="X21" s="93"/>
      <c r="Y21" s="93"/>
      <c r="Z21" s="93"/>
      <c r="AA21" s="94" t="str">
        <f t="shared" si="4"/>
        <v/>
      </c>
      <c r="AB21" s="57"/>
      <c r="AC21" s="57"/>
      <c r="AD21" s="57"/>
      <c r="AE21" s="94" t="str">
        <f t="shared" si="5"/>
        <v/>
      </c>
      <c r="AF21" s="57"/>
      <c r="AG21" s="57"/>
      <c r="AH21" s="94" t="str">
        <f t="shared" si="6"/>
        <v/>
      </c>
      <c r="AI21" s="57">
        <v>96</v>
      </c>
      <c r="AJ21" s="57">
        <v>1400</v>
      </c>
      <c r="AK21" s="94">
        <f t="shared" si="7"/>
        <v>14.583333333333334</v>
      </c>
    </row>
    <row r="22" spans="1:37" s="97" customFormat="1" x14ac:dyDescent="0.3">
      <c r="A22" s="38" t="s">
        <v>302</v>
      </c>
      <c r="B22" s="96"/>
      <c r="C22" s="93" t="s">
        <v>527</v>
      </c>
      <c r="D22" s="96" t="s">
        <v>1</v>
      </c>
      <c r="E22" s="93"/>
      <c r="F22" s="93"/>
      <c r="G22" s="94" t="str">
        <f t="shared" si="0"/>
        <v/>
      </c>
      <c r="H22" s="93"/>
      <c r="I22" s="93"/>
      <c r="J22" s="93"/>
      <c r="K22" s="93"/>
      <c r="L22" s="93"/>
      <c r="M22" s="93"/>
      <c r="N22" s="93"/>
      <c r="O22" s="94" t="str">
        <f t="shared" si="1"/>
        <v/>
      </c>
      <c r="P22" s="93"/>
      <c r="Q22" s="93"/>
      <c r="R22" s="93"/>
      <c r="S22" s="94" t="str">
        <f t="shared" si="2"/>
        <v/>
      </c>
      <c r="T22" s="93"/>
      <c r="U22" s="93"/>
      <c r="V22" s="93"/>
      <c r="W22" s="94" t="str">
        <f t="shared" si="3"/>
        <v/>
      </c>
      <c r="X22" s="93"/>
      <c r="Y22" s="93"/>
      <c r="Z22" s="93"/>
      <c r="AA22" s="94" t="str">
        <f t="shared" si="4"/>
        <v/>
      </c>
      <c r="AB22" s="57"/>
      <c r="AC22" s="57"/>
      <c r="AD22" s="57"/>
      <c r="AE22" s="94" t="str">
        <f t="shared" si="5"/>
        <v/>
      </c>
      <c r="AF22" s="57"/>
      <c r="AG22" s="57"/>
      <c r="AH22" s="94" t="str">
        <f t="shared" si="6"/>
        <v/>
      </c>
      <c r="AI22" s="57">
        <v>658</v>
      </c>
      <c r="AJ22" s="57">
        <v>2700</v>
      </c>
      <c r="AK22" s="94">
        <f t="shared" si="7"/>
        <v>4.1033434650455929</v>
      </c>
    </row>
    <row r="23" spans="1:37" s="97" customFormat="1" x14ac:dyDescent="0.3">
      <c r="A23" s="38" t="s">
        <v>303</v>
      </c>
      <c r="B23" s="96"/>
      <c r="C23" s="93" t="s">
        <v>527</v>
      </c>
      <c r="D23" s="96" t="s">
        <v>1</v>
      </c>
      <c r="E23" s="93"/>
      <c r="F23" s="93"/>
      <c r="G23" s="94" t="str">
        <f t="shared" si="0"/>
        <v/>
      </c>
      <c r="H23" s="93"/>
      <c r="I23" s="93"/>
      <c r="J23" s="93"/>
      <c r="K23" s="93"/>
      <c r="L23" s="93"/>
      <c r="M23" s="93"/>
      <c r="N23" s="93"/>
      <c r="O23" s="94" t="str">
        <f t="shared" si="1"/>
        <v/>
      </c>
      <c r="P23" s="93"/>
      <c r="Q23" s="93"/>
      <c r="R23" s="93"/>
      <c r="S23" s="94" t="str">
        <f t="shared" si="2"/>
        <v/>
      </c>
      <c r="T23" s="93"/>
      <c r="U23" s="93"/>
      <c r="V23" s="93"/>
      <c r="W23" s="94" t="str">
        <f t="shared" si="3"/>
        <v/>
      </c>
      <c r="X23" s="93"/>
      <c r="Y23" s="93"/>
      <c r="Z23" s="93"/>
      <c r="AA23" s="94" t="str">
        <f t="shared" si="4"/>
        <v/>
      </c>
      <c r="AB23" s="57"/>
      <c r="AC23" s="57"/>
      <c r="AD23" s="57"/>
      <c r="AE23" s="94" t="str">
        <f t="shared" si="5"/>
        <v/>
      </c>
      <c r="AF23" s="57"/>
      <c r="AG23" s="57"/>
      <c r="AH23" s="94" t="str">
        <f t="shared" si="6"/>
        <v/>
      </c>
      <c r="AI23" s="57">
        <v>3289</v>
      </c>
      <c r="AJ23" s="57">
        <v>1400</v>
      </c>
      <c r="AK23" s="94">
        <f t="shared" si="7"/>
        <v>0.42566129522651264</v>
      </c>
    </row>
    <row r="24" spans="1:37" s="97" customFormat="1" x14ac:dyDescent="0.3">
      <c r="A24" s="38" t="s">
        <v>159</v>
      </c>
      <c r="B24" s="96"/>
      <c r="C24" s="93" t="s">
        <v>527</v>
      </c>
      <c r="D24" s="96" t="s">
        <v>1</v>
      </c>
      <c r="E24" s="93"/>
      <c r="F24" s="93"/>
      <c r="G24" s="94" t="str">
        <f t="shared" si="0"/>
        <v/>
      </c>
      <c r="H24" s="93"/>
      <c r="I24" s="93"/>
      <c r="J24" s="93"/>
      <c r="K24" s="93"/>
      <c r="L24" s="93"/>
      <c r="M24" s="93"/>
      <c r="N24" s="93"/>
      <c r="O24" s="94" t="str">
        <f t="shared" si="1"/>
        <v/>
      </c>
      <c r="P24" s="93"/>
      <c r="Q24" s="93"/>
      <c r="R24" s="93"/>
      <c r="S24" s="94" t="str">
        <f t="shared" si="2"/>
        <v/>
      </c>
      <c r="T24" s="93"/>
      <c r="U24" s="93"/>
      <c r="V24" s="93"/>
      <c r="W24" s="94" t="str">
        <f t="shared" si="3"/>
        <v/>
      </c>
      <c r="X24" s="93"/>
      <c r="Y24" s="93"/>
      <c r="Z24" s="93"/>
      <c r="AA24" s="94" t="str">
        <f t="shared" si="4"/>
        <v/>
      </c>
      <c r="AB24" s="57"/>
      <c r="AC24" s="57"/>
      <c r="AD24" s="57"/>
      <c r="AE24" s="94" t="str">
        <f t="shared" si="5"/>
        <v/>
      </c>
      <c r="AF24" s="57"/>
      <c r="AG24" s="57"/>
      <c r="AH24" s="94" t="str">
        <f t="shared" si="6"/>
        <v/>
      </c>
      <c r="AI24" s="57">
        <v>2147</v>
      </c>
      <c r="AJ24" s="57">
        <v>24000</v>
      </c>
      <c r="AK24" s="94">
        <f t="shared" si="7"/>
        <v>11.178388448998602</v>
      </c>
    </row>
    <row r="25" spans="1:37" s="97" customFormat="1" x14ac:dyDescent="0.3">
      <c r="A25" s="38" t="s">
        <v>304</v>
      </c>
      <c r="B25" s="96"/>
      <c r="C25" s="93" t="s">
        <v>527</v>
      </c>
      <c r="D25" s="96" t="s">
        <v>1</v>
      </c>
      <c r="E25" s="93"/>
      <c r="F25" s="93"/>
      <c r="G25" s="94" t="str">
        <f t="shared" si="0"/>
        <v/>
      </c>
      <c r="H25" s="93"/>
      <c r="I25" s="93"/>
      <c r="J25" s="93"/>
      <c r="K25" s="93"/>
      <c r="L25" s="93"/>
      <c r="M25" s="93"/>
      <c r="N25" s="93"/>
      <c r="O25" s="94" t="str">
        <f t="shared" si="1"/>
        <v/>
      </c>
      <c r="P25" s="93"/>
      <c r="Q25" s="93"/>
      <c r="R25" s="93"/>
      <c r="S25" s="94" t="str">
        <f t="shared" si="2"/>
        <v/>
      </c>
      <c r="T25" s="93"/>
      <c r="U25" s="93"/>
      <c r="V25" s="93"/>
      <c r="W25" s="94" t="str">
        <f t="shared" si="3"/>
        <v/>
      </c>
      <c r="X25" s="93"/>
      <c r="Y25" s="93"/>
      <c r="Z25" s="93"/>
      <c r="AA25" s="94" t="str">
        <f t="shared" si="4"/>
        <v/>
      </c>
      <c r="AB25" s="57"/>
      <c r="AC25" s="57"/>
      <c r="AD25" s="57"/>
      <c r="AE25" s="94" t="str">
        <f t="shared" si="5"/>
        <v/>
      </c>
      <c r="AF25" s="57"/>
      <c r="AG25" s="57"/>
      <c r="AH25" s="94" t="str">
        <f t="shared" si="6"/>
        <v/>
      </c>
      <c r="AI25" s="57">
        <v>672</v>
      </c>
      <c r="AJ25" s="57">
        <v>7600</v>
      </c>
      <c r="AK25" s="94">
        <f t="shared" si="7"/>
        <v>11.30952380952381</v>
      </c>
    </row>
    <row r="26" spans="1:37" s="97" customFormat="1" x14ac:dyDescent="0.3">
      <c r="A26" s="38" t="s">
        <v>305</v>
      </c>
      <c r="B26" s="96"/>
      <c r="C26" s="93" t="s">
        <v>527</v>
      </c>
      <c r="D26" s="96" t="s">
        <v>1</v>
      </c>
      <c r="E26" s="93"/>
      <c r="F26" s="93"/>
      <c r="G26" s="94" t="str">
        <f t="shared" si="0"/>
        <v/>
      </c>
      <c r="H26" s="93"/>
      <c r="I26" s="93"/>
      <c r="J26" s="93"/>
      <c r="K26" s="93"/>
      <c r="L26" s="93"/>
      <c r="M26" s="93"/>
      <c r="N26" s="93"/>
      <c r="O26" s="94" t="str">
        <f t="shared" si="1"/>
        <v/>
      </c>
      <c r="P26" s="93"/>
      <c r="Q26" s="93"/>
      <c r="R26" s="93"/>
      <c r="S26" s="94" t="str">
        <f t="shared" si="2"/>
        <v/>
      </c>
      <c r="T26" s="93"/>
      <c r="U26" s="93"/>
      <c r="V26" s="93"/>
      <c r="W26" s="94" t="str">
        <f t="shared" si="3"/>
        <v/>
      </c>
      <c r="X26" s="93"/>
      <c r="Y26" s="93"/>
      <c r="Z26" s="93"/>
      <c r="AA26" s="94" t="str">
        <f t="shared" si="4"/>
        <v/>
      </c>
      <c r="AB26" s="57"/>
      <c r="AC26" s="57"/>
      <c r="AD26" s="57"/>
      <c r="AE26" s="94" t="str">
        <f t="shared" si="5"/>
        <v/>
      </c>
      <c r="AF26" s="57"/>
      <c r="AG26" s="57"/>
      <c r="AH26" s="94" t="str">
        <f t="shared" si="6"/>
        <v/>
      </c>
      <c r="AI26" s="57">
        <v>87</v>
      </c>
      <c r="AJ26" s="57">
        <v>1400</v>
      </c>
      <c r="AK26" s="94">
        <f t="shared" si="7"/>
        <v>16.091954022988507</v>
      </c>
    </row>
    <row r="27" spans="1:37" s="97" customFormat="1" x14ac:dyDescent="0.3">
      <c r="A27" s="38" t="s">
        <v>317</v>
      </c>
      <c r="B27" s="96"/>
      <c r="C27" s="93" t="s">
        <v>527</v>
      </c>
      <c r="D27" s="96" t="s">
        <v>1</v>
      </c>
      <c r="E27" s="93"/>
      <c r="F27" s="93"/>
      <c r="G27" s="94" t="str">
        <f t="shared" si="0"/>
        <v/>
      </c>
      <c r="H27" s="93"/>
      <c r="I27" s="93"/>
      <c r="J27" s="93"/>
      <c r="K27" s="93"/>
      <c r="L27" s="93"/>
      <c r="M27" s="93"/>
      <c r="N27" s="93"/>
      <c r="O27" s="94" t="str">
        <f t="shared" si="1"/>
        <v/>
      </c>
      <c r="P27" s="93"/>
      <c r="Q27" s="93"/>
      <c r="R27" s="93"/>
      <c r="S27" s="94" t="str">
        <f t="shared" si="2"/>
        <v/>
      </c>
      <c r="T27" s="93"/>
      <c r="U27" s="93"/>
      <c r="V27" s="93"/>
      <c r="W27" s="94" t="str">
        <f t="shared" si="3"/>
        <v/>
      </c>
      <c r="X27" s="93"/>
      <c r="Y27" s="93"/>
      <c r="Z27" s="93"/>
      <c r="AA27" s="94" t="str">
        <f t="shared" si="4"/>
        <v/>
      </c>
      <c r="AB27" s="57"/>
      <c r="AC27" s="57"/>
      <c r="AD27" s="57"/>
      <c r="AE27" s="94" t="str">
        <f t="shared" si="5"/>
        <v/>
      </c>
      <c r="AF27" s="57"/>
      <c r="AG27" s="57"/>
      <c r="AH27" s="94" t="str">
        <f t="shared" si="6"/>
        <v/>
      </c>
      <c r="AI27" s="57">
        <v>87</v>
      </c>
      <c r="AJ27" s="57">
        <v>2000</v>
      </c>
      <c r="AK27" s="94">
        <f t="shared" si="7"/>
        <v>22.988505747126435</v>
      </c>
    </row>
    <row r="28" spans="1:37" s="97" customFormat="1" x14ac:dyDescent="0.3">
      <c r="A28" s="38" t="s">
        <v>318</v>
      </c>
      <c r="B28" s="96"/>
      <c r="C28" s="93" t="s">
        <v>527</v>
      </c>
      <c r="D28" s="96" t="s">
        <v>1</v>
      </c>
      <c r="E28" s="93"/>
      <c r="F28" s="93"/>
      <c r="G28" s="94" t="str">
        <f t="shared" si="0"/>
        <v/>
      </c>
      <c r="H28" s="93"/>
      <c r="I28" s="93"/>
      <c r="J28" s="93"/>
      <c r="K28" s="93"/>
      <c r="L28" s="93"/>
      <c r="M28" s="93"/>
      <c r="N28" s="93"/>
      <c r="O28" s="94" t="str">
        <f t="shared" si="1"/>
        <v/>
      </c>
      <c r="P28" s="93"/>
      <c r="Q28" s="93"/>
      <c r="R28" s="93"/>
      <c r="S28" s="94" t="str">
        <f t="shared" si="2"/>
        <v/>
      </c>
      <c r="T28" s="93"/>
      <c r="U28" s="93"/>
      <c r="V28" s="93"/>
      <c r="W28" s="94" t="str">
        <f t="shared" si="3"/>
        <v/>
      </c>
      <c r="X28" s="93"/>
      <c r="Y28" s="93"/>
      <c r="Z28" s="93"/>
      <c r="AA28" s="94" t="str">
        <f t="shared" si="4"/>
        <v/>
      </c>
      <c r="AB28" s="57"/>
      <c r="AC28" s="57"/>
      <c r="AD28" s="57"/>
      <c r="AE28" s="94" t="str">
        <f t="shared" si="5"/>
        <v/>
      </c>
      <c r="AF28" s="57"/>
      <c r="AG28" s="57"/>
      <c r="AH28" s="94" t="str">
        <f t="shared" si="6"/>
        <v/>
      </c>
      <c r="AI28" s="57">
        <v>100</v>
      </c>
      <c r="AJ28" s="57">
        <v>4000</v>
      </c>
      <c r="AK28" s="94">
        <f t="shared" si="7"/>
        <v>40</v>
      </c>
    </row>
    <row r="29" spans="1:37" s="97" customFormat="1" x14ac:dyDescent="0.3">
      <c r="A29" s="38" t="s">
        <v>313</v>
      </c>
      <c r="B29" s="96"/>
      <c r="C29" s="93" t="s">
        <v>527</v>
      </c>
      <c r="D29" s="96" t="s">
        <v>1</v>
      </c>
      <c r="E29" s="93"/>
      <c r="F29" s="93"/>
      <c r="G29" s="94" t="str">
        <f t="shared" si="0"/>
        <v/>
      </c>
      <c r="H29" s="93"/>
      <c r="I29" s="93"/>
      <c r="J29" s="93"/>
      <c r="K29" s="93"/>
      <c r="L29" s="93"/>
      <c r="M29" s="93"/>
      <c r="N29" s="93"/>
      <c r="O29" s="94" t="str">
        <f t="shared" si="1"/>
        <v/>
      </c>
      <c r="P29" s="93"/>
      <c r="Q29" s="93"/>
      <c r="R29" s="93"/>
      <c r="S29" s="94" t="str">
        <f t="shared" si="2"/>
        <v/>
      </c>
      <c r="T29" s="93"/>
      <c r="U29" s="93"/>
      <c r="V29" s="93"/>
      <c r="W29" s="94" t="str">
        <f t="shared" si="3"/>
        <v/>
      </c>
      <c r="X29" s="93"/>
      <c r="Y29" s="93"/>
      <c r="Z29" s="93"/>
      <c r="AA29" s="94" t="str">
        <f t="shared" si="4"/>
        <v/>
      </c>
      <c r="AB29" s="57"/>
      <c r="AC29" s="57"/>
      <c r="AD29" s="57"/>
      <c r="AE29" s="94" t="str">
        <f t="shared" si="5"/>
        <v/>
      </c>
      <c r="AF29" s="57"/>
      <c r="AG29" s="57"/>
      <c r="AH29" s="94" t="str">
        <f t="shared" si="6"/>
        <v/>
      </c>
      <c r="AI29" s="57">
        <v>174</v>
      </c>
      <c r="AJ29" s="57">
        <v>2400</v>
      </c>
      <c r="AK29" s="94">
        <f t="shared" si="7"/>
        <v>13.793103448275861</v>
      </c>
    </row>
    <row r="30" spans="1:37" s="97" customFormat="1" x14ac:dyDescent="0.3">
      <c r="A30" s="38" t="s">
        <v>314</v>
      </c>
      <c r="B30" s="96"/>
      <c r="C30" s="93" t="s">
        <v>527</v>
      </c>
      <c r="D30" s="96" t="s">
        <v>1</v>
      </c>
      <c r="E30" s="93"/>
      <c r="F30" s="93"/>
      <c r="G30" s="94" t="str">
        <f t="shared" si="0"/>
        <v/>
      </c>
      <c r="H30" s="93"/>
      <c r="I30" s="93"/>
      <c r="J30" s="93"/>
      <c r="K30" s="93"/>
      <c r="L30" s="93"/>
      <c r="M30" s="93"/>
      <c r="N30" s="93"/>
      <c r="O30" s="94" t="str">
        <f t="shared" si="1"/>
        <v/>
      </c>
      <c r="P30" s="93"/>
      <c r="Q30" s="93"/>
      <c r="R30" s="93"/>
      <c r="S30" s="94" t="str">
        <f t="shared" si="2"/>
        <v/>
      </c>
      <c r="T30" s="93"/>
      <c r="U30" s="93"/>
      <c r="V30" s="93"/>
      <c r="W30" s="94" t="str">
        <f t="shared" si="3"/>
        <v/>
      </c>
      <c r="X30" s="93"/>
      <c r="Y30" s="93"/>
      <c r="Z30" s="93"/>
      <c r="AA30" s="94" t="str">
        <f t="shared" si="4"/>
        <v/>
      </c>
      <c r="AB30" s="57"/>
      <c r="AC30" s="57"/>
      <c r="AD30" s="57"/>
      <c r="AE30" s="94" t="str">
        <f t="shared" si="5"/>
        <v/>
      </c>
      <c r="AF30" s="57"/>
      <c r="AG30" s="57"/>
      <c r="AH30" s="94" t="str">
        <f t="shared" si="6"/>
        <v/>
      </c>
      <c r="AI30" s="57">
        <v>162</v>
      </c>
      <c r="AJ30" s="57">
        <v>3900</v>
      </c>
      <c r="AK30" s="94">
        <f t="shared" si="7"/>
        <v>24.074074074074073</v>
      </c>
    </row>
    <row r="31" spans="1:37" s="97" customFormat="1" x14ac:dyDescent="0.3">
      <c r="A31" s="38" t="s">
        <v>315</v>
      </c>
      <c r="B31" s="96"/>
      <c r="C31" s="93" t="s">
        <v>527</v>
      </c>
      <c r="D31" s="96" t="s">
        <v>1</v>
      </c>
      <c r="E31" s="93"/>
      <c r="F31" s="93"/>
      <c r="G31" s="94" t="str">
        <f t="shared" si="0"/>
        <v/>
      </c>
      <c r="H31" s="93"/>
      <c r="I31" s="93"/>
      <c r="J31" s="93"/>
      <c r="K31" s="93"/>
      <c r="L31" s="93"/>
      <c r="M31" s="93"/>
      <c r="N31" s="93"/>
      <c r="O31" s="94" t="str">
        <f t="shared" si="1"/>
        <v/>
      </c>
      <c r="P31" s="93"/>
      <c r="Q31" s="93"/>
      <c r="R31" s="93"/>
      <c r="S31" s="94" t="str">
        <f t="shared" si="2"/>
        <v/>
      </c>
      <c r="T31" s="93"/>
      <c r="U31" s="93"/>
      <c r="V31" s="93"/>
      <c r="W31" s="94" t="str">
        <f t="shared" si="3"/>
        <v/>
      </c>
      <c r="X31" s="93"/>
      <c r="Y31" s="93"/>
      <c r="Z31" s="93"/>
      <c r="AA31" s="94" t="str">
        <f t="shared" si="4"/>
        <v/>
      </c>
      <c r="AB31" s="57"/>
      <c r="AC31" s="57"/>
      <c r="AD31" s="57"/>
      <c r="AE31" s="94" t="str">
        <f t="shared" si="5"/>
        <v/>
      </c>
      <c r="AF31" s="57"/>
      <c r="AG31" s="57"/>
      <c r="AH31" s="94" t="str">
        <f t="shared" si="6"/>
        <v/>
      </c>
      <c r="AI31" s="57">
        <v>31</v>
      </c>
      <c r="AJ31" s="57">
        <v>2400</v>
      </c>
      <c r="AK31" s="94">
        <f t="shared" si="7"/>
        <v>77.41935483870968</v>
      </c>
    </row>
    <row r="32" spans="1:37" s="97" customFormat="1" x14ac:dyDescent="0.3">
      <c r="A32" s="38" t="s">
        <v>316</v>
      </c>
      <c r="B32" s="96"/>
      <c r="C32" s="93" t="s">
        <v>527</v>
      </c>
      <c r="D32" s="96" t="s">
        <v>1</v>
      </c>
      <c r="E32" s="93"/>
      <c r="F32" s="93"/>
      <c r="G32" s="94" t="str">
        <f t="shared" si="0"/>
        <v/>
      </c>
      <c r="H32" s="93"/>
      <c r="I32" s="93"/>
      <c r="J32" s="93"/>
      <c r="K32" s="93"/>
      <c r="L32" s="93"/>
      <c r="M32" s="93"/>
      <c r="N32" s="93"/>
      <c r="O32" s="94" t="str">
        <f t="shared" si="1"/>
        <v/>
      </c>
      <c r="P32" s="93"/>
      <c r="Q32" s="93"/>
      <c r="R32" s="93"/>
      <c r="S32" s="94" t="str">
        <f t="shared" si="2"/>
        <v/>
      </c>
      <c r="T32" s="93"/>
      <c r="U32" s="93"/>
      <c r="V32" s="93"/>
      <c r="W32" s="94" t="str">
        <f t="shared" si="3"/>
        <v/>
      </c>
      <c r="X32" s="93"/>
      <c r="Y32" s="93"/>
      <c r="Z32" s="93"/>
      <c r="AA32" s="94" t="str">
        <f t="shared" si="4"/>
        <v/>
      </c>
      <c r="AB32" s="57"/>
      <c r="AC32" s="57"/>
      <c r="AD32" s="57"/>
      <c r="AE32" s="94" t="str">
        <f t="shared" si="5"/>
        <v/>
      </c>
      <c r="AF32" s="57"/>
      <c r="AG32" s="57"/>
      <c r="AH32" s="94" t="str">
        <f t="shared" si="6"/>
        <v/>
      </c>
      <c r="AI32" s="57">
        <v>481</v>
      </c>
      <c r="AJ32" s="57">
        <v>7400</v>
      </c>
      <c r="AK32" s="94">
        <f t="shared" si="7"/>
        <v>15.384615384615385</v>
      </c>
    </row>
    <row r="33" spans="1:37" s="97" customFormat="1" x14ac:dyDescent="0.3">
      <c r="A33" s="38" t="s">
        <v>319</v>
      </c>
      <c r="B33" s="96"/>
      <c r="C33" s="93" t="s">
        <v>527</v>
      </c>
      <c r="D33" s="96" t="s">
        <v>1</v>
      </c>
      <c r="E33" s="93"/>
      <c r="F33" s="93"/>
      <c r="G33" s="94" t="str">
        <f t="shared" si="0"/>
        <v/>
      </c>
      <c r="H33" s="93"/>
      <c r="I33" s="93"/>
      <c r="J33" s="93"/>
      <c r="K33" s="93"/>
      <c r="L33" s="93"/>
      <c r="M33" s="93"/>
      <c r="N33" s="93"/>
      <c r="O33" s="94" t="str">
        <f t="shared" si="1"/>
        <v/>
      </c>
      <c r="P33" s="93"/>
      <c r="Q33" s="93"/>
      <c r="R33" s="93"/>
      <c r="S33" s="94" t="str">
        <f t="shared" si="2"/>
        <v/>
      </c>
      <c r="T33" s="93"/>
      <c r="U33" s="93"/>
      <c r="V33" s="93"/>
      <c r="W33" s="94" t="str">
        <f t="shared" si="3"/>
        <v/>
      </c>
      <c r="X33" s="93"/>
      <c r="Y33" s="93"/>
      <c r="Z33" s="93"/>
      <c r="AA33" s="94" t="str">
        <f t="shared" si="4"/>
        <v/>
      </c>
      <c r="AB33" s="57"/>
      <c r="AC33" s="57"/>
      <c r="AD33" s="57"/>
      <c r="AE33" s="94" t="str">
        <f t="shared" si="5"/>
        <v/>
      </c>
      <c r="AF33" s="57"/>
      <c r="AG33" s="57"/>
      <c r="AH33" s="94" t="str">
        <f t="shared" si="6"/>
        <v/>
      </c>
      <c r="AI33" s="57">
        <v>22</v>
      </c>
      <c r="AJ33" s="57">
        <v>2000</v>
      </c>
      <c r="AK33" s="94">
        <f t="shared" si="7"/>
        <v>90.909090909090907</v>
      </c>
    </row>
    <row r="34" spans="1:37" s="97" customFormat="1" x14ac:dyDescent="0.3">
      <c r="A34" s="38" t="s">
        <v>320</v>
      </c>
      <c r="B34" s="96"/>
      <c r="C34" s="93" t="s">
        <v>527</v>
      </c>
      <c r="D34" s="96" t="s">
        <v>1</v>
      </c>
      <c r="E34" s="93"/>
      <c r="F34" s="93"/>
      <c r="G34" s="94" t="str">
        <f t="shared" si="0"/>
        <v/>
      </c>
      <c r="H34" s="93"/>
      <c r="I34" s="93"/>
      <c r="J34" s="93"/>
      <c r="K34" s="93"/>
      <c r="L34" s="93"/>
      <c r="M34" s="93"/>
      <c r="N34" s="93"/>
      <c r="O34" s="94" t="str">
        <f t="shared" si="1"/>
        <v/>
      </c>
      <c r="P34" s="93"/>
      <c r="Q34" s="93"/>
      <c r="R34" s="93"/>
      <c r="S34" s="94" t="str">
        <f t="shared" si="2"/>
        <v/>
      </c>
      <c r="T34" s="93"/>
      <c r="U34" s="93"/>
      <c r="V34" s="93"/>
      <c r="W34" s="94" t="str">
        <f t="shared" si="3"/>
        <v/>
      </c>
      <c r="X34" s="93"/>
      <c r="Y34" s="93"/>
      <c r="Z34" s="93"/>
      <c r="AA34" s="94" t="str">
        <f t="shared" si="4"/>
        <v/>
      </c>
      <c r="AB34" s="57"/>
      <c r="AC34" s="57"/>
      <c r="AD34" s="57"/>
      <c r="AE34" s="94" t="str">
        <f t="shared" si="5"/>
        <v/>
      </c>
      <c r="AF34" s="57"/>
      <c r="AG34" s="57"/>
      <c r="AH34" s="94" t="str">
        <f t="shared" si="6"/>
        <v/>
      </c>
      <c r="AI34" s="57">
        <v>247</v>
      </c>
      <c r="AJ34" s="57">
        <v>4000</v>
      </c>
      <c r="AK34" s="94">
        <f t="shared" si="7"/>
        <v>16.194331983805668</v>
      </c>
    </row>
    <row r="35" spans="1:37" s="97" customFormat="1" x14ac:dyDescent="0.3">
      <c r="A35" s="38" t="s">
        <v>306</v>
      </c>
      <c r="B35" s="96"/>
      <c r="C35" s="93" t="s">
        <v>527</v>
      </c>
      <c r="D35" s="96" t="s">
        <v>1</v>
      </c>
      <c r="E35" s="93"/>
      <c r="F35" s="93"/>
      <c r="G35" s="94" t="str">
        <f t="shared" si="0"/>
        <v/>
      </c>
      <c r="H35" s="93"/>
      <c r="I35" s="93"/>
      <c r="J35" s="93"/>
      <c r="K35" s="93"/>
      <c r="L35" s="93"/>
      <c r="M35" s="93"/>
      <c r="N35" s="93"/>
      <c r="O35" s="94" t="str">
        <f t="shared" si="1"/>
        <v/>
      </c>
      <c r="P35" s="93"/>
      <c r="Q35" s="93"/>
      <c r="R35" s="93"/>
      <c r="S35" s="94" t="str">
        <f t="shared" si="2"/>
        <v/>
      </c>
      <c r="T35" s="93"/>
      <c r="U35" s="93"/>
      <c r="V35" s="93"/>
      <c r="W35" s="94" t="str">
        <f t="shared" si="3"/>
        <v/>
      </c>
      <c r="X35" s="93"/>
      <c r="Y35" s="93"/>
      <c r="Z35" s="93"/>
      <c r="AA35" s="94" t="str">
        <f t="shared" si="4"/>
        <v/>
      </c>
      <c r="AB35" s="57"/>
      <c r="AC35" s="57"/>
      <c r="AD35" s="57"/>
      <c r="AE35" s="94" t="str">
        <f t="shared" si="5"/>
        <v/>
      </c>
      <c r="AF35" s="57"/>
      <c r="AG35" s="57"/>
      <c r="AH35" s="94" t="str">
        <f t="shared" si="6"/>
        <v/>
      </c>
      <c r="AI35" s="57">
        <v>1912</v>
      </c>
      <c r="AJ35" s="57">
        <v>70800</v>
      </c>
      <c r="AK35" s="94">
        <f t="shared" si="7"/>
        <v>37.029288702928874</v>
      </c>
    </row>
    <row r="36" spans="1:37" s="97" customFormat="1" x14ac:dyDescent="0.3">
      <c r="A36" s="38" t="s">
        <v>321</v>
      </c>
      <c r="B36" s="96"/>
      <c r="C36" s="93" t="s">
        <v>527</v>
      </c>
      <c r="D36" s="96" t="s">
        <v>1</v>
      </c>
      <c r="E36" s="93"/>
      <c r="F36" s="93"/>
      <c r="G36" s="94" t="str">
        <f t="shared" si="0"/>
        <v/>
      </c>
      <c r="H36" s="93"/>
      <c r="I36" s="93"/>
      <c r="J36" s="93"/>
      <c r="K36" s="93"/>
      <c r="L36" s="93"/>
      <c r="M36" s="93"/>
      <c r="N36" s="93"/>
      <c r="O36" s="94" t="str">
        <f t="shared" si="1"/>
        <v/>
      </c>
      <c r="P36" s="93"/>
      <c r="Q36" s="93"/>
      <c r="R36" s="93"/>
      <c r="S36" s="94" t="str">
        <f t="shared" si="2"/>
        <v/>
      </c>
      <c r="T36" s="93"/>
      <c r="U36" s="93"/>
      <c r="V36" s="93"/>
      <c r="W36" s="94" t="str">
        <f t="shared" si="3"/>
        <v/>
      </c>
      <c r="X36" s="93"/>
      <c r="Y36" s="93"/>
      <c r="Z36" s="93"/>
      <c r="AA36" s="94" t="str">
        <f t="shared" si="4"/>
        <v/>
      </c>
      <c r="AB36" s="57"/>
      <c r="AC36" s="57"/>
      <c r="AD36" s="57"/>
      <c r="AE36" s="94" t="str">
        <f t="shared" si="5"/>
        <v/>
      </c>
      <c r="AF36" s="57"/>
      <c r="AG36" s="57"/>
      <c r="AH36" s="94" t="str">
        <f t="shared" si="6"/>
        <v/>
      </c>
      <c r="AI36" s="57">
        <v>109</v>
      </c>
      <c r="AJ36" s="57">
        <v>3100</v>
      </c>
      <c r="AK36" s="94">
        <f t="shared" si="7"/>
        <v>28.440366972477065</v>
      </c>
    </row>
    <row r="37" spans="1:37" s="97" customFormat="1" x14ac:dyDescent="0.3">
      <c r="A37" s="38" t="s">
        <v>322</v>
      </c>
      <c r="B37" s="96"/>
      <c r="C37" s="93" t="s">
        <v>527</v>
      </c>
      <c r="D37" s="96" t="s">
        <v>1</v>
      </c>
      <c r="E37" s="93"/>
      <c r="F37" s="93"/>
      <c r="G37" s="94" t="str">
        <f t="shared" si="0"/>
        <v/>
      </c>
      <c r="H37" s="93"/>
      <c r="I37" s="93"/>
      <c r="J37" s="93"/>
      <c r="K37" s="93"/>
      <c r="L37" s="93"/>
      <c r="M37" s="93"/>
      <c r="N37" s="93"/>
      <c r="O37" s="94" t="str">
        <f t="shared" si="1"/>
        <v/>
      </c>
      <c r="P37" s="93"/>
      <c r="Q37" s="93"/>
      <c r="R37" s="93"/>
      <c r="S37" s="94" t="str">
        <f t="shared" si="2"/>
        <v/>
      </c>
      <c r="T37" s="93"/>
      <c r="U37" s="93"/>
      <c r="V37" s="93"/>
      <c r="W37" s="94" t="str">
        <f t="shared" si="3"/>
        <v/>
      </c>
      <c r="X37" s="93"/>
      <c r="Y37" s="93"/>
      <c r="Z37" s="93"/>
      <c r="AA37" s="94" t="str">
        <f t="shared" si="4"/>
        <v/>
      </c>
      <c r="AB37" s="57"/>
      <c r="AC37" s="57"/>
      <c r="AD37" s="57"/>
      <c r="AE37" s="94" t="str">
        <f t="shared" si="5"/>
        <v/>
      </c>
      <c r="AF37" s="57"/>
      <c r="AG37" s="57"/>
      <c r="AH37" s="94" t="str">
        <f t="shared" si="6"/>
        <v/>
      </c>
      <c r="AI37" s="57">
        <v>272</v>
      </c>
      <c r="AJ37" s="57">
        <v>5900</v>
      </c>
      <c r="AK37" s="94">
        <f t="shared" si="7"/>
        <v>21.691176470588236</v>
      </c>
    </row>
    <row r="38" spans="1:37" s="97" customFormat="1" x14ac:dyDescent="0.3">
      <c r="A38" s="38" t="s">
        <v>307</v>
      </c>
      <c r="B38" s="96"/>
      <c r="C38" s="93" t="s">
        <v>527</v>
      </c>
      <c r="D38" s="96" t="s">
        <v>1</v>
      </c>
      <c r="E38" s="93"/>
      <c r="F38" s="93"/>
      <c r="G38" s="94" t="str">
        <f t="shared" si="0"/>
        <v/>
      </c>
      <c r="H38" s="93"/>
      <c r="I38" s="93"/>
      <c r="J38" s="93"/>
      <c r="K38" s="93"/>
      <c r="L38" s="93"/>
      <c r="M38" s="93"/>
      <c r="N38" s="93"/>
      <c r="O38" s="94" t="str">
        <f t="shared" si="1"/>
        <v/>
      </c>
      <c r="P38" s="93"/>
      <c r="Q38" s="93"/>
      <c r="R38" s="93"/>
      <c r="S38" s="94" t="str">
        <f t="shared" si="2"/>
        <v/>
      </c>
      <c r="T38" s="93"/>
      <c r="U38" s="93"/>
      <c r="V38" s="93"/>
      <c r="W38" s="94" t="str">
        <f t="shared" si="3"/>
        <v/>
      </c>
      <c r="X38" s="93"/>
      <c r="Y38" s="93"/>
      <c r="Z38" s="93"/>
      <c r="AA38" s="94" t="str">
        <f t="shared" si="4"/>
        <v/>
      </c>
      <c r="AB38" s="57"/>
      <c r="AC38" s="57"/>
      <c r="AD38" s="57"/>
      <c r="AE38" s="94" t="str">
        <f t="shared" si="5"/>
        <v/>
      </c>
      <c r="AF38" s="57"/>
      <c r="AG38" s="57"/>
      <c r="AH38" s="94" t="str">
        <f t="shared" si="6"/>
        <v/>
      </c>
      <c r="AI38" s="57">
        <v>5962</v>
      </c>
      <c r="AJ38" s="57">
        <v>62000</v>
      </c>
      <c r="AK38" s="94">
        <f t="shared" si="7"/>
        <v>10.39919490103992</v>
      </c>
    </row>
    <row r="39" spans="1:37" s="97" customFormat="1" x14ac:dyDescent="0.3">
      <c r="A39" s="38" t="s">
        <v>323</v>
      </c>
      <c r="B39" s="96"/>
      <c r="C39" s="93" t="s">
        <v>527</v>
      </c>
      <c r="D39" s="96" t="s">
        <v>1</v>
      </c>
      <c r="E39" s="93"/>
      <c r="F39" s="93"/>
      <c r="G39" s="94" t="str">
        <f t="shared" si="0"/>
        <v/>
      </c>
      <c r="H39" s="93"/>
      <c r="I39" s="93"/>
      <c r="J39" s="93"/>
      <c r="K39" s="93"/>
      <c r="L39" s="93"/>
      <c r="M39" s="93"/>
      <c r="N39" s="93"/>
      <c r="O39" s="94" t="str">
        <f t="shared" si="1"/>
        <v/>
      </c>
      <c r="P39" s="93"/>
      <c r="Q39" s="93"/>
      <c r="R39" s="93"/>
      <c r="S39" s="94" t="str">
        <f t="shared" si="2"/>
        <v/>
      </c>
      <c r="T39" s="93"/>
      <c r="U39" s="93"/>
      <c r="V39" s="93"/>
      <c r="W39" s="94" t="str">
        <f t="shared" si="3"/>
        <v/>
      </c>
      <c r="X39" s="93"/>
      <c r="Y39" s="93"/>
      <c r="Z39" s="93"/>
      <c r="AA39" s="94" t="str">
        <f t="shared" si="4"/>
        <v/>
      </c>
      <c r="AB39" s="57"/>
      <c r="AC39" s="57"/>
      <c r="AD39" s="57"/>
      <c r="AE39" s="94" t="str">
        <f t="shared" si="5"/>
        <v/>
      </c>
      <c r="AF39" s="57"/>
      <c r="AG39" s="57"/>
      <c r="AH39" s="94" t="str">
        <f t="shared" si="6"/>
        <v/>
      </c>
      <c r="AI39" s="57">
        <v>304</v>
      </c>
      <c r="AJ39" s="57">
        <v>3500</v>
      </c>
      <c r="AK39" s="94">
        <f t="shared" si="7"/>
        <v>11.513157894736842</v>
      </c>
    </row>
    <row r="40" spans="1:37" s="97" customFormat="1" x14ac:dyDescent="0.3">
      <c r="A40" s="38" t="s">
        <v>324</v>
      </c>
      <c r="B40" s="96"/>
      <c r="C40" s="93" t="s">
        <v>527</v>
      </c>
      <c r="D40" s="96" t="s">
        <v>1</v>
      </c>
      <c r="E40" s="93"/>
      <c r="F40" s="93"/>
      <c r="G40" s="94" t="str">
        <f t="shared" si="0"/>
        <v/>
      </c>
      <c r="H40" s="93"/>
      <c r="I40" s="93"/>
      <c r="J40" s="93"/>
      <c r="K40" s="93"/>
      <c r="L40" s="93"/>
      <c r="M40" s="93"/>
      <c r="N40" s="93"/>
      <c r="O40" s="94" t="str">
        <f t="shared" si="1"/>
        <v/>
      </c>
      <c r="P40" s="93"/>
      <c r="Q40" s="93"/>
      <c r="R40" s="93"/>
      <c r="S40" s="94" t="str">
        <f t="shared" si="2"/>
        <v/>
      </c>
      <c r="T40" s="93"/>
      <c r="U40" s="93"/>
      <c r="V40" s="93"/>
      <c r="W40" s="94" t="str">
        <f t="shared" si="3"/>
        <v/>
      </c>
      <c r="X40" s="93"/>
      <c r="Y40" s="93"/>
      <c r="Z40" s="93"/>
      <c r="AA40" s="94" t="str">
        <f t="shared" si="4"/>
        <v/>
      </c>
      <c r="AB40" s="57"/>
      <c r="AC40" s="57"/>
      <c r="AD40" s="57"/>
      <c r="AE40" s="94" t="str">
        <f t="shared" si="5"/>
        <v/>
      </c>
      <c r="AF40" s="57"/>
      <c r="AG40" s="57"/>
      <c r="AH40" s="94" t="str">
        <f t="shared" si="6"/>
        <v/>
      </c>
      <c r="AI40" s="57">
        <v>30</v>
      </c>
      <c r="AJ40" s="57">
        <v>4300</v>
      </c>
      <c r="AK40" s="94">
        <f t="shared" si="7"/>
        <v>143.33333333333334</v>
      </c>
    </row>
    <row r="41" spans="1:37" s="97" customFormat="1" x14ac:dyDescent="0.3">
      <c r="A41" s="38" t="s">
        <v>308</v>
      </c>
      <c r="B41" s="96"/>
      <c r="C41" s="93" t="s">
        <v>527</v>
      </c>
      <c r="D41" s="96" t="s">
        <v>1</v>
      </c>
      <c r="E41" s="93"/>
      <c r="F41" s="93"/>
      <c r="G41" s="94" t="str">
        <f t="shared" si="0"/>
        <v/>
      </c>
      <c r="H41" s="93"/>
      <c r="I41" s="93"/>
      <c r="J41" s="93"/>
      <c r="K41" s="93"/>
      <c r="L41" s="93"/>
      <c r="M41" s="93"/>
      <c r="N41" s="93"/>
      <c r="O41" s="94" t="str">
        <f t="shared" si="1"/>
        <v/>
      </c>
      <c r="P41" s="93"/>
      <c r="Q41" s="93"/>
      <c r="R41" s="93"/>
      <c r="S41" s="94" t="str">
        <f t="shared" si="2"/>
        <v/>
      </c>
      <c r="T41" s="93"/>
      <c r="U41" s="93"/>
      <c r="V41" s="93"/>
      <c r="W41" s="94" t="str">
        <f t="shared" si="3"/>
        <v/>
      </c>
      <c r="X41" s="93"/>
      <c r="Y41" s="93"/>
      <c r="Z41" s="93"/>
      <c r="AA41" s="94" t="str">
        <f t="shared" si="4"/>
        <v/>
      </c>
      <c r="AB41" s="57"/>
      <c r="AC41" s="57"/>
      <c r="AD41" s="57"/>
      <c r="AE41" s="94" t="str">
        <f t="shared" si="5"/>
        <v/>
      </c>
      <c r="AF41" s="57"/>
      <c r="AG41" s="57"/>
      <c r="AH41" s="94" t="str">
        <f t="shared" si="6"/>
        <v/>
      </c>
      <c r="AI41" s="57">
        <v>282</v>
      </c>
      <c r="AJ41" s="57">
        <v>1000</v>
      </c>
      <c r="AK41" s="94">
        <f t="shared" si="7"/>
        <v>3.5460992907801416</v>
      </c>
    </row>
    <row r="42" spans="1:37" s="97" customFormat="1" x14ac:dyDescent="0.3">
      <c r="A42" s="38" t="s">
        <v>326</v>
      </c>
      <c r="B42" s="96"/>
      <c r="C42" s="93" t="s">
        <v>527</v>
      </c>
      <c r="D42" s="96" t="s">
        <v>1</v>
      </c>
      <c r="E42" s="93"/>
      <c r="F42" s="93"/>
      <c r="G42" s="94" t="str">
        <f t="shared" si="0"/>
        <v/>
      </c>
      <c r="H42" s="93"/>
      <c r="I42" s="93"/>
      <c r="J42" s="93"/>
      <c r="K42" s="93"/>
      <c r="L42" s="93"/>
      <c r="M42" s="93"/>
      <c r="N42" s="93"/>
      <c r="O42" s="94" t="str">
        <f t="shared" si="1"/>
        <v/>
      </c>
      <c r="P42" s="93"/>
      <c r="Q42" s="93"/>
      <c r="R42" s="93"/>
      <c r="S42" s="94" t="str">
        <f t="shared" si="2"/>
        <v/>
      </c>
      <c r="T42" s="93"/>
      <c r="U42" s="93"/>
      <c r="V42" s="93"/>
      <c r="W42" s="94" t="str">
        <f t="shared" si="3"/>
        <v/>
      </c>
      <c r="X42" s="93"/>
      <c r="Y42" s="93"/>
      <c r="Z42" s="93"/>
      <c r="AA42" s="94" t="str">
        <f t="shared" si="4"/>
        <v/>
      </c>
      <c r="AB42" s="57"/>
      <c r="AC42" s="57"/>
      <c r="AD42" s="57"/>
      <c r="AE42" s="94" t="str">
        <f t="shared" si="5"/>
        <v/>
      </c>
      <c r="AF42" s="57"/>
      <c r="AG42" s="57"/>
      <c r="AH42" s="94" t="str">
        <f t="shared" si="6"/>
        <v/>
      </c>
      <c r="AI42" s="57">
        <v>272</v>
      </c>
      <c r="AJ42" s="57">
        <v>24000</v>
      </c>
      <c r="AK42" s="94">
        <f t="shared" si="7"/>
        <v>88.235294117647058</v>
      </c>
    </row>
    <row r="43" spans="1:37" s="97" customFormat="1" x14ac:dyDescent="0.3">
      <c r="A43" s="38" t="s">
        <v>309</v>
      </c>
      <c r="B43" s="96"/>
      <c r="C43" s="93" t="s">
        <v>527</v>
      </c>
      <c r="D43" s="96" t="s">
        <v>1</v>
      </c>
      <c r="E43" s="93"/>
      <c r="F43" s="93"/>
      <c r="G43" s="94" t="str">
        <f t="shared" si="0"/>
        <v/>
      </c>
      <c r="H43" s="93"/>
      <c r="I43" s="93"/>
      <c r="J43" s="93"/>
      <c r="K43" s="93"/>
      <c r="L43" s="93"/>
      <c r="M43" s="93"/>
      <c r="N43" s="93"/>
      <c r="O43" s="94" t="str">
        <f t="shared" si="1"/>
        <v/>
      </c>
      <c r="P43" s="93"/>
      <c r="Q43" s="93"/>
      <c r="R43" s="93"/>
      <c r="S43" s="94" t="str">
        <f t="shared" si="2"/>
        <v/>
      </c>
      <c r="T43" s="93"/>
      <c r="U43" s="93"/>
      <c r="V43" s="93"/>
      <c r="W43" s="94" t="str">
        <f t="shared" si="3"/>
        <v/>
      </c>
      <c r="X43" s="93"/>
      <c r="Y43" s="93"/>
      <c r="Z43" s="93"/>
      <c r="AA43" s="94" t="str">
        <f t="shared" si="4"/>
        <v/>
      </c>
      <c r="AB43" s="57"/>
      <c r="AC43" s="57"/>
      <c r="AD43" s="57"/>
      <c r="AE43" s="94" t="str">
        <f t="shared" si="5"/>
        <v/>
      </c>
      <c r="AF43" s="57"/>
      <c r="AG43" s="57"/>
      <c r="AH43" s="94" t="str">
        <f t="shared" si="6"/>
        <v/>
      </c>
      <c r="AI43" s="57">
        <v>24</v>
      </c>
      <c r="AJ43" s="57">
        <v>3700</v>
      </c>
      <c r="AK43" s="94">
        <f t="shared" si="7"/>
        <v>154.16666666666666</v>
      </c>
    </row>
    <row r="44" spans="1:37" s="97" customFormat="1" x14ac:dyDescent="0.3">
      <c r="A44" s="38" t="s">
        <v>325</v>
      </c>
      <c r="B44" s="96"/>
      <c r="C44" s="93" t="s">
        <v>527</v>
      </c>
      <c r="D44" s="96" t="s">
        <v>1</v>
      </c>
      <c r="E44" s="93"/>
      <c r="F44" s="93"/>
      <c r="G44" s="94" t="str">
        <f t="shared" si="0"/>
        <v/>
      </c>
      <c r="H44" s="93"/>
      <c r="I44" s="93"/>
      <c r="J44" s="93"/>
      <c r="K44" s="93"/>
      <c r="L44" s="93"/>
      <c r="M44" s="93"/>
      <c r="N44" s="93"/>
      <c r="O44" s="94" t="str">
        <f t="shared" si="1"/>
        <v/>
      </c>
      <c r="P44" s="93"/>
      <c r="Q44" s="93"/>
      <c r="R44" s="93"/>
      <c r="S44" s="94" t="str">
        <f t="shared" si="2"/>
        <v/>
      </c>
      <c r="T44" s="93"/>
      <c r="U44" s="93"/>
      <c r="V44" s="93"/>
      <c r="W44" s="94" t="str">
        <f t="shared" si="3"/>
        <v/>
      </c>
      <c r="X44" s="93"/>
      <c r="Y44" s="93"/>
      <c r="Z44" s="93"/>
      <c r="AA44" s="94" t="str">
        <f t="shared" si="4"/>
        <v/>
      </c>
      <c r="AB44" s="57"/>
      <c r="AC44" s="57"/>
      <c r="AD44" s="57"/>
      <c r="AE44" s="94" t="str">
        <f t="shared" si="5"/>
        <v/>
      </c>
      <c r="AF44" s="57"/>
      <c r="AG44" s="57"/>
      <c r="AH44" s="94" t="str">
        <f t="shared" si="6"/>
        <v/>
      </c>
      <c r="AI44" s="57">
        <v>41</v>
      </c>
      <c r="AJ44" s="57">
        <v>55500</v>
      </c>
      <c r="AK44" s="94">
        <f t="shared" si="7"/>
        <v>1353.6585365853659</v>
      </c>
    </row>
    <row r="45" spans="1:37" s="97" customFormat="1" x14ac:dyDescent="0.3">
      <c r="A45" s="38" t="s">
        <v>327</v>
      </c>
      <c r="B45" s="96"/>
      <c r="C45" s="93" t="s">
        <v>527</v>
      </c>
      <c r="D45" s="96" t="s">
        <v>1</v>
      </c>
      <c r="E45" s="93"/>
      <c r="F45" s="93"/>
      <c r="G45" s="94" t="str">
        <f t="shared" si="0"/>
        <v/>
      </c>
      <c r="H45" s="93"/>
      <c r="I45" s="93"/>
      <c r="J45" s="93"/>
      <c r="K45" s="93"/>
      <c r="L45" s="93"/>
      <c r="M45" s="93"/>
      <c r="N45" s="93"/>
      <c r="O45" s="94" t="str">
        <f t="shared" si="1"/>
        <v/>
      </c>
      <c r="P45" s="93"/>
      <c r="Q45" s="93"/>
      <c r="R45" s="93"/>
      <c r="S45" s="94" t="str">
        <f t="shared" si="2"/>
        <v/>
      </c>
      <c r="T45" s="93"/>
      <c r="U45" s="93"/>
      <c r="V45" s="93"/>
      <c r="W45" s="94" t="str">
        <f t="shared" si="3"/>
        <v/>
      </c>
      <c r="X45" s="93"/>
      <c r="Y45" s="93"/>
      <c r="Z45" s="93"/>
      <c r="AA45" s="94" t="str">
        <f t="shared" si="4"/>
        <v/>
      </c>
      <c r="AB45" s="57"/>
      <c r="AC45" s="57"/>
      <c r="AD45" s="57"/>
      <c r="AE45" s="94" t="str">
        <f t="shared" si="5"/>
        <v/>
      </c>
      <c r="AF45" s="57"/>
      <c r="AG45" s="57"/>
      <c r="AH45" s="94" t="str">
        <f t="shared" si="6"/>
        <v/>
      </c>
      <c r="AI45" s="57"/>
      <c r="AJ45" s="57">
        <v>13200</v>
      </c>
      <c r="AK45" s="94" t="str">
        <f t="shared" si="7"/>
        <v/>
      </c>
    </row>
    <row r="46" spans="1:37" s="97" customFormat="1" x14ac:dyDescent="0.3">
      <c r="A46" s="38" t="s">
        <v>328</v>
      </c>
      <c r="B46" s="96"/>
      <c r="C46" s="93" t="s">
        <v>527</v>
      </c>
      <c r="D46" s="96" t="s">
        <v>1</v>
      </c>
      <c r="E46" s="93"/>
      <c r="F46" s="93"/>
      <c r="G46" s="94" t="str">
        <f t="shared" si="0"/>
        <v/>
      </c>
      <c r="H46" s="93"/>
      <c r="I46" s="93"/>
      <c r="J46" s="93"/>
      <c r="K46" s="93"/>
      <c r="L46" s="93"/>
      <c r="M46" s="93"/>
      <c r="N46" s="93"/>
      <c r="O46" s="94" t="str">
        <f t="shared" si="1"/>
        <v/>
      </c>
      <c r="P46" s="93"/>
      <c r="Q46" s="93"/>
      <c r="R46" s="93"/>
      <c r="S46" s="94" t="str">
        <f t="shared" si="2"/>
        <v/>
      </c>
      <c r="T46" s="93"/>
      <c r="U46" s="93"/>
      <c r="V46" s="93"/>
      <c r="W46" s="94" t="str">
        <f t="shared" si="3"/>
        <v/>
      </c>
      <c r="X46" s="93"/>
      <c r="Y46" s="93"/>
      <c r="Z46" s="93"/>
      <c r="AA46" s="94" t="str">
        <f t="shared" si="4"/>
        <v/>
      </c>
      <c r="AB46" s="57"/>
      <c r="AC46" s="57"/>
      <c r="AD46" s="57"/>
      <c r="AE46" s="94" t="str">
        <f t="shared" si="5"/>
        <v/>
      </c>
      <c r="AF46" s="57"/>
      <c r="AG46" s="57"/>
      <c r="AH46" s="94" t="str">
        <f t="shared" si="6"/>
        <v/>
      </c>
      <c r="AI46" s="57">
        <v>36</v>
      </c>
      <c r="AJ46" s="57">
        <v>5600</v>
      </c>
      <c r="AK46" s="94">
        <f t="shared" si="7"/>
        <v>155.55555555555554</v>
      </c>
    </row>
    <row r="47" spans="1:37" s="97" customFormat="1" x14ac:dyDescent="0.3">
      <c r="A47" s="38" t="s">
        <v>329</v>
      </c>
      <c r="B47" s="96"/>
      <c r="C47" s="93" t="s">
        <v>527</v>
      </c>
      <c r="D47" s="96" t="s">
        <v>1</v>
      </c>
      <c r="E47" s="93"/>
      <c r="F47" s="93"/>
      <c r="G47" s="94" t="str">
        <f t="shared" si="0"/>
        <v/>
      </c>
      <c r="H47" s="93"/>
      <c r="I47" s="93"/>
      <c r="J47" s="93"/>
      <c r="K47" s="93"/>
      <c r="L47" s="93"/>
      <c r="M47" s="93"/>
      <c r="N47" s="93"/>
      <c r="O47" s="94" t="str">
        <f t="shared" si="1"/>
        <v/>
      </c>
      <c r="P47" s="93"/>
      <c r="Q47" s="93"/>
      <c r="R47" s="93"/>
      <c r="S47" s="94" t="str">
        <f t="shared" si="2"/>
        <v/>
      </c>
      <c r="T47" s="93"/>
      <c r="U47" s="93"/>
      <c r="V47" s="93"/>
      <c r="W47" s="94" t="str">
        <f t="shared" si="3"/>
        <v/>
      </c>
      <c r="X47" s="93"/>
      <c r="Y47" s="93"/>
      <c r="Z47" s="93"/>
      <c r="AA47" s="94" t="str">
        <f t="shared" si="4"/>
        <v/>
      </c>
      <c r="AB47" s="57"/>
      <c r="AC47" s="57"/>
      <c r="AD47" s="57"/>
      <c r="AE47" s="94" t="str">
        <f t="shared" si="5"/>
        <v/>
      </c>
      <c r="AF47" s="57"/>
      <c r="AG47" s="57"/>
      <c r="AH47" s="94" t="str">
        <f t="shared" si="6"/>
        <v/>
      </c>
      <c r="AI47" s="57">
        <v>154</v>
      </c>
      <c r="AJ47" s="57">
        <v>2800</v>
      </c>
      <c r="AK47" s="94">
        <f t="shared" si="7"/>
        <v>18.181818181818183</v>
      </c>
    </row>
    <row r="48" spans="1:37" s="97" customFormat="1" x14ac:dyDescent="0.3">
      <c r="A48" s="38" t="s">
        <v>330</v>
      </c>
      <c r="B48" s="96"/>
      <c r="C48" s="93" t="s">
        <v>527</v>
      </c>
      <c r="D48" s="96" t="s">
        <v>1</v>
      </c>
      <c r="E48" s="93"/>
      <c r="F48" s="93"/>
      <c r="G48" s="94" t="str">
        <f t="shared" si="0"/>
        <v/>
      </c>
      <c r="H48" s="93"/>
      <c r="I48" s="93"/>
      <c r="J48" s="93"/>
      <c r="K48" s="93"/>
      <c r="L48" s="93"/>
      <c r="M48" s="93"/>
      <c r="N48" s="93"/>
      <c r="O48" s="94" t="str">
        <f t="shared" si="1"/>
        <v/>
      </c>
      <c r="P48" s="93"/>
      <c r="Q48" s="93"/>
      <c r="R48" s="93"/>
      <c r="S48" s="94" t="str">
        <f t="shared" si="2"/>
        <v/>
      </c>
      <c r="T48" s="93"/>
      <c r="U48" s="93"/>
      <c r="V48" s="93"/>
      <c r="W48" s="94" t="str">
        <f t="shared" si="3"/>
        <v/>
      </c>
      <c r="X48" s="93"/>
      <c r="Y48" s="93"/>
      <c r="Z48" s="93"/>
      <c r="AA48" s="94" t="str">
        <f t="shared" si="4"/>
        <v/>
      </c>
      <c r="AB48" s="57"/>
      <c r="AC48" s="57"/>
      <c r="AD48" s="57"/>
      <c r="AE48" s="94" t="str">
        <f t="shared" si="5"/>
        <v/>
      </c>
      <c r="AF48" s="57"/>
      <c r="AG48" s="57"/>
      <c r="AH48" s="94" t="str">
        <f t="shared" si="6"/>
        <v/>
      </c>
      <c r="AI48" s="57">
        <v>2206</v>
      </c>
      <c r="AJ48" s="57">
        <v>8100</v>
      </c>
      <c r="AK48" s="94">
        <f t="shared" si="7"/>
        <v>3.671804170444243</v>
      </c>
    </row>
    <row r="49" spans="1:37" s="97" customFormat="1" x14ac:dyDescent="0.3">
      <c r="A49" s="38" t="s">
        <v>331</v>
      </c>
      <c r="B49" s="96"/>
      <c r="C49" s="93" t="s">
        <v>527</v>
      </c>
      <c r="D49" s="96" t="s">
        <v>1</v>
      </c>
      <c r="E49" s="93"/>
      <c r="F49" s="93"/>
      <c r="G49" s="94" t="str">
        <f t="shared" si="0"/>
        <v/>
      </c>
      <c r="H49" s="93"/>
      <c r="I49" s="93"/>
      <c r="J49" s="93"/>
      <c r="K49" s="93"/>
      <c r="L49" s="93"/>
      <c r="M49" s="93"/>
      <c r="N49" s="93"/>
      <c r="O49" s="94" t="str">
        <f t="shared" si="1"/>
        <v/>
      </c>
      <c r="P49" s="93"/>
      <c r="Q49" s="93"/>
      <c r="R49" s="93"/>
      <c r="S49" s="94" t="str">
        <f t="shared" si="2"/>
        <v/>
      </c>
      <c r="T49" s="93"/>
      <c r="U49" s="93"/>
      <c r="V49" s="93"/>
      <c r="W49" s="94" t="str">
        <f t="shared" si="3"/>
        <v/>
      </c>
      <c r="X49" s="93"/>
      <c r="Y49" s="93"/>
      <c r="Z49" s="93"/>
      <c r="AA49" s="94" t="str">
        <f t="shared" si="4"/>
        <v/>
      </c>
      <c r="AB49" s="57"/>
      <c r="AC49" s="57"/>
      <c r="AD49" s="57"/>
      <c r="AE49" s="94" t="str">
        <f t="shared" si="5"/>
        <v/>
      </c>
      <c r="AF49" s="57"/>
      <c r="AG49" s="57"/>
      <c r="AH49" s="94" t="str">
        <f t="shared" si="6"/>
        <v/>
      </c>
      <c r="AI49" s="57">
        <v>110</v>
      </c>
      <c r="AJ49" s="57">
        <v>6800</v>
      </c>
      <c r="AK49" s="94">
        <f t="shared" si="7"/>
        <v>61.81818181818182</v>
      </c>
    </row>
    <row r="50" spans="1:37" s="97" customFormat="1" x14ac:dyDescent="0.3">
      <c r="A50" s="38" t="s">
        <v>332</v>
      </c>
      <c r="B50" s="96"/>
      <c r="C50" s="93" t="s">
        <v>527</v>
      </c>
      <c r="D50" s="96" t="s">
        <v>1</v>
      </c>
      <c r="E50" s="93"/>
      <c r="F50" s="93"/>
      <c r="G50" s="94" t="str">
        <f t="shared" si="0"/>
        <v/>
      </c>
      <c r="H50" s="93"/>
      <c r="I50" s="93"/>
      <c r="J50" s="93"/>
      <c r="K50" s="93"/>
      <c r="L50" s="93"/>
      <c r="M50" s="93"/>
      <c r="N50" s="93"/>
      <c r="O50" s="94" t="str">
        <f t="shared" si="1"/>
        <v/>
      </c>
      <c r="P50" s="93"/>
      <c r="Q50" s="93"/>
      <c r="R50" s="93"/>
      <c r="S50" s="94" t="str">
        <f t="shared" si="2"/>
        <v/>
      </c>
      <c r="T50" s="93"/>
      <c r="U50" s="93"/>
      <c r="V50" s="93"/>
      <c r="W50" s="94" t="str">
        <f t="shared" si="3"/>
        <v/>
      </c>
      <c r="X50" s="93"/>
      <c r="Y50" s="93"/>
      <c r="Z50" s="93"/>
      <c r="AA50" s="94" t="str">
        <f t="shared" si="4"/>
        <v/>
      </c>
      <c r="AB50" s="57"/>
      <c r="AC50" s="57"/>
      <c r="AD50" s="57"/>
      <c r="AE50" s="94" t="str">
        <f t="shared" si="5"/>
        <v/>
      </c>
      <c r="AF50" s="57"/>
      <c r="AG50" s="57"/>
      <c r="AH50" s="94" t="str">
        <f t="shared" si="6"/>
        <v/>
      </c>
      <c r="AI50" s="57">
        <v>76</v>
      </c>
      <c r="AJ50" s="57">
        <v>1500</v>
      </c>
      <c r="AK50" s="94">
        <f t="shared" si="7"/>
        <v>19.736842105263158</v>
      </c>
    </row>
    <row r="51" spans="1:37" s="97" customFormat="1" x14ac:dyDescent="0.3">
      <c r="A51" s="38" t="s">
        <v>250</v>
      </c>
      <c r="B51" s="96"/>
      <c r="C51" s="93" t="s">
        <v>527</v>
      </c>
      <c r="D51" s="96" t="s">
        <v>1</v>
      </c>
      <c r="E51" s="93"/>
      <c r="F51" s="93"/>
      <c r="G51" s="94" t="str">
        <f t="shared" si="0"/>
        <v/>
      </c>
      <c r="H51" s="93"/>
      <c r="I51" s="93"/>
      <c r="J51" s="93"/>
      <c r="K51" s="93"/>
      <c r="L51" s="93"/>
      <c r="M51" s="93"/>
      <c r="N51" s="93"/>
      <c r="O51" s="94" t="str">
        <f t="shared" si="1"/>
        <v/>
      </c>
      <c r="P51" s="93"/>
      <c r="Q51" s="93"/>
      <c r="R51" s="93"/>
      <c r="S51" s="94" t="str">
        <f t="shared" si="2"/>
        <v/>
      </c>
      <c r="T51" s="93"/>
      <c r="U51" s="93"/>
      <c r="V51" s="93"/>
      <c r="W51" s="94" t="str">
        <f t="shared" si="3"/>
        <v/>
      </c>
      <c r="X51" s="93"/>
      <c r="Y51" s="93"/>
      <c r="Z51" s="93"/>
      <c r="AA51" s="94" t="str">
        <f t="shared" si="4"/>
        <v/>
      </c>
      <c r="AB51" s="57"/>
      <c r="AC51" s="57"/>
      <c r="AD51" s="57"/>
      <c r="AE51" s="94" t="str">
        <f t="shared" si="5"/>
        <v/>
      </c>
      <c r="AF51" s="57"/>
      <c r="AG51" s="57"/>
      <c r="AH51" s="94" t="str">
        <f t="shared" si="6"/>
        <v/>
      </c>
      <c r="AI51" s="57">
        <v>67</v>
      </c>
      <c r="AJ51" s="57">
        <v>1700</v>
      </c>
      <c r="AK51" s="94">
        <f t="shared" si="7"/>
        <v>25.373134328358208</v>
      </c>
    </row>
    <row r="52" spans="1:37" s="97" customFormat="1" x14ac:dyDescent="0.3">
      <c r="A52" s="38" t="s">
        <v>333</v>
      </c>
      <c r="B52" s="96"/>
      <c r="C52" s="93" t="s">
        <v>527</v>
      </c>
      <c r="D52" s="96" t="s">
        <v>1</v>
      </c>
      <c r="E52" s="93"/>
      <c r="F52" s="93"/>
      <c r="G52" s="94" t="str">
        <f t="shared" si="0"/>
        <v/>
      </c>
      <c r="H52" s="93"/>
      <c r="I52" s="93"/>
      <c r="J52" s="93"/>
      <c r="K52" s="93"/>
      <c r="L52" s="93"/>
      <c r="M52" s="93"/>
      <c r="N52" s="93"/>
      <c r="O52" s="94" t="str">
        <f t="shared" si="1"/>
        <v/>
      </c>
      <c r="P52" s="93"/>
      <c r="Q52" s="93"/>
      <c r="R52" s="93"/>
      <c r="S52" s="94" t="str">
        <f t="shared" si="2"/>
        <v/>
      </c>
      <c r="T52" s="93"/>
      <c r="U52" s="93"/>
      <c r="V52" s="93"/>
      <c r="W52" s="94" t="str">
        <f t="shared" si="3"/>
        <v/>
      </c>
      <c r="X52" s="93"/>
      <c r="Y52" s="93"/>
      <c r="Z52" s="93"/>
      <c r="AA52" s="94" t="str">
        <f t="shared" si="4"/>
        <v/>
      </c>
      <c r="AB52" s="57"/>
      <c r="AC52" s="57"/>
      <c r="AD52" s="57"/>
      <c r="AE52" s="94" t="str">
        <f t="shared" si="5"/>
        <v/>
      </c>
      <c r="AF52" s="57"/>
      <c r="AG52" s="57"/>
      <c r="AH52" s="94" t="str">
        <f t="shared" si="6"/>
        <v/>
      </c>
      <c r="AI52" s="57">
        <v>1063</v>
      </c>
      <c r="AJ52" s="57">
        <v>10300</v>
      </c>
      <c r="AK52" s="94">
        <f t="shared" si="7"/>
        <v>9.6895578551269992</v>
      </c>
    </row>
    <row r="53" spans="1:37" s="97" customFormat="1" x14ac:dyDescent="0.3">
      <c r="A53" s="38" t="s">
        <v>644</v>
      </c>
      <c r="B53" s="96"/>
      <c r="C53" s="93" t="s">
        <v>527</v>
      </c>
      <c r="D53" s="96" t="s">
        <v>1</v>
      </c>
      <c r="E53" s="93"/>
      <c r="F53" s="93"/>
      <c r="G53" s="94" t="str">
        <f t="shared" si="0"/>
        <v/>
      </c>
      <c r="H53" s="93"/>
      <c r="I53" s="93"/>
      <c r="J53" s="93"/>
      <c r="K53" s="93"/>
      <c r="L53" s="93"/>
      <c r="M53" s="93"/>
      <c r="N53" s="93"/>
      <c r="O53" s="94" t="str">
        <f t="shared" si="1"/>
        <v/>
      </c>
      <c r="P53" s="93"/>
      <c r="Q53" s="93"/>
      <c r="R53" s="93"/>
      <c r="S53" s="94" t="str">
        <f t="shared" si="2"/>
        <v/>
      </c>
      <c r="T53" s="93"/>
      <c r="U53" s="93"/>
      <c r="V53" s="93"/>
      <c r="W53" s="94" t="str">
        <f t="shared" si="3"/>
        <v/>
      </c>
      <c r="X53" s="93"/>
      <c r="Y53" s="93"/>
      <c r="Z53" s="93"/>
      <c r="AA53" s="94" t="str">
        <f t="shared" si="4"/>
        <v/>
      </c>
      <c r="AB53" s="57"/>
      <c r="AC53" s="57"/>
      <c r="AD53" s="57"/>
      <c r="AE53" s="94" t="str">
        <f t="shared" si="5"/>
        <v/>
      </c>
      <c r="AF53" s="57"/>
      <c r="AG53" s="57"/>
      <c r="AH53" s="94" t="str">
        <f t="shared" si="6"/>
        <v/>
      </c>
      <c r="AI53" s="57">
        <v>285</v>
      </c>
      <c r="AJ53" s="57">
        <v>4000</v>
      </c>
      <c r="AK53" s="94">
        <f t="shared" si="7"/>
        <v>14.035087719298245</v>
      </c>
    </row>
    <row r="54" spans="1:37" s="97" customFormat="1" x14ac:dyDescent="0.3">
      <c r="A54" s="38" t="s">
        <v>645</v>
      </c>
      <c r="B54" s="96"/>
      <c r="C54" s="93" t="s">
        <v>527</v>
      </c>
      <c r="D54" s="96" t="s">
        <v>1</v>
      </c>
      <c r="E54" s="93"/>
      <c r="F54" s="93"/>
      <c r="G54" s="94" t="str">
        <f t="shared" si="0"/>
        <v/>
      </c>
      <c r="H54" s="93"/>
      <c r="I54" s="93"/>
      <c r="J54" s="93"/>
      <c r="K54" s="93"/>
      <c r="L54" s="93"/>
      <c r="M54" s="93"/>
      <c r="N54" s="93"/>
      <c r="O54" s="94" t="str">
        <f t="shared" si="1"/>
        <v/>
      </c>
      <c r="P54" s="93"/>
      <c r="Q54" s="93"/>
      <c r="R54" s="93"/>
      <c r="S54" s="94" t="str">
        <f t="shared" si="2"/>
        <v/>
      </c>
      <c r="T54" s="93"/>
      <c r="U54" s="93"/>
      <c r="V54" s="93"/>
      <c r="W54" s="94" t="str">
        <f t="shared" si="3"/>
        <v/>
      </c>
      <c r="X54" s="93"/>
      <c r="Y54" s="93"/>
      <c r="Z54" s="93"/>
      <c r="AA54" s="94" t="str">
        <f t="shared" si="4"/>
        <v/>
      </c>
      <c r="AB54" s="57"/>
      <c r="AC54" s="57"/>
      <c r="AD54" s="57"/>
      <c r="AE54" s="94" t="str">
        <f t="shared" si="5"/>
        <v/>
      </c>
      <c r="AF54" s="57"/>
      <c r="AG54" s="57"/>
      <c r="AH54" s="94" t="str">
        <f t="shared" si="6"/>
        <v/>
      </c>
      <c r="AI54" s="57">
        <v>106</v>
      </c>
      <c r="AJ54" s="57">
        <v>2400</v>
      </c>
      <c r="AK54" s="94">
        <f t="shared" si="7"/>
        <v>22.641509433962263</v>
      </c>
    </row>
    <row r="55" spans="1:37" s="97" customFormat="1" x14ac:dyDescent="0.3">
      <c r="A55" s="38" t="s">
        <v>310</v>
      </c>
      <c r="B55" s="96"/>
      <c r="C55" s="93" t="s">
        <v>527</v>
      </c>
      <c r="D55" s="96" t="s">
        <v>1</v>
      </c>
      <c r="E55" s="93"/>
      <c r="F55" s="93"/>
      <c r="G55" s="94" t="str">
        <f t="shared" si="0"/>
        <v/>
      </c>
      <c r="H55" s="93"/>
      <c r="I55" s="93"/>
      <c r="J55" s="93"/>
      <c r="K55" s="93"/>
      <c r="L55" s="93"/>
      <c r="M55" s="93"/>
      <c r="N55" s="93"/>
      <c r="O55" s="94" t="str">
        <f t="shared" si="1"/>
        <v/>
      </c>
      <c r="P55" s="93"/>
      <c r="Q55" s="93"/>
      <c r="R55" s="93"/>
      <c r="S55" s="94" t="str">
        <f t="shared" si="2"/>
        <v/>
      </c>
      <c r="T55" s="93"/>
      <c r="U55" s="93"/>
      <c r="V55" s="93"/>
      <c r="W55" s="94" t="str">
        <f t="shared" si="3"/>
        <v/>
      </c>
      <c r="X55" s="93"/>
      <c r="Y55" s="93"/>
      <c r="Z55" s="93"/>
      <c r="AA55" s="94" t="str">
        <f t="shared" si="4"/>
        <v/>
      </c>
      <c r="AB55" s="57"/>
      <c r="AC55" s="57"/>
      <c r="AD55" s="57"/>
      <c r="AE55" s="94" t="str">
        <f t="shared" si="5"/>
        <v/>
      </c>
      <c r="AF55" s="57"/>
      <c r="AG55" s="57"/>
      <c r="AH55" s="94" t="str">
        <f t="shared" si="6"/>
        <v/>
      </c>
      <c r="AI55" s="57">
        <v>408</v>
      </c>
      <c r="AJ55" s="57">
        <v>3800</v>
      </c>
      <c r="AK55" s="94">
        <f t="shared" si="7"/>
        <v>9.3137254901960791</v>
      </c>
    </row>
    <row r="56" spans="1:37" s="97" customFormat="1" x14ac:dyDescent="0.3">
      <c r="A56" s="38" t="s">
        <v>334</v>
      </c>
      <c r="B56" s="96"/>
      <c r="C56" s="93" t="s">
        <v>527</v>
      </c>
      <c r="D56" s="96" t="s">
        <v>1</v>
      </c>
      <c r="E56" s="93"/>
      <c r="F56" s="93"/>
      <c r="G56" s="94" t="str">
        <f t="shared" si="0"/>
        <v/>
      </c>
      <c r="H56" s="93"/>
      <c r="I56" s="93"/>
      <c r="J56" s="93"/>
      <c r="K56" s="93"/>
      <c r="L56" s="93"/>
      <c r="M56" s="93"/>
      <c r="N56" s="93"/>
      <c r="O56" s="94" t="str">
        <f t="shared" si="1"/>
        <v/>
      </c>
      <c r="P56" s="93"/>
      <c r="Q56" s="93"/>
      <c r="R56" s="93"/>
      <c r="S56" s="94" t="str">
        <f t="shared" si="2"/>
        <v/>
      </c>
      <c r="T56" s="93"/>
      <c r="U56" s="93"/>
      <c r="V56" s="93"/>
      <c r="W56" s="94" t="str">
        <f t="shared" si="3"/>
        <v/>
      </c>
      <c r="X56" s="93"/>
      <c r="Y56" s="93"/>
      <c r="Z56" s="93"/>
      <c r="AA56" s="94" t="str">
        <f t="shared" si="4"/>
        <v/>
      </c>
      <c r="AB56" s="57"/>
      <c r="AC56" s="57"/>
      <c r="AD56" s="57"/>
      <c r="AE56" s="94" t="str">
        <f t="shared" si="5"/>
        <v/>
      </c>
      <c r="AF56" s="57"/>
      <c r="AG56" s="57"/>
      <c r="AH56" s="94" t="str">
        <f t="shared" si="6"/>
        <v/>
      </c>
      <c r="AI56" s="57">
        <v>570</v>
      </c>
      <c r="AJ56" s="57">
        <v>1200</v>
      </c>
      <c r="AK56" s="94">
        <f t="shared" si="7"/>
        <v>2.1052631578947367</v>
      </c>
    </row>
    <row r="57" spans="1:37" s="97" customFormat="1" x14ac:dyDescent="0.3">
      <c r="A57" s="38" t="s">
        <v>335</v>
      </c>
      <c r="B57" s="96"/>
      <c r="C57" s="93" t="s">
        <v>527</v>
      </c>
      <c r="D57" s="96" t="s">
        <v>1</v>
      </c>
      <c r="E57" s="93"/>
      <c r="F57" s="93"/>
      <c r="G57" s="94" t="str">
        <f t="shared" si="0"/>
        <v/>
      </c>
      <c r="H57" s="93"/>
      <c r="I57" s="93"/>
      <c r="J57" s="93"/>
      <c r="K57" s="93"/>
      <c r="L57" s="93"/>
      <c r="M57" s="93"/>
      <c r="N57" s="93"/>
      <c r="O57" s="94" t="str">
        <f t="shared" si="1"/>
        <v/>
      </c>
      <c r="P57" s="93"/>
      <c r="Q57" s="93"/>
      <c r="R57" s="93"/>
      <c r="S57" s="94" t="str">
        <f t="shared" si="2"/>
        <v/>
      </c>
      <c r="T57" s="93"/>
      <c r="U57" s="93"/>
      <c r="V57" s="93"/>
      <c r="W57" s="94" t="str">
        <f t="shared" si="3"/>
        <v/>
      </c>
      <c r="X57" s="93"/>
      <c r="Y57" s="93"/>
      <c r="Z57" s="93"/>
      <c r="AA57" s="94" t="str">
        <f t="shared" si="4"/>
        <v/>
      </c>
      <c r="AB57" s="57"/>
      <c r="AC57" s="57"/>
      <c r="AD57" s="57"/>
      <c r="AE57" s="94" t="str">
        <f t="shared" si="5"/>
        <v/>
      </c>
      <c r="AF57" s="57"/>
      <c r="AG57" s="57"/>
      <c r="AH57" s="94" t="str">
        <f t="shared" si="6"/>
        <v/>
      </c>
      <c r="AI57" s="57">
        <v>2379</v>
      </c>
      <c r="AJ57" s="57">
        <v>16000</v>
      </c>
      <c r="AK57" s="94">
        <f t="shared" si="7"/>
        <v>6.7255149222362336</v>
      </c>
    </row>
    <row r="58" spans="1:37" s="97" customFormat="1" x14ac:dyDescent="0.3">
      <c r="A58" s="38" t="s">
        <v>336</v>
      </c>
      <c r="B58" s="96"/>
      <c r="C58" s="93" t="s">
        <v>527</v>
      </c>
      <c r="D58" s="96" t="s">
        <v>1</v>
      </c>
      <c r="E58" s="93"/>
      <c r="F58" s="93"/>
      <c r="G58" s="94" t="str">
        <f t="shared" si="0"/>
        <v/>
      </c>
      <c r="H58" s="93"/>
      <c r="I58" s="93"/>
      <c r="J58" s="93"/>
      <c r="K58" s="93"/>
      <c r="L58" s="93"/>
      <c r="M58" s="93"/>
      <c r="N58" s="93"/>
      <c r="O58" s="94" t="str">
        <f t="shared" si="1"/>
        <v/>
      </c>
      <c r="P58" s="93"/>
      <c r="Q58" s="93"/>
      <c r="R58" s="93"/>
      <c r="S58" s="94" t="str">
        <f t="shared" si="2"/>
        <v/>
      </c>
      <c r="T58" s="93"/>
      <c r="U58" s="93"/>
      <c r="V58" s="93"/>
      <c r="W58" s="94" t="str">
        <f t="shared" si="3"/>
        <v/>
      </c>
      <c r="X58" s="93"/>
      <c r="Y58" s="93"/>
      <c r="Z58" s="93"/>
      <c r="AA58" s="94" t="str">
        <f t="shared" si="4"/>
        <v/>
      </c>
      <c r="AB58" s="57"/>
      <c r="AC58" s="57"/>
      <c r="AD58" s="57"/>
      <c r="AE58" s="94" t="str">
        <f t="shared" si="5"/>
        <v/>
      </c>
      <c r="AF58" s="57"/>
      <c r="AG58" s="57"/>
      <c r="AH58" s="94" t="str">
        <f t="shared" si="6"/>
        <v/>
      </c>
      <c r="AI58" s="57">
        <v>77</v>
      </c>
      <c r="AJ58" s="57">
        <v>8000</v>
      </c>
      <c r="AK58" s="94">
        <f t="shared" si="7"/>
        <v>103.8961038961039</v>
      </c>
    </row>
    <row r="59" spans="1:37" s="97" customFormat="1" x14ac:dyDescent="0.3">
      <c r="A59" s="38" t="s">
        <v>646</v>
      </c>
      <c r="B59" s="96"/>
      <c r="C59" s="93" t="s">
        <v>527</v>
      </c>
      <c r="D59" s="96" t="s">
        <v>1</v>
      </c>
      <c r="E59" s="93"/>
      <c r="F59" s="93"/>
      <c r="G59" s="94" t="str">
        <f t="shared" si="0"/>
        <v/>
      </c>
      <c r="H59" s="93"/>
      <c r="I59" s="93"/>
      <c r="J59" s="93"/>
      <c r="K59" s="93"/>
      <c r="L59" s="93"/>
      <c r="M59" s="93"/>
      <c r="N59" s="93"/>
      <c r="O59" s="94" t="str">
        <f t="shared" si="1"/>
        <v/>
      </c>
      <c r="P59" s="93"/>
      <c r="Q59" s="93"/>
      <c r="R59" s="93"/>
      <c r="S59" s="94" t="str">
        <f t="shared" si="2"/>
        <v/>
      </c>
      <c r="T59" s="93"/>
      <c r="U59" s="93"/>
      <c r="V59" s="93"/>
      <c r="W59" s="94" t="str">
        <f t="shared" si="3"/>
        <v/>
      </c>
      <c r="X59" s="93"/>
      <c r="Y59" s="93"/>
      <c r="Z59" s="93"/>
      <c r="AA59" s="94" t="str">
        <f t="shared" si="4"/>
        <v/>
      </c>
      <c r="AB59" s="57"/>
      <c r="AC59" s="57"/>
      <c r="AD59" s="57"/>
      <c r="AE59" s="94" t="str">
        <f t="shared" si="5"/>
        <v/>
      </c>
      <c r="AF59" s="57"/>
      <c r="AG59" s="57"/>
      <c r="AH59" s="94" t="str">
        <f t="shared" si="6"/>
        <v/>
      </c>
      <c r="AI59" s="57">
        <v>147</v>
      </c>
      <c r="AJ59" s="57">
        <v>11800</v>
      </c>
      <c r="AK59" s="94">
        <f t="shared" si="7"/>
        <v>80.27210884353741</v>
      </c>
    </row>
    <row r="60" spans="1:37" s="97" customFormat="1" x14ac:dyDescent="0.3">
      <c r="A60" s="38" t="s">
        <v>647</v>
      </c>
      <c r="B60" s="96"/>
      <c r="C60" s="93" t="s">
        <v>527</v>
      </c>
      <c r="D60" s="96" t="s">
        <v>1</v>
      </c>
      <c r="E60" s="93"/>
      <c r="F60" s="93"/>
      <c r="G60" s="94" t="str">
        <f t="shared" si="0"/>
        <v/>
      </c>
      <c r="H60" s="93"/>
      <c r="I60" s="93"/>
      <c r="J60" s="93"/>
      <c r="K60" s="93"/>
      <c r="L60" s="93"/>
      <c r="M60" s="93"/>
      <c r="N60" s="93"/>
      <c r="O60" s="94" t="str">
        <f t="shared" si="1"/>
        <v/>
      </c>
      <c r="P60" s="93"/>
      <c r="Q60" s="93"/>
      <c r="R60" s="93"/>
      <c r="S60" s="94" t="str">
        <f t="shared" si="2"/>
        <v/>
      </c>
      <c r="T60" s="93"/>
      <c r="U60" s="93"/>
      <c r="V60" s="93"/>
      <c r="W60" s="94" t="str">
        <f t="shared" si="3"/>
        <v/>
      </c>
      <c r="X60" s="93"/>
      <c r="Y60" s="93"/>
      <c r="Z60" s="93"/>
      <c r="AA60" s="94" t="str">
        <f t="shared" si="4"/>
        <v/>
      </c>
      <c r="AB60" s="57"/>
      <c r="AC60" s="57"/>
      <c r="AD60" s="57"/>
      <c r="AE60" s="94" t="str">
        <f t="shared" si="5"/>
        <v/>
      </c>
      <c r="AF60" s="57"/>
      <c r="AG60" s="57"/>
      <c r="AH60" s="94" t="str">
        <f t="shared" si="6"/>
        <v/>
      </c>
      <c r="AI60" s="57">
        <v>405</v>
      </c>
      <c r="AJ60" s="57">
        <v>32900</v>
      </c>
      <c r="AK60" s="94">
        <f t="shared" si="7"/>
        <v>81.23456790123457</v>
      </c>
    </row>
    <row r="61" spans="1:37" s="97" customFormat="1" x14ac:dyDescent="0.3">
      <c r="A61" s="38" t="s">
        <v>648</v>
      </c>
      <c r="B61" s="96"/>
      <c r="C61" s="93" t="s">
        <v>527</v>
      </c>
      <c r="D61" s="96" t="s">
        <v>1</v>
      </c>
      <c r="E61" s="93"/>
      <c r="F61" s="93"/>
      <c r="G61" s="94" t="str">
        <f t="shared" si="0"/>
        <v/>
      </c>
      <c r="H61" s="93"/>
      <c r="I61" s="93"/>
      <c r="J61" s="93"/>
      <c r="K61" s="93"/>
      <c r="L61" s="93"/>
      <c r="M61" s="93"/>
      <c r="N61" s="93"/>
      <c r="O61" s="94" t="str">
        <f t="shared" si="1"/>
        <v/>
      </c>
      <c r="P61" s="93"/>
      <c r="Q61" s="93"/>
      <c r="R61" s="93"/>
      <c r="S61" s="94" t="str">
        <f t="shared" si="2"/>
        <v/>
      </c>
      <c r="T61" s="93"/>
      <c r="U61" s="93"/>
      <c r="V61" s="93"/>
      <c r="W61" s="94" t="str">
        <f t="shared" si="3"/>
        <v/>
      </c>
      <c r="X61" s="93"/>
      <c r="Y61" s="93"/>
      <c r="Z61" s="93"/>
      <c r="AA61" s="94" t="str">
        <f t="shared" si="4"/>
        <v/>
      </c>
      <c r="AB61" s="57"/>
      <c r="AC61" s="57"/>
      <c r="AD61" s="57"/>
      <c r="AE61" s="94" t="str">
        <f t="shared" si="5"/>
        <v/>
      </c>
      <c r="AF61" s="57"/>
      <c r="AG61" s="57"/>
      <c r="AH61" s="94" t="str">
        <f t="shared" si="6"/>
        <v/>
      </c>
      <c r="AI61" s="57">
        <v>12</v>
      </c>
      <c r="AJ61" s="57">
        <v>1000</v>
      </c>
      <c r="AK61" s="94">
        <f t="shared" si="7"/>
        <v>83.333333333333329</v>
      </c>
    </row>
    <row r="62" spans="1:37" s="97" customFormat="1" x14ac:dyDescent="0.3">
      <c r="A62" s="38" t="s">
        <v>311</v>
      </c>
      <c r="B62" s="96"/>
      <c r="C62" s="93" t="s">
        <v>527</v>
      </c>
      <c r="D62" s="96" t="s">
        <v>1</v>
      </c>
      <c r="E62" s="93"/>
      <c r="F62" s="93"/>
      <c r="G62" s="94" t="str">
        <f t="shared" si="0"/>
        <v/>
      </c>
      <c r="H62" s="93"/>
      <c r="I62" s="93"/>
      <c r="J62" s="93"/>
      <c r="K62" s="93"/>
      <c r="L62" s="93"/>
      <c r="M62" s="93"/>
      <c r="N62" s="93"/>
      <c r="O62" s="94" t="str">
        <f t="shared" si="1"/>
        <v/>
      </c>
      <c r="P62" s="93"/>
      <c r="Q62" s="93"/>
      <c r="R62" s="93"/>
      <c r="S62" s="94" t="str">
        <f t="shared" si="2"/>
        <v/>
      </c>
      <c r="T62" s="93"/>
      <c r="U62" s="93"/>
      <c r="V62" s="93"/>
      <c r="W62" s="94" t="str">
        <f t="shared" si="3"/>
        <v/>
      </c>
      <c r="X62" s="93"/>
      <c r="Y62" s="93"/>
      <c r="Z62" s="93"/>
      <c r="AA62" s="94" t="str">
        <f t="shared" si="4"/>
        <v/>
      </c>
      <c r="AB62" s="57"/>
      <c r="AC62" s="57"/>
      <c r="AD62" s="57"/>
      <c r="AE62" s="94" t="str">
        <f t="shared" si="5"/>
        <v/>
      </c>
      <c r="AF62" s="57"/>
      <c r="AG62" s="57"/>
      <c r="AH62" s="94" t="str">
        <f t="shared" si="6"/>
        <v/>
      </c>
      <c r="AI62" s="57">
        <v>29</v>
      </c>
      <c r="AJ62" s="57">
        <v>6400</v>
      </c>
      <c r="AK62" s="94">
        <f t="shared" si="7"/>
        <v>220.68965517241378</v>
      </c>
    </row>
    <row r="63" spans="1:37" s="97" customFormat="1" x14ac:dyDescent="0.3">
      <c r="A63" s="38" t="s">
        <v>312</v>
      </c>
      <c r="B63" s="96"/>
      <c r="C63" s="93" t="s">
        <v>527</v>
      </c>
      <c r="D63" s="96" t="s">
        <v>1</v>
      </c>
      <c r="E63" s="93"/>
      <c r="F63" s="93"/>
      <c r="G63" s="94" t="str">
        <f t="shared" si="0"/>
        <v/>
      </c>
      <c r="H63" s="93"/>
      <c r="I63" s="93"/>
      <c r="J63" s="93"/>
      <c r="K63" s="93"/>
      <c r="L63" s="93"/>
      <c r="M63" s="93"/>
      <c r="N63" s="93"/>
      <c r="O63" s="94" t="str">
        <f t="shared" si="1"/>
        <v/>
      </c>
      <c r="P63" s="93"/>
      <c r="Q63" s="93"/>
      <c r="R63" s="93"/>
      <c r="S63" s="94" t="str">
        <f t="shared" si="2"/>
        <v/>
      </c>
      <c r="T63" s="93"/>
      <c r="U63" s="93"/>
      <c r="V63" s="93"/>
      <c r="W63" s="94" t="str">
        <f t="shared" si="3"/>
        <v/>
      </c>
      <c r="X63" s="93"/>
      <c r="Y63" s="93"/>
      <c r="Z63" s="93"/>
      <c r="AA63" s="94" t="str">
        <f t="shared" si="4"/>
        <v/>
      </c>
      <c r="AB63" s="57"/>
      <c r="AC63" s="57"/>
      <c r="AD63" s="57"/>
      <c r="AE63" s="94" t="str">
        <f t="shared" si="5"/>
        <v/>
      </c>
      <c r="AF63" s="57"/>
      <c r="AG63" s="57"/>
      <c r="AH63" s="94" t="str">
        <f t="shared" si="6"/>
        <v/>
      </c>
      <c r="AI63" s="57">
        <v>8</v>
      </c>
      <c r="AJ63" s="57">
        <v>1500</v>
      </c>
      <c r="AK63" s="94">
        <f t="shared" si="7"/>
        <v>187.5</v>
      </c>
    </row>
    <row r="64" spans="1:37" s="97" customFormat="1" x14ac:dyDescent="0.3">
      <c r="A64" s="38" t="s">
        <v>337</v>
      </c>
      <c r="B64" s="96"/>
      <c r="C64" s="93" t="s">
        <v>527</v>
      </c>
      <c r="D64" s="96" t="s">
        <v>1</v>
      </c>
      <c r="E64" s="93"/>
      <c r="F64" s="93"/>
      <c r="G64" s="94" t="str">
        <f t="shared" si="0"/>
        <v/>
      </c>
      <c r="H64" s="93"/>
      <c r="I64" s="93"/>
      <c r="J64" s="93"/>
      <c r="K64" s="93"/>
      <c r="L64" s="93"/>
      <c r="M64" s="93"/>
      <c r="N64" s="93"/>
      <c r="O64" s="94" t="str">
        <f t="shared" si="1"/>
        <v/>
      </c>
      <c r="P64" s="93"/>
      <c r="Q64" s="93"/>
      <c r="R64" s="93"/>
      <c r="S64" s="94" t="str">
        <f t="shared" si="2"/>
        <v/>
      </c>
      <c r="T64" s="93"/>
      <c r="U64" s="93"/>
      <c r="V64" s="93"/>
      <c r="W64" s="94" t="str">
        <f t="shared" si="3"/>
        <v/>
      </c>
      <c r="X64" s="93"/>
      <c r="Y64" s="93"/>
      <c r="Z64" s="93"/>
      <c r="AA64" s="94" t="str">
        <f t="shared" si="4"/>
        <v/>
      </c>
      <c r="AB64" s="57"/>
      <c r="AC64" s="57"/>
      <c r="AD64" s="57"/>
      <c r="AE64" s="94" t="str">
        <f t="shared" si="5"/>
        <v/>
      </c>
      <c r="AF64" s="57"/>
      <c r="AG64" s="57"/>
      <c r="AH64" s="94" t="str">
        <f t="shared" si="6"/>
        <v/>
      </c>
      <c r="AI64" s="57">
        <v>615</v>
      </c>
      <c r="AJ64" s="57">
        <v>33000</v>
      </c>
      <c r="AK64" s="94">
        <f t="shared" si="7"/>
        <v>53.658536585365852</v>
      </c>
    </row>
    <row r="65" spans="1:37" s="97" customFormat="1" x14ac:dyDescent="0.3">
      <c r="A65" s="38" t="s">
        <v>338</v>
      </c>
      <c r="B65" s="96"/>
      <c r="C65" s="93" t="s">
        <v>574</v>
      </c>
      <c r="D65" s="96" t="s">
        <v>662</v>
      </c>
      <c r="E65" s="93"/>
      <c r="F65" s="93"/>
      <c r="G65" s="94" t="str">
        <f t="shared" si="0"/>
        <v/>
      </c>
      <c r="H65" s="93"/>
      <c r="I65" s="93"/>
      <c r="J65" s="93"/>
      <c r="K65" s="93"/>
      <c r="L65" s="93"/>
      <c r="M65" s="93"/>
      <c r="N65" s="93"/>
      <c r="O65" s="94" t="str">
        <f t="shared" si="1"/>
        <v/>
      </c>
      <c r="P65" s="93"/>
      <c r="Q65" s="93"/>
      <c r="R65" s="93"/>
      <c r="S65" s="94" t="str">
        <f t="shared" si="2"/>
        <v/>
      </c>
      <c r="T65" s="93"/>
      <c r="U65" s="93"/>
      <c r="V65" s="93"/>
      <c r="W65" s="94" t="str">
        <f t="shared" si="3"/>
        <v/>
      </c>
      <c r="X65" s="93"/>
      <c r="Y65" s="93"/>
      <c r="Z65" s="93"/>
      <c r="AA65" s="94" t="str">
        <f t="shared" si="4"/>
        <v/>
      </c>
      <c r="AB65" s="57" t="s">
        <v>662</v>
      </c>
      <c r="AC65" s="57">
        <f>1879486</f>
        <v>1879486</v>
      </c>
      <c r="AD65" s="57">
        <f>((1879486/15081066)*48472528)/$D$197</f>
        <v>54917.409057886347</v>
      </c>
      <c r="AE65" s="94">
        <f t="shared" si="5"/>
        <v>2.9219376498620553E-2</v>
      </c>
      <c r="AF65" s="57"/>
      <c r="AG65" s="57"/>
      <c r="AH65" s="94" t="str">
        <f t="shared" si="6"/>
        <v/>
      </c>
      <c r="AI65" s="57">
        <v>71</v>
      </c>
      <c r="AJ65" s="57">
        <v>3000</v>
      </c>
      <c r="AK65" s="94">
        <f t="shared" si="7"/>
        <v>42.25352112676056</v>
      </c>
    </row>
    <row r="66" spans="1:37" s="97" customFormat="1" x14ac:dyDescent="0.3">
      <c r="A66" s="38" t="s">
        <v>134</v>
      </c>
      <c r="B66" s="96"/>
      <c r="C66" s="93" t="s">
        <v>574</v>
      </c>
      <c r="D66" s="96" t="s">
        <v>662</v>
      </c>
      <c r="E66" s="93"/>
      <c r="F66" s="93"/>
      <c r="G66" s="94" t="str">
        <f t="shared" si="0"/>
        <v/>
      </c>
      <c r="H66" s="93"/>
      <c r="I66" s="93"/>
      <c r="J66" s="93"/>
      <c r="K66" s="93"/>
      <c r="L66" s="93"/>
      <c r="M66" s="93"/>
      <c r="N66" s="93"/>
      <c r="O66" s="94" t="str">
        <f t="shared" si="1"/>
        <v/>
      </c>
      <c r="P66" s="93"/>
      <c r="Q66" s="93"/>
      <c r="R66" s="93"/>
      <c r="S66" s="94" t="str">
        <f t="shared" si="2"/>
        <v/>
      </c>
      <c r="T66" s="93" t="s">
        <v>662</v>
      </c>
      <c r="U66" s="93">
        <f>5328468</f>
        <v>5328468</v>
      </c>
      <c r="V66" s="93">
        <v>765276</v>
      </c>
      <c r="W66" s="94">
        <f t="shared" si="3"/>
        <v>0.14362026758910817</v>
      </c>
      <c r="X66" s="93" t="s">
        <v>662</v>
      </c>
      <c r="Y66" s="93">
        <f>3538980</f>
        <v>3538980</v>
      </c>
      <c r="Z66" s="93">
        <v>444627</v>
      </c>
      <c r="AA66" s="94">
        <f t="shared" si="4"/>
        <v>0.12563704796297237</v>
      </c>
      <c r="AB66" s="57"/>
      <c r="AC66" s="57"/>
      <c r="AD66" s="57"/>
      <c r="AE66" s="94" t="str">
        <f t="shared" si="5"/>
        <v/>
      </c>
      <c r="AF66" s="57"/>
      <c r="AG66" s="57"/>
      <c r="AH66" s="94" t="str">
        <f t="shared" si="6"/>
        <v/>
      </c>
      <c r="AI66" s="57">
        <v>2528</v>
      </c>
      <c r="AJ66" s="57">
        <v>374300</v>
      </c>
      <c r="AK66" s="94">
        <f t="shared" si="7"/>
        <v>148.0617088607595</v>
      </c>
    </row>
    <row r="67" spans="1:37" s="97" customFormat="1" x14ac:dyDescent="0.3">
      <c r="A67" s="38" t="s">
        <v>40</v>
      </c>
      <c r="B67" s="96" t="s">
        <v>519</v>
      </c>
      <c r="C67" s="93" t="s">
        <v>527</v>
      </c>
      <c r="D67" s="96" t="s">
        <v>1</v>
      </c>
      <c r="E67" s="93"/>
      <c r="F67" s="93"/>
      <c r="G67" s="94" t="str">
        <f t="shared" si="0"/>
        <v/>
      </c>
      <c r="H67" s="93"/>
      <c r="I67" s="93"/>
      <c r="J67" s="93"/>
      <c r="K67" s="93"/>
      <c r="L67" s="93"/>
      <c r="M67" s="93"/>
      <c r="N67" s="93"/>
      <c r="O67" s="94" t="str">
        <f t="shared" si="1"/>
        <v/>
      </c>
      <c r="P67" s="93"/>
      <c r="Q67" s="93"/>
      <c r="R67" s="93"/>
      <c r="S67" s="94" t="str">
        <f t="shared" si="2"/>
        <v/>
      </c>
      <c r="T67" s="93"/>
      <c r="U67" s="93"/>
      <c r="V67" s="93"/>
      <c r="W67" s="94" t="str">
        <f t="shared" si="3"/>
        <v/>
      </c>
      <c r="X67" s="93"/>
      <c r="Y67" s="93"/>
      <c r="Z67" s="93"/>
      <c r="AA67" s="94" t="str">
        <f t="shared" si="4"/>
        <v/>
      </c>
      <c r="AB67" s="57"/>
      <c r="AC67" s="57"/>
      <c r="AD67" s="57"/>
      <c r="AE67" s="94" t="str">
        <f t="shared" si="5"/>
        <v/>
      </c>
      <c r="AF67" s="57"/>
      <c r="AG67" s="57"/>
      <c r="AH67" s="94" t="str">
        <f t="shared" si="6"/>
        <v/>
      </c>
      <c r="AI67" s="57">
        <v>185</v>
      </c>
      <c r="AJ67" s="57">
        <v>70000</v>
      </c>
      <c r="AK67" s="94">
        <f t="shared" si="7"/>
        <v>378.37837837837839</v>
      </c>
    </row>
    <row r="68" spans="1:37" s="97" customFormat="1" x14ac:dyDescent="0.3">
      <c r="A68" s="38" t="s">
        <v>339</v>
      </c>
      <c r="B68" s="96"/>
      <c r="C68" s="93" t="s">
        <v>527</v>
      </c>
      <c r="D68" s="96" t="s">
        <v>1</v>
      </c>
      <c r="E68" s="93"/>
      <c r="F68" s="93"/>
      <c r="G68" s="94" t="str">
        <f t="shared" ref="G68:G86" si="8">IFERROR(F68/E68,"")</f>
        <v/>
      </c>
      <c r="H68" s="93"/>
      <c r="I68" s="93"/>
      <c r="J68" s="93"/>
      <c r="K68" s="93"/>
      <c r="L68" s="93"/>
      <c r="M68" s="93"/>
      <c r="N68" s="93"/>
      <c r="O68" s="94" t="str">
        <f t="shared" ref="O68:O86" si="9">IFERROR(N68/M68,"")</f>
        <v/>
      </c>
      <c r="P68" s="93"/>
      <c r="Q68" s="93"/>
      <c r="R68" s="93"/>
      <c r="S68" s="94" t="str">
        <f t="shared" ref="S68:S86" si="10">IFERROR(R68/Q68,"")</f>
        <v/>
      </c>
      <c r="T68" s="93"/>
      <c r="U68" s="93"/>
      <c r="V68" s="93"/>
      <c r="W68" s="94" t="str">
        <f t="shared" ref="W68:W86" si="11">IFERROR(V68/U68,"")</f>
        <v/>
      </c>
      <c r="X68" s="93"/>
      <c r="Y68" s="93"/>
      <c r="Z68" s="93"/>
      <c r="AA68" s="94" t="str">
        <f t="shared" ref="AA68:AA86" si="12">IFERROR(Z68/Y68,"")</f>
        <v/>
      </c>
      <c r="AB68" s="57"/>
      <c r="AC68" s="57"/>
      <c r="AD68" s="57"/>
      <c r="AE68" s="94" t="str">
        <f t="shared" ref="AE68:AE86" si="13">IFERROR(AD68/AC68,"")</f>
        <v/>
      </c>
      <c r="AF68" s="57"/>
      <c r="AG68" s="57"/>
      <c r="AH68" s="94" t="str">
        <f t="shared" ref="AH68:AH86" si="14">IFERROR(AG68/AF68,"")</f>
        <v/>
      </c>
      <c r="AI68" s="57">
        <v>17</v>
      </c>
      <c r="AJ68" s="57">
        <v>3300</v>
      </c>
      <c r="AK68" s="94">
        <f t="shared" ref="AK68:AK86" si="15">IFERROR(AJ68/AI68,"")</f>
        <v>194.11764705882354</v>
      </c>
    </row>
    <row r="69" spans="1:37" s="97" customFormat="1" x14ac:dyDescent="0.3">
      <c r="A69" s="38" t="s">
        <v>340</v>
      </c>
      <c r="B69" s="96"/>
      <c r="C69" s="93" t="s">
        <v>527</v>
      </c>
      <c r="D69" s="96" t="s">
        <v>1</v>
      </c>
      <c r="E69" s="93"/>
      <c r="F69" s="93"/>
      <c r="G69" s="94" t="str">
        <f t="shared" si="8"/>
        <v/>
      </c>
      <c r="H69" s="93"/>
      <c r="I69" s="93"/>
      <c r="J69" s="93"/>
      <c r="K69" s="93"/>
      <c r="L69" s="93"/>
      <c r="M69" s="93"/>
      <c r="N69" s="93"/>
      <c r="O69" s="94" t="str">
        <f t="shared" si="9"/>
        <v/>
      </c>
      <c r="P69" s="93"/>
      <c r="Q69" s="93"/>
      <c r="R69" s="93"/>
      <c r="S69" s="94" t="str">
        <f t="shared" si="10"/>
        <v/>
      </c>
      <c r="T69" s="93"/>
      <c r="U69" s="93"/>
      <c r="V69" s="93"/>
      <c r="W69" s="94" t="str">
        <f t="shared" si="11"/>
        <v/>
      </c>
      <c r="X69" s="93"/>
      <c r="Y69" s="93"/>
      <c r="Z69" s="93"/>
      <c r="AA69" s="94" t="str">
        <f t="shared" si="12"/>
        <v/>
      </c>
      <c r="AB69" s="57"/>
      <c r="AC69" s="57"/>
      <c r="AD69" s="57"/>
      <c r="AE69" s="94" t="str">
        <f t="shared" si="13"/>
        <v/>
      </c>
      <c r="AF69" s="57"/>
      <c r="AG69" s="57"/>
      <c r="AH69" s="94" t="str">
        <f t="shared" si="14"/>
        <v/>
      </c>
      <c r="AI69" s="57">
        <v>399</v>
      </c>
      <c r="AJ69" s="57">
        <v>44200</v>
      </c>
      <c r="AK69" s="94">
        <f t="shared" si="15"/>
        <v>110.77694235588973</v>
      </c>
    </row>
    <row r="70" spans="1:37" s="97" customFormat="1" x14ac:dyDescent="0.3">
      <c r="A70" s="38" t="s">
        <v>341</v>
      </c>
      <c r="B70" s="96"/>
      <c r="C70" s="93" t="s">
        <v>527</v>
      </c>
      <c r="D70" s="96" t="s">
        <v>1</v>
      </c>
      <c r="E70" s="93"/>
      <c r="F70" s="93"/>
      <c r="G70" s="94" t="str">
        <f t="shared" si="8"/>
        <v/>
      </c>
      <c r="H70" s="93"/>
      <c r="I70" s="93"/>
      <c r="J70" s="93"/>
      <c r="K70" s="93"/>
      <c r="L70" s="93"/>
      <c r="M70" s="93"/>
      <c r="N70" s="93"/>
      <c r="O70" s="94" t="str">
        <f t="shared" si="9"/>
        <v/>
      </c>
      <c r="P70" s="93"/>
      <c r="Q70" s="93"/>
      <c r="R70" s="93"/>
      <c r="S70" s="94" t="str">
        <f t="shared" si="10"/>
        <v/>
      </c>
      <c r="T70" s="93"/>
      <c r="U70" s="93"/>
      <c r="V70" s="93"/>
      <c r="W70" s="94" t="str">
        <f t="shared" si="11"/>
        <v/>
      </c>
      <c r="X70" s="93"/>
      <c r="Y70" s="93"/>
      <c r="Z70" s="93"/>
      <c r="AA70" s="94" t="str">
        <f t="shared" si="12"/>
        <v/>
      </c>
      <c r="AB70" s="57"/>
      <c r="AC70" s="57"/>
      <c r="AD70" s="57"/>
      <c r="AE70" s="94" t="str">
        <f t="shared" si="13"/>
        <v/>
      </c>
      <c r="AF70" s="57"/>
      <c r="AG70" s="57"/>
      <c r="AH70" s="94" t="str">
        <f t="shared" si="14"/>
        <v/>
      </c>
      <c r="AI70" s="57">
        <v>9</v>
      </c>
      <c r="AJ70" s="57">
        <v>1700</v>
      </c>
      <c r="AK70" s="94">
        <f t="shared" si="15"/>
        <v>188.88888888888889</v>
      </c>
    </row>
    <row r="71" spans="1:37" s="97" customFormat="1" x14ac:dyDescent="0.3">
      <c r="A71" s="38" t="s">
        <v>342</v>
      </c>
      <c r="B71" s="96"/>
      <c r="C71" s="93" t="s">
        <v>527</v>
      </c>
      <c r="D71" s="96" t="s">
        <v>1</v>
      </c>
      <c r="E71" s="93"/>
      <c r="F71" s="93"/>
      <c r="G71" s="94" t="str">
        <f t="shared" si="8"/>
        <v/>
      </c>
      <c r="H71" s="93"/>
      <c r="I71" s="93"/>
      <c r="J71" s="93"/>
      <c r="K71" s="93"/>
      <c r="L71" s="93"/>
      <c r="M71" s="93"/>
      <c r="N71" s="93"/>
      <c r="O71" s="94" t="str">
        <f t="shared" si="9"/>
        <v/>
      </c>
      <c r="P71" s="93"/>
      <c r="Q71" s="93"/>
      <c r="R71" s="93"/>
      <c r="S71" s="94" t="str">
        <f t="shared" si="10"/>
        <v/>
      </c>
      <c r="T71" s="93"/>
      <c r="U71" s="93"/>
      <c r="V71" s="93"/>
      <c r="W71" s="94" t="str">
        <f t="shared" si="11"/>
        <v/>
      </c>
      <c r="X71" s="93"/>
      <c r="Y71" s="93"/>
      <c r="Z71" s="93"/>
      <c r="AA71" s="94" t="str">
        <f t="shared" si="12"/>
        <v/>
      </c>
      <c r="AB71" s="57"/>
      <c r="AC71" s="57"/>
      <c r="AD71" s="57"/>
      <c r="AE71" s="94" t="str">
        <f t="shared" si="13"/>
        <v/>
      </c>
      <c r="AF71" s="57"/>
      <c r="AG71" s="57"/>
      <c r="AH71" s="94" t="str">
        <f t="shared" si="14"/>
        <v/>
      </c>
      <c r="AI71" s="57">
        <v>691</v>
      </c>
      <c r="AJ71" s="57">
        <v>35500</v>
      </c>
      <c r="AK71" s="94">
        <f t="shared" si="15"/>
        <v>51.37481910274964</v>
      </c>
    </row>
    <row r="72" spans="1:37" s="97" customFormat="1" x14ac:dyDescent="0.3">
      <c r="A72" s="38" t="s">
        <v>343</v>
      </c>
      <c r="B72" s="96"/>
      <c r="C72" s="93" t="s">
        <v>527</v>
      </c>
      <c r="D72" s="96" t="s">
        <v>1</v>
      </c>
      <c r="E72" s="93"/>
      <c r="F72" s="93"/>
      <c r="G72" s="94" t="str">
        <f t="shared" si="8"/>
        <v/>
      </c>
      <c r="H72" s="93"/>
      <c r="I72" s="93"/>
      <c r="J72" s="93"/>
      <c r="K72" s="93"/>
      <c r="L72" s="93"/>
      <c r="M72" s="93"/>
      <c r="N72" s="93"/>
      <c r="O72" s="94" t="str">
        <f t="shared" si="9"/>
        <v/>
      </c>
      <c r="P72" s="93"/>
      <c r="Q72" s="93"/>
      <c r="R72" s="93"/>
      <c r="S72" s="94" t="str">
        <f t="shared" si="10"/>
        <v/>
      </c>
      <c r="T72" s="93"/>
      <c r="U72" s="93"/>
      <c r="V72" s="93"/>
      <c r="W72" s="94" t="str">
        <f t="shared" si="11"/>
        <v/>
      </c>
      <c r="X72" s="93"/>
      <c r="Y72" s="93"/>
      <c r="Z72" s="93"/>
      <c r="AA72" s="94" t="str">
        <f t="shared" si="12"/>
        <v/>
      </c>
      <c r="AB72" s="57"/>
      <c r="AC72" s="57"/>
      <c r="AD72" s="57"/>
      <c r="AE72" s="94" t="str">
        <f t="shared" si="13"/>
        <v/>
      </c>
      <c r="AF72" s="57"/>
      <c r="AG72" s="57"/>
      <c r="AH72" s="94" t="str">
        <f t="shared" si="14"/>
        <v/>
      </c>
      <c r="AI72" s="57"/>
      <c r="AJ72" s="57">
        <v>1900</v>
      </c>
      <c r="AK72" s="94" t="str">
        <f t="shared" si="15"/>
        <v/>
      </c>
    </row>
    <row r="73" spans="1:37" s="97" customFormat="1" x14ac:dyDescent="0.3">
      <c r="A73" s="38" t="s">
        <v>344</v>
      </c>
      <c r="B73" s="96"/>
      <c r="C73" s="93" t="s">
        <v>527</v>
      </c>
      <c r="D73" s="96" t="s">
        <v>1</v>
      </c>
      <c r="E73" s="93"/>
      <c r="F73" s="93"/>
      <c r="G73" s="94" t="str">
        <f t="shared" si="8"/>
        <v/>
      </c>
      <c r="H73" s="93"/>
      <c r="I73" s="93"/>
      <c r="J73" s="93"/>
      <c r="K73" s="93"/>
      <c r="L73" s="93"/>
      <c r="M73" s="93"/>
      <c r="N73" s="93"/>
      <c r="O73" s="94" t="str">
        <f t="shared" si="9"/>
        <v/>
      </c>
      <c r="P73" s="93"/>
      <c r="Q73" s="93"/>
      <c r="R73" s="93"/>
      <c r="S73" s="94" t="str">
        <f t="shared" si="10"/>
        <v/>
      </c>
      <c r="T73" s="93"/>
      <c r="U73" s="93"/>
      <c r="V73" s="93"/>
      <c r="W73" s="94" t="str">
        <f t="shared" si="11"/>
        <v/>
      </c>
      <c r="X73" s="93"/>
      <c r="Y73" s="93"/>
      <c r="Z73" s="93"/>
      <c r="AA73" s="94" t="str">
        <f t="shared" si="12"/>
        <v/>
      </c>
      <c r="AB73" s="57"/>
      <c r="AC73" s="57"/>
      <c r="AD73" s="57"/>
      <c r="AE73" s="94" t="str">
        <f t="shared" si="13"/>
        <v/>
      </c>
      <c r="AF73" s="57"/>
      <c r="AG73" s="57"/>
      <c r="AH73" s="94" t="str">
        <f t="shared" si="14"/>
        <v/>
      </c>
      <c r="AI73" s="57">
        <v>6.5</v>
      </c>
      <c r="AJ73" s="57">
        <v>1500</v>
      </c>
      <c r="AK73" s="94">
        <f t="shared" si="15"/>
        <v>230.76923076923077</v>
      </c>
    </row>
    <row r="74" spans="1:37" s="97" customFormat="1" x14ac:dyDescent="0.3">
      <c r="A74" s="38" t="s">
        <v>345</v>
      </c>
      <c r="B74" s="96"/>
      <c r="C74" s="93" t="s">
        <v>527</v>
      </c>
      <c r="D74" s="96" t="s">
        <v>1</v>
      </c>
      <c r="E74" s="93"/>
      <c r="F74" s="93"/>
      <c r="G74" s="94" t="str">
        <f t="shared" si="8"/>
        <v/>
      </c>
      <c r="H74" s="93"/>
      <c r="I74" s="93"/>
      <c r="J74" s="93"/>
      <c r="K74" s="93"/>
      <c r="L74" s="93"/>
      <c r="M74" s="93"/>
      <c r="N74" s="93"/>
      <c r="O74" s="94" t="str">
        <f t="shared" si="9"/>
        <v/>
      </c>
      <c r="P74" s="93"/>
      <c r="Q74" s="93"/>
      <c r="R74" s="93"/>
      <c r="S74" s="94" t="str">
        <f t="shared" si="10"/>
        <v/>
      </c>
      <c r="T74" s="93"/>
      <c r="U74" s="93"/>
      <c r="V74" s="93"/>
      <c r="W74" s="94" t="str">
        <f t="shared" si="11"/>
        <v/>
      </c>
      <c r="X74" s="93"/>
      <c r="Y74" s="93"/>
      <c r="Z74" s="93"/>
      <c r="AA74" s="94" t="str">
        <f t="shared" si="12"/>
        <v/>
      </c>
      <c r="AB74" s="57"/>
      <c r="AC74" s="57"/>
      <c r="AD74" s="57"/>
      <c r="AE74" s="94" t="str">
        <f t="shared" si="13"/>
        <v/>
      </c>
      <c r="AF74" s="57"/>
      <c r="AG74" s="57"/>
      <c r="AH74" s="94" t="str">
        <f t="shared" si="14"/>
        <v/>
      </c>
      <c r="AI74" s="57">
        <v>4</v>
      </c>
      <c r="AJ74" s="57">
        <v>1000</v>
      </c>
      <c r="AK74" s="94">
        <f t="shared" si="15"/>
        <v>250</v>
      </c>
    </row>
    <row r="75" spans="1:37" s="97" customFormat="1" x14ac:dyDescent="0.3">
      <c r="A75" s="38" t="s">
        <v>353</v>
      </c>
      <c r="B75" s="96"/>
      <c r="C75" s="93" t="s">
        <v>527</v>
      </c>
      <c r="D75" s="96" t="s">
        <v>1</v>
      </c>
      <c r="E75" s="93"/>
      <c r="F75" s="93"/>
      <c r="G75" s="94" t="str">
        <f t="shared" si="8"/>
        <v/>
      </c>
      <c r="H75" s="93"/>
      <c r="I75" s="93"/>
      <c r="J75" s="93"/>
      <c r="K75" s="93"/>
      <c r="L75" s="93"/>
      <c r="M75" s="93"/>
      <c r="N75" s="93"/>
      <c r="O75" s="94" t="str">
        <f t="shared" si="9"/>
        <v/>
      </c>
      <c r="P75" s="93"/>
      <c r="Q75" s="93"/>
      <c r="R75" s="93"/>
      <c r="S75" s="94" t="str">
        <f t="shared" si="10"/>
        <v/>
      </c>
      <c r="T75" s="93"/>
      <c r="U75" s="93"/>
      <c r="V75" s="93"/>
      <c r="W75" s="94" t="str">
        <f t="shared" si="11"/>
        <v/>
      </c>
      <c r="X75" s="93"/>
      <c r="Y75" s="93"/>
      <c r="Z75" s="93"/>
      <c r="AA75" s="94" t="str">
        <f t="shared" si="12"/>
        <v/>
      </c>
      <c r="AB75" s="57"/>
      <c r="AC75" s="57"/>
      <c r="AD75" s="57"/>
      <c r="AE75" s="94" t="str">
        <f t="shared" si="13"/>
        <v/>
      </c>
      <c r="AF75" s="57"/>
      <c r="AG75" s="57"/>
      <c r="AH75" s="94" t="str">
        <f t="shared" si="14"/>
        <v/>
      </c>
      <c r="AI75" s="57">
        <v>6</v>
      </c>
      <c r="AJ75" s="57">
        <v>2200</v>
      </c>
      <c r="AK75" s="94">
        <f t="shared" si="15"/>
        <v>366.66666666666669</v>
      </c>
    </row>
    <row r="76" spans="1:37" s="97" customFormat="1" x14ac:dyDescent="0.3">
      <c r="A76" s="38" t="s">
        <v>354</v>
      </c>
      <c r="B76" s="96"/>
      <c r="C76" s="93" t="s">
        <v>527</v>
      </c>
      <c r="D76" s="96" t="s">
        <v>1</v>
      </c>
      <c r="E76" s="93"/>
      <c r="F76" s="93"/>
      <c r="G76" s="94" t="str">
        <f t="shared" si="8"/>
        <v/>
      </c>
      <c r="H76" s="93"/>
      <c r="I76" s="93"/>
      <c r="J76" s="93"/>
      <c r="K76" s="93"/>
      <c r="L76" s="93"/>
      <c r="M76" s="93"/>
      <c r="N76" s="93"/>
      <c r="O76" s="94" t="str">
        <f t="shared" si="9"/>
        <v/>
      </c>
      <c r="P76" s="93"/>
      <c r="Q76" s="93"/>
      <c r="R76" s="93"/>
      <c r="S76" s="94" t="str">
        <f t="shared" si="10"/>
        <v/>
      </c>
      <c r="T76" s="93"/>
      <c r="U76" s="93"/>
      <c r="V76" s="93"/>
      <c r="W76" s="94" t="str">
        <f t="shared" si="11"/>
        <v/>
      </c>
      <c r="X76" s="93"/>
      <c r="Y76" s="93"/>
      <c r="Z76" s="93"/>
      <c r="AA76" s="94" t="str">
        <f t="shared" si="12"/>
        <v/>
      </c>
      <c r="AB76" s="57"/>
      <c r="AC76" s="57"/>
      <c r="AD76" s="57"/>
      <c r="AE76" s="94" t="str">
        <f t="shared" si="13"/>
        <v/>
      </c>
      <c r="AF76" s="57"/>
      <c r="AG76" s="57"/>
      <c r="AH76" s="94" t="str">
        <f t="shared" si="14"/>
        <v/>
      </c>
      <c r="AI76" s="57">
        <v>60.5</v>
      </c>
      <c r="AJ76" s="57">
        <v>16700</v>
      </c>
      <c r="AK76" s="94">
        <f t="shared" si="15"/>
        <v>276.03305785123968</v>
      </c>
    </row>
    <row r="77" spans="1:37" s="97" customFormat="1" x14ac:dyDescent="0.3">
      <c r="A77" s="38" t="s">
        <v>649</v>
      </c>
      <c r="B77" s="96"/>
      <c r="C77" s="93" t="s">
        <v>527</v>
      </c>
      <c r="D77" s="96" t="s">
        <v>1</v>
      </c>
      <c r="E77" s="93"/>
      <c r="F77" s="93"/>
      <c r="G77" s="94" t="str">
        <f t="shared" si="8"/>
        <v/>
      </c>
      <c r="H77" s="93"/>
      <c r="I77" s="93"/>
      <c r="J77" s="93"/>
      <c r="K77" s="93"/>
      <c r="L77" s="93"/>
      <c r="M77" s="93"/>
      <c r="N77" s="93"/>
      <c r="O77" s="94" t="str">
        <f t="shared" si="9"/>
        <v/>
      </c>
      <c r="P77" s="93"/>
      <c r="Q77" s="93"/>
      <c r="R77" s="93"/>
      <c r="S77" s="94" t="str">
        <f t="shared" si="10"/>
        <v/>
      </c>
      <c r="T77" s="93"/>
      <c r="U77" s="93"/>
      <c r="V77" s="93"/>
      <c r="W77" s="94" t="str">
        <f t="shared" si="11"/>
        <v/>
      </c>
      <c r="X77" s="93"/>
      <c r="Y77" s="93"/>
      <c r="Z77" s="93"/>
      <c r="AA77" s="94" t="str">
        <f t="shared" si="12"/>
        <v/>
      </c>
      <c r="AB77" s="57"/>
      <c r="AC77" s="57"/>
      <c r="AD77" s="57"/>
      <c r="AE77" s="94" t="str">
        <f t="shared" si="13"/>
        <v/>
      </c>
      <c r="AF77" s="57"/>
      <c r="AG77" s="57"/>
      <c r="AH77" s="94" t="str">
        <f t="shared" si="14"/>
        <v/>
      </c>
      <c r="AI77" s="57">
        <v>4</v>
      </c>
      <c r="AJ77" s="57">
        <v>1000</v>
      </c>
      <c r="AK77" s="94">
        <f t="shared" si="15"/>
        <v>250</v>
      </c>
    </row>
    <row r="78" spans="1:37" s="97" customFormat="1" x14ac:dyDescent="0.3">
      <c r="A78" s="38" t="s">
        <v>94</v>
      </c>
      <c r="B78" s="96"/>
      <c r="C78" s="93" t="s">
        <v>527</v>
      </c>
      <c r="D78" s="96" t="s">
        <v>1</v>
      </c>
      <c r="E78" s="93"/>
      <c r="F78" s="93"/>
      <c r="G78" s="94" t="str">
        <f t="shared" si="8"/>
        <v/>
      </c>
      <c r="H78" s="93"/>
      <c r="I78" s="93"/>
      <c r="J78" s="93"/>
      <c r="K78" s="93"/>
      <c r="L78" s="93"/>
      <c r="M78" s="93"/>
      <c r="N78" s="93"/>
      <c r="O78" s="94" t="str">
        <f t="shared" si="9"/>
        <v/>
      </c>
      <c r="P78" s="93"/>
      <c r="Q78" s="93"/>
      <c r="R78" s="93"/>
      <c r="S78" s="94" t="str">
        <f t="shared" si="10"/>
        <v/>
      </c>
      <c r="T78" s="93"/>
      <c r="U78" s="93"/>
      <c r="V78" s="93"/>
      <c r="W78" s="94" t="str">
        <f t="shared" si="11"/>
        <v/>
      </c>
      <c r="X78" s="93"/>
      <c r="Y78" s="93"/>
      <c r="Z78" s="93"/>
      <c r="AA78" s="94" t="str">
        <f t="shared" si="12"/>
        <v/>
      </c>
      <c r="AB78" s="57"/>
      <c r="AC78" s="57"/>
      <c r="AD78" s="57"/>
      <c r="AE78" s="94" t="str">
        <f t="shared" si="13"/>
        <v/>
      </c>
      <c r="AF78" s="57"/>
      <c r="AG78" s="57"/>
      <c r="AH78" s="94" t="str">
        <f t="shared" si="14"/>
        <v/>
      </c>
      <c r="AI78" s="57">
        <v>18.5</v>
      </c>
      <c r="AJ78" s="57">
        <v>8900</v>
      </c>
      <c r="AK78" s="94">
        <f t="shared" si="15"/>
        <v>481.08108108108109</v>
      </c>
    </row>
    <row r="79" spans="1:37" s="97" customFormat="1" x14ac:dyDescent="0.3">
      <c r="A79" s="38" t="s">
        <v>352</v>
      </c>
      <c r="B79" s="96"/>
      <c r="C79" s="93" t="s">
        <v>527</v>
      </c>
      <c r="D79" s="96" t="s">
        <v>1</v>
      </c>
      <c r="E79" s="93"/>
      <c r="F79" s="93"/>
      <c r="G79" s="94" t="str">
        <f t="shared" si="8"/>
        <v/>
      </c>
      <c r="H79" s="93"/>
      <c r="I79" s="93"/>
      <c r="J79" s="93"/>
      <c r="K79" s="93"/>
      <c r="L79" s="93"/>
      <c r="M79" s="93"/>
      <c r="N79" s="93"/>
      <c r="O79" s="94" t="str">
        <f t="shared" si="9"/>
        <v/>
      </c>
      <c r="P79" s="93"/>
      <c r="Q79" s="93"/>
      <c r="R79" s="93"/>
      <c r="S79" s="94" t="str">
        <f t="shared" si="10"/>
        <v/>
      </c>
      <c r="T79" s="93"/>
      <c r="U79" s="93"/>
      <c r="V79" s="93"/>
      <c r="W79" s="94" t="str">
        <f t="shared" si="11"/>
        <v/>
      </c>
      <c r="X79" s="93"/>
      <c r="Y79" s="93"/>
      <c r="Z79" s="93"/>
      <c r="AA79" s="94" t="str">
        <f t="shared" si="12"/>
        <v/>
      </c>
      <c r="AB79" s="57"/>
      <c r="AC79" s="57"/>
      <c r="AD79" s="57"/>
      <c r="AE79" s="94" t="str">
        <f t="shared" si="13"/>
        <v/>
      </c>
      <c r="AF79" s="57"/>
      <c r="AG79" s="57"/>
      <c r="AH79" s="94" t="str">
        <f t="shared" si="14"/>
        <v/>
      </c>
      <c r="AI79" s="57">
        <v>4.5</v>
      </c>
      <c r="AJ79" s="57">
        <v>1600</v>
      </c>
      <c r="AK79" s="94">
        <f t="shared" si="15"/>
        <v>355.55555555555554</v>
      </c>
    </row>
    <row r="80" spans="1:37" s="97" customFormat="1" x14ac:dyDescent="0.3">
      <c r="A80" s="38" t="s">
        <v>351</v>
      </c>
      <c r="B80" s="96"/>
      <c r="C80" s="93" t="s">
        <v>527</v>
      </c>
      <c r="D80" s="96" t="s">
        <v>1</v>
      </c>
      <c r="E80" s="93"/>
      <c r="F80" s="93"/>
      <c r="G80" s="94" t="str">
        <f t="shared" si="8"/>
        <v/>
      </c>
      <c r="H80" s="93"/>
      <c r="I80" s="93"/>
      <c r="J80" s="93"/>
      <c r="K80" s="93"/>
      <c r="L80" s="93"/>
      <c r="M80" s="93"/>
      <c r="N80" s="93"/>
      <c r="O80" s="94" t="str">
        <f t="shared" si="9"/>
        <v/>
      </c>
      <c r="P80" s="93"/>
      <c r="Q80" s="93"/>
      <c r="R80" s="93"/>
      <c r="S80" s="94" t="str">
        <f t="shared" si="10"/>
        <v/>
      </c>
      <c r="T80" s="93"/>
      <c r="U80" s="93"/>
      <c r="V80" s="93"/>
      <c r="W80" s="94" t="str">
        <f t="shared" si="11"/>
        <v/>
      </c>
      <c r="X80" s="93"/>
      <c r="Y80" s="93"/>
      <c r="Z80" s="93"/>
      <c r="AA80" s="94" t="str">
        <f t="shared" si="12"/>
        <v/>
      </c>
      <c r="AB80" s="57"/>
      <c r="AC80" s="57"/>
      <c r="AD80" s="57"/>
      <c r="AE80" s="94" t="str">
        <f t="shared" si="13"/>
        <v/>
      </c>
      <c r="AF80" s="57"/>
      <c r="AG80" s="57"/>
      <c r="AH80" s="94" t="str">
        <f t="shared" si="14"/>
        <v/>
      </c>
      <c r="AI80" s="57">
        <v>12</v>
      </c>
      <c r="AJ80" s="57">
        <v>1900</v>
      </c>
      <c r="AK80" s="94">
        <f t="shared" si="15"/>
        <v>158.33333333333334</v>
      </c>
    </row>
    <row r="81" spans="1:109" s="97" customFormat="1" x14ac:dyDescent="0.3">
      <c r="A81" s="38" t="s">
        <v>349</v>
      </c>
      <c r="B81" s="96"/>
      <c r="C81" s="93" t="s">
        <v>527</v>
      </c>
      <c r="D81" s="96" t="s">
        <v>1</v>
      </c>
      <c r="E81" s="93"/>
      <c r="F81" s="93"/>
      <c r="G81" s="94" t="str">
        <f t="shared" si="8"/>
        <v/>
      </c>
      <c r="H81" s="93"/>
      <c r="I81" s="93"/>
      <c r="J81" s="93"/>
      <c r="K81" s="93"/>
      <c r="L81" s="93"/>
      <c r="M81" s="93"/>
      <c r="N81" s="93"/>
      <c r="O81" s="94" t="str">
        <f t="shared" si="9"/>
        <v/>
      </c>
      <c r="P81" s="93"/>
      <c r="Q81" s="93"/>
      <c r="R81" s="93"/>
      <c r="S81" s="94" t="str">
        <f t="shared" si="10"/>
        <v/>
      </c>
      <c r="T81" s="93"/>
      <c r="U81" s="93"/>
      <c r="V81" s="93"/>
      <c r="W81" s="94" t="str">
        <f t="shared" si="11"/>
        <v/>
      </c>
      <c r="X81" s="93"/>
      <c r="Y81" s="93"/>
      <c r="Z81" s="93"/>
      <c r="AA81" s="94" t="str">
        <f t="shared" si="12"/>
        <v/>
      </c>
      <c r="AB81" s="57"/>
      <c r="AC81" s="57"/>
      <c r="AD81" s="57"/>
      <c r="AE81" s="94" t="str">
        <f t="shared" si="13"/>
        <v/>
      </c>
      <c r="AF81" s="57"/>
      <c r="AG81" s="57"/>
      <c r="AH81" s="94" t="str">
        <f t="shared" si="14"/>
        <v/>
      </c>
      <c r="AI81" s="57">
        <v>80.5</v>
      </c>
      <c r="AJ81" s="57">
        <v>13400</v>
      </c>
      <c r="AK81" s="94">
        <f t="shared" si="15"/>
        <v>166.45962732919256</v>
      </c>
    </row>
    <row r="82" spans="1:109" s="97" customFormat="1" x14ac:dyDescent="0.3">
      <c r="A82" s="38" t="s">
        <v>350</v>
      </c>
      <c r="B82" s="96"/>
      <c r="C82" s="93" t="s">
        <v>527</v>
      </c>
      <c r="D82" s="96" t="s">
        <v>1</v>
      </c>
      <c r="E82" s="93"/>
      <c r="F82" s="93"/>
      <c r="G82" s="94" t="str">
        <f t="shared" si="8"/>
        <v/>
      </c>
      <c r="H82" s="93"/>
      <c r="I82" s="93"/>
      <c r="J82" s="93"/>
      <c r="K82" s="93"/>
      <c r="L82" s="93"/>
      <c r="M82" s="93"/>
      <c r="N82" s="93"/>
      <c r="O82" s="94" t="str">
        <f t="shared" si="9"/>
        <v/>
      </c>
      <c r="P82" s="93"/>
      <c r="Q82" s="93"/>
      <c r="R82" s="93"/>
      <c r="S82" s="94" t="str">
        <f t="shared" si="10"/>
        <v/>
      </c>
      <c r="T82" s="93"/>
      <c r="U82" s="93"/>
      <c r="V82" s="93"/>
      <c r="W82" s="94" t="str">
        <f t="shared" si="11"/>
        <v/>
      </c>
      <c r="X82" s="93"/>
      <c r="Y82" s="93"/>
      <c r="Z82" s="93"/>
      <c r="AA82" s="94" t="str">
        <f t="shared" si="12"/>
        <v/>
      </c>
      <c r="AB82" s="57"/>
      <c r="AC82" s="57"/>
      <c r="AD82" s="57"/>
      <c r="AE82" s="94" t="str">
        <f t="shared" si="13"/>
        <v/>
      </c>
      <c r="AF82" s="57"/>
      <c r="AG82" s="57"/>
      <c r="AH82" s="94" t="str">
        <f t="shared" si="14"/>
        <v/>
      </c>
      <c r="AI82" s="57">
        <v>14</v>
      </c>
      <c r="AJ82" s="57">
        <v>2200</v>
      </c>
      <c r="AK82" s="94">
        <f t="shared" si="15"/>
        <v>157.14285714285714</v>
      </c>
    </row>
    <row r="83" spans="1:109" s="97" customFormat="1" x14ac:dyDescent="0.3">
      <c r="A83" s="38" t="s">
        <v>348</v>
      </c>
      <c r="B83" s="96"/>
      <c r="C83" s="93" t="s">
        <v>527</v>
      </c>
      <c r="D83" s="96" t="s">
        <v>1</v>
      </c>
      <c r="E83" s="93"/>
      <c r="F83" s="93"/>
      <c r="G83" s="94" t="str">
        <f t="shared" si="8"/>
        <v/>
      </c>
      <c r="H83" s="93"/>
      <c r="I83" s="93"/>
      <c r="J83" s="93"/>
      <c r="K83" s="93"/>
      <c r="L83" s="93"/>
      <c r="M83" s="93"/>
      <c r="N83" s="93"/>
      <c r="O83" s="94" t="str">
        <f t="shared" si="9"/>
        <v/>
      </c>
      <c r="P83" s="93"/>
      <c r="Q83" s="93"/>
      <c r="R83" s="93"/>
      <c r="S83" s="94" t="str">
        <f t="shared" si="10"/>
        <v/>
      </c>
      <c r="T83" s="93"/>
      <c r="U83" s="93"/>
      <c r="V83" s="93"/>
      <c r="W83" s="94" t="str">
        <f t="shared" si="11"/>
        <v/>
      </c>
      <c r="X83" s="93"/>
      <c r="Y83" s="93"/>
      <c r="Z83" s="93"/>
      <c r="AA83" s="94" t="str">
        <f t="shared" si="12"/>
        <v/>
      </c>
      <c r="AB83" s="57"/>
      <c r="AC83" s="57"/>
      <c r="AD83" s="57"/>
      <c r="AE83" s="94" t="str">
        <f t="shared" si="13"/>
        <v/>
      </c>
      <c r="AF83" s="57"/>
      <c r="AG83" s="57"/>
      <c r="AH83" s="94" t="str">
        <f t="shared" si="14"/>
        <v/>
      </c>
      <c r="AI83" s="57">
        <v>36.5</v>
      </c>
      <c r="AJ83" s="57">
        <v>4400</v>
      </c>
      <c r="AK83" s="94">
        <f t="shared" si="15"/>
        <v>120.54794520547945</v>
      </c>
    </row>
    <row r="84" spans="1:109" s="97" customFormat="1" x14ac:dyDescent="0.3">
      <c r="A84" s="38" t="s">
        <v>346</v>
      </c>
      <c r="B84" s="96"/>
      <c r="C84" s="93" t="s">
        <v>527</v>
      </c>
      <c r="D84" s="96" t="s">
        <v>1</v>
      </c>
      <c r="E84" s="93"/>
      <c r="F84" s="93"/>
      <c r="G84" s="94" t="str">
        <f t="shared" si="8"/>
        <v/>
      </c>
      <c r="H84" s="93"/>
      <c r="I84" s="93"/>
      <c r="J84" s="93"/>
      <c r="K84" s="93"/>
      <c r="L84" s="93"/>
      <c r="M84" s="93"/>
      <c r="N84" s="93"/>
      <c r="O84" s="94" t="str">
        <f t="shared" si="9"/>
        <v/>
      </c>
      <c r="P84" s="93"/>
      <c r="Q84" s="93"/>
      <c r="R84" s="93"/>
      <c r="S84" s="94" t="str">
        <f t="shared" si="10"/>
        <v/>
      </c>
      <c r="T84" s="93"/>
      <c r="U84" s="93"/>
      <c r="V84" s="93"/>
      <c r="W84" s="94" t="str">
        <f t="shared" si="11"/>
        <v/>
      </c>
      <c r="X84" s="93"/>
      <c r="Y84" s="93"/>
      <c r="Z84" s="93"/>
      <c r="AA84" s="94" t="str">
        <f t="shared" si="12"/>
        <v/>
      </c>
      <c r="AB84" s="57"/>
      <c r="AC84" s="57"/>
      <c r="AD84" s="57"/>
      <c r="AE84" s="94" t="str">
        <f t="shared" si="13"/>
        <v/>
      </c>
      <c r="AF84" s="57"/>
      <c r="AG84" s="57"/>
      <c r="AH84" s="94" t="str">
        <f t="shared" si="14"/>
        <v/>
      </c>
      <c r="AI84" s="57">
        <v>907</v>
      </c>
      <c r="AJ84" s="57">
        <v>9600</v>
      </c>
      <c r="AK84" s="94">
        <f t="shared" si="15"/>
        <v>10.584343991179713</v>
      </c>
    </row>
    <row r="85" spans="1:109" s="97" customFormat="1" x14ac:dyDescent="0.3">
      <c r="A85" s="38" t="s">
        <v>355</v>
      </c>
      <c r="B85" s="96"/>
      <c r="C85" s="93" t="s">
        <v>527</v>
      </c>
      <c r="D85" s="96" t="s">
        <v>1</v>
      </c>
      <c r="E85" s="93"/>
      <c r="F85" s="93"/>
      <c r="G85" s="94" t="str">
        <f t="shared" si="8"/>
        <v/>
      </c>
      <c r="H85" s="93"/>
      <c r="I85" s="93"/>
      <c r="J85" s="93"/>
      <c r="K85" s="93"/>
      <c r="L85" s="93"/>
      <c r="M85" s="93"/>
      <c r="N85" s="93"/>
      <c r="O85" s="94" t="str">
        <f t="shared" si="9"/>
        <v/>
      </c>
      <c r="P85" s="93"/>
      <c r="Q85" s="93"/>
      <c r="R85" s="93"/>
      <c r="S85" s="94" t="str">
        <f t="shared" si="10"/>
        <v/>
      </c>
      <c r="T85" s="93"/>
      <c r="U85" s="93"/>
      <c r="V85" s="93"/>
      <c r="W85" s="94" t="str">
        <f t="shared" si="11"/>
        <v/>
      </c>
      <c r="X85" s="93"/>
      <c r="Y85" s="93"/>
      <c r="Z85" s="93"/>
      <c r="AA85" s="94" t="str">
        <f t="shared" si="12"/>
        <v/>
      </c>
      <c r="AB85" s="57"/>
      <c r="AC85" s="57"/>
      <c r="AD85" s="57"/>
      <c r="AE85" s="94" t="str">
        <f t="shared" si="13"/>
        <v/>
      </c>
      <c r="AF85" s="57"/>
      <c r="AG85" s="57"/>
      <c r="AH85" s="94" t="str">
        <f t="shared" si="14"/>
        <v/>
      </c>
      <c r="AI85" s="57">
        <v>1126</v>
      </c>
      <c r="AJ85" s="57">
        <v>7500</v>
      </c>
      <c r="AK85" s="94">
        <f t="shared" si="15"/>
        <v>6.660746003552398</v>
      </c>
    </row>
    <row r="86" spans="1:109" s="97" customFormat="1" x14ac:dyDescent="0.3">
      <c r="A86" s="38" t="s">
        <v>347</v>
      </c>
      <c r="B86" s="96"/>
      <c r="C86" s="93" t="s">
        <v>527</v>
      </c>
      <c r="D86" s="96" t="s">
        <v>1</v>
      </c>
      <c r="E86" s="93"/>
      <c r="F86" s="93"/>
      <c r="G86" s="94" t="str">
        <f t="shared" si="8"/>
        <v/>
      </c>
      <c r="H86" s="93"/>
      <c r="I86" s="93"/>
      <c r="J86" s="93"/>
      <c r="K86" s="93"/>
      <c r="L86" s="93"/>
      <c r="M86" s="93"/>
      <c r="N86" s="93"/>
      <c r="O86" s="94" t="str">
        <f t="shared" si="9"/>
        <v/>
      </c>
      <c r="P86" s="93"/>
      <c r="Q86" s="93"/>
      <c r="R86" s="93"/>
      <c r="S86" s="94" t="str">
        <f t="shared" si="10"/>
        <v/>
      </c>
      <c r="T86" s="93"/>
      <c r="U86" s="93"/>
      <c r="V86" s="93"/>
      <c r="W86" s="94" t="str">
        <f t="shared" si="11"/>
        <v/>
      </c>
      <c r="X86" s="93"/>
      <c r="Y86" s="93"/>
      <c r="Z86" s="93"/>
      <c r="AA86" s="94" t="str">
        <f t="shared" si="12"/>
        <v/>
      </c>
      <c r="AB86" s="57"/>
      <c r="AC86" s="57"/>
      <c r="AD86" s="57"/>
      <c r="AE86" s="94" t="str">
        <f t="shared" si="13"/>
        <v/>
      </c>
      <c r="AF86" s="57"/>
      <c r="AG86" s="57"/>
      <c r="AH86" s="94" t="str">
        <f t="shared" si="14"/>
        <v/>
      </c>
      <c r="AI86" s="57">
        <v>90</v>
      </c>
      <c r="AJ86" s="57">
        <v>31300</v>
      </c>
      <c r="AK86" s="94">
        <f t="shared" si="15"/>
        <v>347.77777777777777</v>
      </c>
    </row>
    <row r="87" spans="1:109" x14ac:dyDescent="0.3"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57"/>
    </row>
    <row r="88" spans="1:109" x14ac:dyDescent="0.3">
      <c r="A88" s="43" t="s">
        <v>293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38"/>
      <c r="AC88" s="38"/>
      <c r="AD88" s="38"/>
      <c r="AE88" s="38"/>
      <c r="AF88" s="38"/>
      <c r="AG88" s="38"/>
      <c r="AH88" s="38"/>
      <c r="AI88" s="38"/>
      <c r="AJ88" s="57">
        <v>1555512</v>
      </c>
    </row>
    <row r="89" spans="1:109" x14ac:dyDescent="0.3">
      <c r="A89" s="43"/>
    </row>
    <row r="91" spans="1:109" x14ac:dyDescent="0.3">
      <c r="A91" s="29" t="s">
        <v>99</v>
      </c>
      <c r="B91" s="47"/>
      <c r="C91" s="63"/>
    </row>
    <row r="92" spans="1:109" x14ac:dyDescent="0.3">
      <c r="A92" s="47" t="s">
        <v>55</v>
      </c>
      <c r="B92" s="47">
        <v>1</v>
      </c>
      <c r="C92" s="30" t="s">
        <v>26</v>
      </c>
      <c r="D92" s="65">
        <v>108</v>
      </c>
      <c r="E92" s="30" t="s">
        <v>100</v>
      </c>
      <c r="F92" s="48">
        <f>D92/F102</f>
        <v>4.8214285714285716E-2</v>
      </c>
      <c r="G92" s="31" t="s">
        <v>31</v>
      </c>
      <c r="H92" s="65"/>
      <c r="I92" s="30"/>
      <c r="J92" s="30"/>
      <c r="K92" s="30"/>
      <c r="L92" s="47"/>
      <c r="M92" s="66"/>
      <c r="N92" s="66"/>
      <c r="O92" s="47"/>
      <c r="P92" s="30"/>
      <c r="Q92" s="30"/>
      <c r="R92" s="30"/>
      <c r="S92" s="30"/>
      <c r="T92" s="47"/>
      <c r="U92" s="65"/>
      <c r="V92" s="65"/>
      <c r="W92" s="39"/>
      <c r="X92" s="30"/>
      <c r="Y92" s="30"/>
      <c r="Z92" s="30"/>
      <c r="AA92" s="30"/>
      <c r="AB92" s="51"/>
      <c r="AC92" s="47"/>
      <c r="AD92" s="47"/>
      <c r="AE92" s="65"/>
      <c r="AF92" s="65"/>
      <c r="AG92" s="65"/>
      <c r="AH92" s="30"/>
      <c r="AI92" s="30"/>
      <c r="AJ92" s="47"/>
      <c r="AK92" s="47"/>
      <c r="AL92" s="30"/>
      <c r="AM92" s="30"/>
      <c r="AN92" s="47"/>
      <c r="AO92" s="30"/>
      <c r="AP92" s="65"/>
      <c r="AQ92" s="30"/>
      <c r="AR92" s="30"/>
      <c r="AS92" s="47"/>
      <c r="AT92" s="47"/>
      <c r="AU92" s="47"/>
      <c r="AV92" s="30"/>
      <c r="AW92" s="30"/>
      <c r="AX92" s="47"/>
      <c r="AY92" s="30"/>
      <c r="AZ92" s="65"/>
      <c r="BA92" s="30"/>
      <c r="BB92" s="47"/>
      <c r="BC92" s="30"/>
      <c r="BD92" s="47"/>
      <c r="BE92" s="65"/>
      <c r="BF92" s="30"/>
    </row>
    <row r="93" spans="1:109" s="63" customFormat="1" x14ac:dyDescent="0.3">
      <c r="A93" s="47" t="s">
        <v>55</v>
      </c>
      <c r="B93" s="47">
        <v>1</v>
      </c>
      <c r="C93" s="30" t="s">
        <v>101</v>
      </c>
      <c r="D93" s="65">
        <v>32.5</v>
      </c>
      <c r="E93" s="30" t="s">
        <v>100</v>
      </c>
      <c r="F93" s="47"/>
      <c r="G93" s="47"/>
      <c r="H93" s="65"/>
      <c r="I93" s="30"/>
      <c r="J93" s="30"/>
      <c r="K93" s="30"/>
      <c r="L93" s="47"/>
      <c r="M93" s="47"/>
      <c r="N93" s="47"/>
      <c r="O93" s="47"/>
      <c r="P93" s="30"/>
      <c r="Q93" s="30"/>
      <c r="R93" s="30"/>
      <c r="S93" s="30"/>
      <c r="U93" s="65"/>
      <c r="V93" s="65"/>
      <c r="W93" s="47"/>
      <c r="X93" s="30"/>
      <c r="Y93" s="30"/>
      <c r="Z93" s="30"/>
      <c r="AA93" s="30"/>
      <c r="AB93" s="51"/>
      <c r="AC93" s="47"/>
      <c r="AD93" s="47"/>
      <c r="AE93" s="65"/>
      <c r="AF93" s="65"/>
      <c r="AG93" s="65"/>
      <c r="AH93" s="30"/>
      <c r="AI93" s="30"/>
      <c r="AJ93" s="47"/>
      <c r="AK93" s="47"/>
      <c r="AL93" s="30"/>
      <c r="AM93" s="30"/>
      <c r="AN93" s="47"/>
      <c r="AO93" s="30"/>
      <c r="AP93" s="65"/>
      <c r="AQ93" s="30"/>
      <c r="AR93" s="30"/>
      <c r="AS93" s="47"/>
      <c r="AT93" s="47"/>
      <c r="AU93" s="47"/>
      <c r="AV93" s="30"/>
      <c r="AW93" s="30"/>
      <c r="AX93" s="47"/>
      <c r="AY93" s="30"/>
      <c r="AZ93" s="65"/>
      <c r="BA93" s="30"/>
      <c r="BB93" s="47"/>
      <c r="BC93" s="30"/>
      <c r="BD93" s="47"/>
      <c r="BE93" s="65"/>
      <c r="BF93" s="30"/>
      <c r="BH93" s="30"/>
      <c r="BJ93" s="30"/>
      <c r="BM93" s="47"/>
      <c r="BP93" s="30"/>
      <c r="BU93" s="30"/>
      <c r="CA93" s="30"/>
      <c r="CE93" s="30"/>
      <c r="CK93" s="30"/>
      <c r="CN93" s="30"/>
      <c r="CR93" s="30"/>
      <c r="CU93" s="30"/>
      <c r="CX93" s="30"/>
      <c r="DB93" s="30"/>
      <c r="DE93" s="30"/>
    </row>
    <row r="94" spans="1:109" s="47" customFormat="1" x14ac:dyDescent="0.3">
      <c r="B94" s="47">
        <v>1</v>
      </c>
      <c r="C94" s="30" t="s">
        <v>102</v>
      </c>
      <c r="D94" s="65">
        <v>6.5</v>
      </c>
      <c r="E94" s="31" t="s">
        <v>100</v>
      </c>
      <c r="G94" s="30"/>
      <c r="H94" s="65"/>
      <c r="I94" s="30"/>
      <c r="J94" s="30"/>
      <c r="K94" s="31"/>
      <c r="L94" s="30"/>
      <c r="M94" s="65"/>
      <c r="N94" s="65"/>
      <c r="O94" s="30"/>
      <c r="P94" s="30"/>
      <c r="Q94" s="30"/>
      <c r="R94" s="30"/>
      <c r="S94" s="31"/>
      <c r="T94" s="63"/>
      <c r="U94" s="65"/>
      <c r="V94" s="65"/>
      <c r="W94" s="63"/>
      <c r="X94" s="30"/>
      <c r="Y94" s="30"/>
      <c r="Z94" s="30"/>
      <c r="AA94" s="31"/>
      <c r="AB94" s="63"/>
      <c r="AC94" s="63"/>
      <c r="AD94" s="63"/>
      <c r="AE94" s="65"/>
      <c r="AF94" s="65"/>
      <c r="AG94" s="65"/>
      <c r="AH94" s="31"/>
      <c r="AI94" s="30"/>
      <c r="AJ94" s="63"/>
      <c r="AK94" s="51"/>
      <c r="AL94" s="31"/>
      <c r="AM94" s="30"/>
      <c r="AN94" s="63"/>
      <c r="AO94" s="31"/>
      <c r="AP94" s="65"/>
      <c r="AQ94" s="30"/>
      <c r="AR94" s="31"/>
      <c r="AS94" s="63"/>
      <c r="AT94" s="63"/>
      <c r="AU94" s="63"/>
      <c r="AV94" s="31"/>
      <c r="AW94" s="30"/>
      <c r="AX94" s="63"/>
      <c r="AY94" s="31"/>
      <c r="AZ94" s="65"/>
      <c r="BA94" s="30"/>
      <c r="BB94" s="63"/>
      <c r="BC94" s="31"/>
      <c r="BD94" s="63"/>
      <c r="BE94" s="65"/>
      <c r="BF94" s="30"/>
      <c r="BG94" s="30"/>
      <c r="BK94" s="30"/>
      <c r="BM94" s="65"/>
      <c r="BN94" s="30"/>
      <c r="BO94" s="30"/>
      <c r="BR94" s="30"/>
      <c r="BS94" s="65"/>
      <c r="BT94" s="30"/>
      <c r="BV94" s="30"/>
      <c r="BX94" s="65"/>
      <c r="BY94" s="30"/>
      <c r="BZ94" s="30"/>
      <c r="CC94" s="30"/>
      <c r="CD94" s="30"/>
      <c r="CF94" s="30"/>
      <c r="CG94" s="65"/>
      <c r="CI94" s="30"/>
      <c r="CJ94" s="30"/>
      <c r="CL94" s="65"/>
      <c r="CM94" s="30"/>
      <c r="CQ94" s="30"/>
      <c r="CT94" s="30"/>
      <c r="CW94" s="30"/>
      <c r="DA94" s="30"/>
      <c r="DD94" s="30"/>
    </row>
    <row r="95" spans="1:109" s="47" customFormat="1" x14ac:dyDescent="0.3">
      <c r="B95" s="47">
        <v>1</v>
      </c>
      <c r="C95" s="30" t="s">
        <v>17</v>
      </c>
      <c r="D95" s="65">
        <v>112</v>
      </c>
      <c r="E95" s="30" t="s">
        <v>56</v>
      </c>
      <c r="G95" s="30"/>
      <c r="H95" s="65"/>
      <c r="I95" s="30"/>
      <c r="J95" s="30"/>
      <c r="K95" s="30"/>
      <c r="L95" s="30"/>
      <c r="M95" s="65"/>
      <c r="N95" s="65"/>
      <c r="O95" s="30"/>
      <c r="P95" s="30"/>
      <c r="Q95" s="30"/>
      <c r="R95" s="30"/>
      <c r="S95" s="30"/>
      <c r="T95" s="63"/>
      <c r="U95" s="65"/>
      <c r="V95" s="65"/>
      <c r="W95" s="63"/>
      <c r="X95" s="30"/>
      <c r="Y95" s="30"/>
      <c r="Z95" s="30"/>
      <c r="AA95" s="30"/>
      <c r="AB95" s="63"/>
      <c r="AC95" s="63"/>
      <c r="AD95" s="63"/>
      <c r="AE95" s="65"/>
      <c r="AF95" s="65"/>
      <c r="AG95" s="65"/>
      <c r="AH95" s="30"/>
      <c r="AI95" s="30"/>
      <c r="AJ95" s="63"/>
      <c r="AK95" s="51"/>
      <c r="AL95" s="30"/>
      <c r="AM95" s="30"/>
      <c r="AN95" s="63"/>
      <c r="AO95" s="30"/>
      <c r="AP95" s="65"/>
      <c r="AQ95" s="30"/>
      <c r="AR95" s="30"/>
      <c r="AS95" s="63"/>
      <c r="AT95" s="63"/>
      <c r="AU95" s="63"/>
      <c r="AV95" s="30"/>
      <c r="AW95" s="30"/>
      <c r="AX95" s="63"/>
      <c r="AY95" s="30"/>
      <c r="AZ95" s="65"/>
      <c r="BA95" s="30"/>
      <c r="BB95" s="63"/>
      <c r="BC95" s="30"/>
      <c r="BD95" s="63"/>
      <c r="BE95" s="65"/>
      <c r="BF95" s="30"/>
      <c r="BG95" s="30"/>
      <c r="BK95" s="30"/>
      <c r="BM95" s="65"/>
      <c r="BN95" s="30"/>
      <c r="BO95" s="30"/>
      <c r="BR95" s="30"/>
      <c r="BS95" s="65"/>
      <c r="BT95" s="30"/>
      <c r="BV95" s="30"/>
      <c r="BX95" s="65"/>
      <c r="BY95" s="30"/>
      <c r="BZ95" s="30"/>
      <c r="CC95" s="30"/>
      <c r="CD95" s="30"/>
      <c r="CF95" s="30"/>
      <c r="CG95" s="65"/>
      <c r="CI95" s="30"/>
      <c r="CJ95" s="30"/>
      <c r="CL95" s="65"/>
      <c r="CM95" s="30"/>
      <c r="CQ95" s="30"/>
      <c r="CT95" s="30"/>
      <c r="CW95" s="30"/>
      <c r="DA95" s="30"/>
      <c r="DD95" s="30"/>
    </row>
    <row r="96" spans="1:109" s="63" customFormat="1" x14ac:dyDescent="0.3">
      <c r="A96" s="47"/>
      <c r="B96" s="47">
        <v>1</v>
      </c>
      <c r="C96" s="30" t="s">
        <v>17</v>
      </c>
      <c r="D96" s="65">
        <f>D95/D94</f>
        <v>17.23076923076923</v>
      </c>
      <c r="E96" s="30" t="s">
        <v>102</v>
      </c>
      <c r="F96" s="47"/>
      <c r="G96" s="65"/>
      <c r="H96" s="65"/>
      <c r="I96" s="30"/>
      <c r="J96" s="30"/>
      <c r="K96" s="30"/>
      <c r="L96" s="65"/>
      <c r="O96" s="65"/>
      <c r="P96" s="30"/>
      <c r="Q96" s="30"/>
      <c r="R96" s="30"/>
      <c r="S96" s="30"/>
      <c r="U96" s="65"/>
      <c r="V96" s="65"/>
      <c r="W96" s="65"/>
      <c r="X96" s="30"/>
      <c r="Y96" s="30"/>
      <c r="Z96" s="30"/>
      <c r="AA96" s="30"/>
      <c r="AE96" s="65"/>
      <c r="AF96" s="65"/>
      <c r="AG96" s="65"/>
      <c r="AH96" s="30"/>
      <c r="AI96" s="30"/>
      <c r="AJ96" s="51"/>
      <c r="AK96" s="47"/>
      <c r="AL96" s="30"/>
      <c r="AM96" s="30"/>
      <c r="AO96" s="30"/>
      <c r="AP96" s="65"/>
      <c r="AQ96" s="30"/>
      <c r="AR96" s="30"/>
      <c r="AV96" s="30"/>
      <c r="AW96" s="30"/>
      <c r="AY96" s="30"/>
      <c r="AZ96" s="65"/>
      <c r="BA96" s="30"/>
      <c r="BC96" s="30"/>
      <c r="BE96" s="65"/>
      <c r="BF96" s="30"/>
      <c r="BG96" s="31"/>
      <c r="BK96" s="31"/>
      <c r="BM96" s="65"/>
      <c r="BN96" s="30"/>
      <c r="BO96" s="31"/>
      <c r="BR96" s="31"/>
      <c r="BS96" s="65"/>
      <c r="BT96" s="30"/>
      <c r="BV96" s="31"/>
      <c r="BX96" s="65"/>
      <c r="BY96" s="31"/>
      <c r="BZ96" s="30"/>
      <c r="CC96" s="31"/>
      <c r="CD96" s="30"/>
      <c r="CF96" s="31"/>
      <c r="CG96" s="65"/>
      <c r="CI96" s="31"/>
      <c r="CJ96" s="30"/>
      <c r="CL96" s="65"/>
      <c r="CM96" s="30"/>
      <c r="CQ96" s="30"/>
      <c r="CT96" s="30"/>
      <c r="CW96" s="30"/>
      <c r="DA96" s="30"/>
      <c r="DD96" s="30"/>
    </row>
    <row r="97" spans="1:108" s="63" customFormat="1" x14ac:dyDescent="0.3">
      <c r="A97" s="47"/>
      <c r="B97" s="109">
        <v>1</v>
      </c>
      <c r="C97" s="110" t="s">
        <v>103</v>
      </c>
      <c r="D97" s="111">
        <v>130</v>
      </c>
      <c r="E97" s="112" t="s">
        <v>100</v>
      </c>
      <c r="F97" s="32"/>
      <c r="H97" s="67"/>
      <c r="I97" s="30"/>
      <c r="J97" s="30"/>
      <c r="K97" s="45"/>
      <c r="P97" s="30"/>
      <c r="Q97" s="30"/>
      <c r="R97" s="30"/>
      <c r="S97" s="45"/>
      <c r="U97" s="67"/>
      <c r="V97" s="67"/>
      <c r="X97" s="30"/>
      <c r="Y97" s="30"/>
      <c r="Z97" s="30"/>
      <c r="AA97" s="45"/>
      <c r="AE97" s="67"/>
      <c r="AF97" s="67"/>
      <c r="AG97" s="67"/>
      <c r="AH97" s="45"/>
      <c r="AI97" s="30"/>
      <c r="AK97" s="47"/>
      <c r="AL97" s="45"/>
      <c r="AM97" s="30"/>
      <c r="AN97" s="47"/>
      <c r="AO97" s="45"/>
      <c r="AP97" s="67"/>
      <c r="AQ97" s="30"/>
      <c r="AR97" s="45"/>
      <c r="AS97" s="47"/>
      <c r="AT97" s="47"/>
      <c r="AU97" s="47"/>
      <c r="AV97" s="45"/>
      <c r="AW97" s="30"/>
      <c r="AX97" s="47"/>
      <c r="AY97" s="45"/>
      <c r="AZ97" s="67"/>
      <c r="BA97" s="30"/>
      <c r="BB97" s="47"/>
      <c r="BC97" s="45"/>
      <c r="BD97" s="47"/>
      <c r="BE97" s="67"/>
      <c r="BF97" s="30"/>
      <c r="BG97" s="30"/>
      <c r="BK97" s="30"/>
      <c r="BM97" s="65"/>
      <c r="BN97" s="30"/>
      <c r="BO97" s="30"/>
      <c r="BR97" s="30"/>
      <c r="BS97" s="65"/>
      <c r="BT97" s="30"/>
      <c r="BV97" s="30"/>
      <c r="BX97" s="65"/>
      <c r="BY97" s="30"/>
      <c r="BZ97" s="30"/>
      <c r="CC97" s="30"/>
      <c r="CD97" s="30"/>
      <c r="CF97" s="30"/>
      <c r="CG97" s="65"/>
      <c r="CI97" s="30"/>
      <c r="CJ97" s="30"/>
      <c r="CL97" s="65"/>
      <c r="CM97" s="30"/>
      <c r="CQ97" s="30"/>
      <c r="CT97" s="30"/>
      <c r="CW97" s="30"/>
      <c r="DA97" s="30"/>
      <c r="DD97" s="30"/>
    </row>
    <row r="98" spans="1:108" s="63" customFormat="1" x14ac:dyDescent="0.3">
      <c r="A98" s="47"/>
      <c r="B98" s="109"/>
      <c r="C98" s="110"/>
      <c r="D98" s="111"/>
      <c r="E98" s="112"/>
      <c r="F98" s="47"/>
      <c r="G98" s="47"/>
      <c r="H98" s="67"/>
      <c r="K98" s="45"/>
      <c r="L98" s="47"/>
      <c r="M98" s="47"/>
      <c r="N98" s="47"/>
      <c r="O98" s="47"/>
      <c r="S98" s="45"/>
      <c r="T98" s="47"/>
      <c r="U98" s="67"/>
      <c r="V98" s="67"/>
      <c r="W98" s="47"/>
      <c r="AA98" s="45"/>
      <c r="AB98" s="47"/>
      <c r="AC98" s="47"/>
      <c r="AD98" s="47"/>
      <c r="AE98" s="67"/>
      <c r="AF98" s="67"/>
      <c r="AG98" s="67"/>
      <c r="AH98" s="45"/>
      <c r="AJ98" s="47"/>
      <c r="AK98" s="47"/>
      <c r="AL98" s="45"/>
      <c r="AN98" s="47"/>
      <c r="AO98" s="45"/>
      <c r="AP98" s="67"/>
      <c r="AR98" s="45"/>
      <c r="AS98" s="47"/>
      <c r="AT98" s="47"/>
      <c r="AU98" s="47"/>
      <c r="AV98" s="45"/>
      <c r="AX98" s="47"/>
      <c r="AY98" s="45"/>
      <c r="AZ98" s="67"/>
      <c r="BB98" s="47"/>
      <c r="BC98" s="45"/>
      <c r="BD98" s="47"/>
      <c r="BE98" s="67"/>
      <c r="BG98" s="30"/>
      <c r="BI98" s="51"/>
      <c r="BK98" s="30"/>
      <c r="BM98" s="65"/>
      <c r="BN98" s="30"/>
      <c r="BO98" s="30"/>
      <c r="BR98" s="30"/>
      <c r="BS98" s="65"/>
      <c r="BT98" s="30"/>
      <c r="BV98" s="30"/>
      <c r="BX98" s="65"/>
      <c r="BY98" s="30"/>
      <c r="BZ98" s="30"/>
      <c r="CC98" s="30"/>
      <c r="CD98" s="30"/>
      <c r="CF98" s="30"/>
      <c r="CG98" s="65"/>
      <c r="CI98" s="30"/>
      <c r="CJ98" s="30"/>
      <c r="CL98" s="65"/>
      <c r="CM98" s="30"/>
      <c r="CQ98" s="30"/>
      <c r="CT98" s="30"/>
      <c r="CW98" s="30"/>
      <c r="DA98" s="30"/>
      <c r="DD98" s="30"/>
    </row>
    <row r="99" spans="1:108" s="47" customFormat="1" ht="15" customHeight="1" x14ac:dyDescent="0.3">
      <c r="B99" s="68">
        <v>1</v>
      </c>
      <c r="C99" s="30" t="s">
        <v>104</v>
      </c>
      <c r="D99" s="65">
        <v>260</v>
      </c>
      <c r="E99" s="30" t="s">
        <v>100</v>
      </c>
      <c r="H99" s="65"/>
      <c r="I99" s="30"/>
      <c r="J99" s="30"/>
      <c r="K99" s="30"/>
      <c r="P99" s="30"/>
      <c r="Q99" s="30"/>
      <c r="R99" s="30"/>
      <c r="S99" s="30"/>
      <c r="U99" s="65"/>
      <c r="V99" s="65"/>
      <c r="X99" s="30"/>
      <c r="Y99" s="30"/>
      <c r="Z99" s="30"/>
      <c r="AA99" s="30"/>
      <c r="AE99" s="65"/>
      <c r="AF99" s="65"/>
      <c r="AG99" s="65"/>
      <c r="AH99" s="30"/>
      <c r="AI99" s="30"/>
      <c r="AL99" s="30"/>
      <c r="AM99" s="30"/>
      <c r="AO99" s="30"/>
      <c r="AP99" s="65"/>
      <c r="AQ99" s="30"/>
      <c r="AR99" s="30"/>
      <c r="AV99" s="30"/>
      <c r="AW99" s="30"/>
      <c r="AY99" s="30"/>
      <c r="AZ99" s="65"/>
      <c r="BA99" s="30"/>
      <c r="BC99" s="30"/>
      <c r="BE99" s="65"/>
      <c r="BF99" s="30"/>
      <c r="BG99" s="45"/>
      <c r="BK99" s="45"/>
      <c r="BM99" s="67"/>
      <c r="BN99" s="30"/>
      <c r="BO99" s="45"/>
      <c r="BR99" s="45"/>
      <c r="BS99" s="67"/>
      <c r="BT99" s="30"/>
      <c r="BV99" s="45"/>
      <c r="BX99" s="67"/>
      <c r="BY99" s="45"/>
      <c r="BZ99" s="30"/>
      <c r="CC99" s="45"/>
      <c r="CD99" s="30"/>
      <c r="CF99" s="45"/>
      <c r="CG99" s="67"/>
      <c r="CI99" s="45"/>
      <c r="CJ99" s="30"/>
      <c r="CL99" s="67"/>
      <c r="CM99" s="30"/>
      <c r="CQ99" s="30"/>
      <c r="CT99" s="30"/>
      <c r="CW99" s="30"/>
      <c r="DA99" s="30"/>
      <c r="DD99" s="30"/>
    </row>
    <row r="100" spans="1:108" s="47" customFormat="1" ht="28.8" customHeight="1" x14ac:dyDescent="0.3">
      <c r="B100" s="68">
        <v>1</v>
      </c>
      <c r="C100" s="30" t="s">
        <v>659</v>
      </c>
      <c r="D100" s="65">
        <f>D97/D95</f>
        <v>1.1607142857142858</v>
      </c>
      <c r="E100" s="30" t="s">
        <v>105</v>
      </c>
      <c r="H100" s="65"/>
      <c r="I100" s="30"/>
      <c r="J100" s="30"/>
      <c r="K100" s="30"/>
      <c r="P100" s="30"/>
      <c r="Q100" s="30"/>
      <c r="R100" s="30"/>
      <c r="S100" s="30"/>
      <c r="U100" s="65"/>
      <c r="V100" s="65"/>
      <c r="X100" s="30"/>
      <c r="Y100" s="30"/>
      <c r="Z100" s="30"/>
      <c r="AA100" s="30"/>
      <c r="AE100" s="65"/>
      <c r="AF100" s="65"/>
      <c r="AG100" s="65"/>
      <c r="AH100" s="30"/>
      <c r="AI100" s="30"/>
      <c r="AL100" s="30"/>
      <c r="AM100" s="30"/>
      <c r="AO100" s="30"/>
      <c r="AP100" s="65"/>
      <c r="AQ100" s="30"/>
      <c r="AR100" s="30"/>
      <c r="AV100" s="30"/>
      <c r="AW100" s="30"/>
      <c r="AY100" s="30"/>
      <c r="AZ100" s="65"/>
      <c r="BA100" s="30"/>
      <c r="BC100" s="30"/>
      <c r="BE100" s="65"/>
      <c r="BF100" s="30"/>
      <c r="BG100" s="45"/>
      <c r="BK100" s="45"/>
      <c r="BM100" s="67"/>
      <c r="BN100" s="63"/>
      <c r="BO100" s="45"/>
      <c r="BR100" s="45"/>
      <c r="BS100" s="67"/>
      <c r="BT100" s="63"/>
      <c r="BV100" s="45"/>
      <c r="BX100" s="67"/>
      <c r="BY100" s="45"/>
      <c r="BZ100" s="63"/>
      <c r="CC100" s="45"/>
      <c r="CD100" s="63"/>
      <c r="CF100" s="45"/>
      <c r="CG100" s="67"/>
      <c r="CI100" s="45"/>
      <c r="CJ100" s="63"/>
      <c r="CL100" s="67"/>
      <c r="CM100" s="63"/>
      <c r="CQ100" s="63"/>
      <c r="CT100" s="63"/>
      <c r="CW100" s="63"/>
      <c r="DA100" s="63"/>
      <c r="DD100" s="63"/>
    </row>
    <row r="101" spans="1:108" s="47" customFormat="1" x14ac:dyDescent="0.3">
      <c r="B101" s="68">
        <v>1</v>
      </c>
      <c r="C101" s="30" t="s">
        <v>104</v>
      </c>
      <c r="D101" s="65">
        <f>D99/D95</f>
        <v>2.3214285714285716</v>
      </c>
      <c r="E101" s="30" t="s">
        <v>105</v>
      </c>
      <c r="H101" s="65"/>
      <c r="I101" s="30"/>
      <c r="J101" s="30"/>
      <c r="K101" s="30"/>
      <c r="P101" s="30"/>
      <c r="Q101" s="30"/>
      <c r="R101" s="30"/>
      <c r="S101" s="30"/>
      <c r="U101" s="65"/>
      <c r="V101" s="65"/>
      <c r="X101" s="30"/>
      <c r="Y101" s="30"/>
      <c r="Z101" s="30"/>
      <c r="AA101" s="30"/>
      <c r="AE101" s="65"/>
      <c r="AF101" s="65"/>
      <c r="AG101" s="65"/>
      <c r="AH101" s="30"/>
      <c r="AI101" s="30"/>
      <c r="AL101" s="30"/>
      <c r="AM101" s="30"/>
      <c r="AO101" s="30"/>
      <c r="AP101" s="65"/>
      <c r="AQ101" s="30"/>
      <c r="AR101" s="30"/>
      <c r="AV101" s="30"/>
      <c r="AW101" s="30"/>
      <c r="AY101" s="30"/>
      <c r="AZ101" s="65"/>
      <c r="BA101" s="30"/>
      <c r="BC101" s="30"/>
      <c r="BE101" s="65"/>
      <c r="BF101" s="30"/>
      <c r="BG101" s="30"/>
      <c r="BK101" s="30"/>
      <c r="BM101" s="65"/>
      <c r="BN101" s="30"/>
      <c r="BO101" s="30"/>
      <c r="BR101" s="30"/>
      <c r="BS101" s="65"/>
      <c r="BT101" s="30"/>
      <c r="BV101" s="30"/>
      <c r="BX101" s="65"/>
      <c r="BY101" s="30"/>
      <c r="BZ101" s="30"/>
      <c r="CC101" s="30"/>
      <c r="CD101" s="30"/>
      <c r="CF101" s="30"/>
      <c r="CG101" s="65"/>
      <c r="CI101" s="30"/>
      <c r="CJ101" s="30"/>
      <c r="CL101" s="65"/>
      <c r="CM101" s="30"/>
      <c r="CQ101" s="30"/>
      <c r="CT101" s="30"/>
      <c r="CW101" s="30"/>
      <c r="DA101" s="30"/>
      <c r="DD101" s="30"/>
    </row>
    <row r="102" spans="1:108" s="47" customFormat="1" x14ac:dyDescent="0.3">
      <c r="B102" s="68">
        <v>1</v>
      </c>
      <c r="C102" s="30" t="s">
        <v>106</v>
      </c>
      <c r="D102" s="65">
        <v>20</v>
      </c>
      <c r="E102" s="30" t="s">
        <v>105</v>
      </c>
      <c r="F102" s="48">
        <f>D102*D95</f>
        <v>2240</v>
      </c>
      <c r="G102" s="30" t="s">
        <v>100</v>
      </c>
      <c r="H102" s="48">
        <f>F102/D104</f>
        <v>420</v>
      </c>
      <c r="I102" s="33" t="s">
        <v>107</v>
      </c>
      <c r="J102" s="48">
        <f>F102/D103</f>
        <v>1016.048117135833</v>
      </c>
      <c r="K102" s="30" t="s">
        <v>660</v>
      </c>
      <c r="L102" s="30"/>
      <c r="M102" s="45"/>
      <c r="N102" s="63"/>
      <c r="O102" s="63"/>
      <c r="P102" s="63"/>
      <c r="Q102" s="30"/>
      <c r="R102" s="63"/>
      <c r="S102" s="63"/>
      <c r="T102" s="63"/>
      <c r="U102" s="45"/>
      <c r="V102" s="63"/>
      <c r="W102" s="63"/>
      <c r="X102" s="63"/>
      <c r="Y102" s="30"/>
      <c r="Z102" s="63"/>
      <c r="AA102" s="63"/>
      <c r="AB102" s="63"/>
      <c r="AC102" s="45"/>
      <c r="AD102" s="45"/>
      <c r="AE102" s="45"/>
      <c r="AF102" s="30"/>
      <c r="AG102" s="63"/>
      <c r="AI102" s="45"/>
      <c r="AJ102" s="30"/>
      <c r="AK102" s="63"/>
      <c r="AL102" s="63"/>
      <c r="AM102" s="30"/>
      <c r="AN102" s="45"/>
      <c r="AO102" s="51"/>
      <c r="AP102" s="30"/>
      <c r="AQ102" s="51"/>
      <c r="AR102" s="63"/>
      <c r="AS102" s="45"/>
      <c r="AT102" s="30"/>
      <c r="AU102" s="63"/>
      <c r="AV102" s="63"/>
      <c r="AW102" s="30"/>
      <c r="AX102" s="45"/>
      <c r="AY102" s="63"/>
      <c r="AZ102" s="63"/>
      <c r="BA102" s="30"/>
      <c r="BB102" s="63"/>
      <c r="BC102" s="45"/>
      <c r="BD102" s="63"/>
      <c r="BE102" s="30"/>
      <c r="BI102" s="30"/>
      <c r="BK102" s="65"/>
      <c r="BL102" s="30"/>
      <c r="BM102" s="30"/>
      <c r="BP102" s="30"/>
      <c r="BQ102" s="65"/>
      <c r="BR102" s="30"/>
      <c r="BT102" s="30"/>
      <c r="BV102" s="65"/>
      <c r="BW102" s="30"/>
      <c r="BX102" s="30"/>
      <c r="CA102" s="30"/>
      <c r="CB102" s="30"/>
      <c r="CD102" s="30"/>
      <c r="CE102" s="65"/>
      <c r="CG102" s="30"/>
      <c r="CH102" s="30"/>
      <c r="CJ102" s="65"/>
      <c r="CK102" s="30"/>
      <c r="CO102" s="30"/>
      <c r="CR102" s="30"/>
      <c r="CU102" s="30"/>
      <c r="CY102" s="30"/>
      <c r="DB102" s="30"/>
    </row>
    <row r="103" spans="1:108" s="47" customFormat="1" x14ac:dyDescent="0.3">
      <c r="B103" s="68">
        <v>1</v>
      </c>
      <c r="C103" s="30" t="s">
        <v>660</v>
      </c>
      <c r="D103" s="65">
        <v>2.2046199999999998</v>
      </c>
      <c r="E103" s="30" t="s">
        <v>100</v>
      </c>
      <c r="F103" s="48">
        <f>D103/D95</f>
        <v>1.9684107142857142E-2</v>
      </c>
      <c r="G103" s="33" t="s">
        <v>105</v>
      </c>
      <c r="H103" s="63"/>
      <c r="I103" s="51"/>
      <c r="J103" s="51"/>
      <c r="K103" s="63"/>
      <c r="L103" s="63"/>
      <c r="M103" s="45"/>
      <c r="N103" s="63"/>
      <c r="O103" s="63"/>
      <c r="P103" s="63"/>
      <c r="Q103" s="30"/>
      <c r="R103" s="63"/>
      <c r="S103" s="63"/>
      <c r="T103" s="63"/>
      <c r="U103" s="45"/>
      <c r="V103" s="63"/>
      <c r="W103" s="63"/>
      <c r="X103" s="63"/>
      <c r="Y103" s="30"/>
      <c r="Z103" s="63"/>
      <c r="AA103" s="63"/>
      <c r="AB103" s="63"/>
      <c r="AC103" s="45"/>
      <c r="AD103" s="45"/>
      <c r="AE103" s="45"/>
      <c r="AF103" s="30"/>
      <c r="AG103" s="63"/>
      <c r="AI103" s="45"/>
      <c r="AJ103" s="30"/>
      <c r="AK103" s="63"/>
      <c r="AL103" s="63"/>
      <c r="AM103" s="30"/>
      <c r="AN103" s="45"/>
      <c r="AO103" s="51"/>
      <c r="AP103" s="30"/>
      <c r="AQ103" s="51"/>
      <c r="AR103" s="63"/>
      <c r="AS103" s="45"/>
      <c r="AT103" s="30"/>
      <c r="AU103" s="63"/>
      <c r="AV103" s="63"/>
      <c r="AW103" s="30"/>
      <c r="AX103" s="45"/>
      <c r="AY103" s="63"/>
      <c r="AZ103" s="63"/>
      <c r="BA103" s="30"/>
      <c r="BB103" s="63"/>
      <c r="BC103" s="45"/>
      <c r="BD103" s="63"/>
      <c r="BE103" s="30"/>
      <c r="BI103" s="30"/>
      <c r="BK103" s="65"/>
      <c r="BL103" s="30"/>
      <c r="BM103" s="30"/>
      <c r="BP103" s="30"/>
      <c r="BQ103" s="65"/>
      <c r="BR103" s="30"/>
      <c r="BT103" s="30"/>
      <c r="BV103" s="65"/>
      <c r="BW103" s="30"/>
      <c r="BX103" s="30"/>
      <c r="CA103" s="30"/>
      <c r="CB103" s="30"/>
      <c r="CD103" s="30"/>
      <c r="CE103" s="65"/>
      <c r="CG103" s="30"/>
      <c r="CH103" s="30"/>
      <c r="CJ103" s="65"/>
      <c r="CK103" s="30"/>
      <c r="CO103" s="30"/>
      <c r="CR103" s="30"/>
      <c r="CU103" s="30"/>
      <c r="CY103" s="30"/>
      <c r="DB103" s="30"/>
    </row>
    <row r="104" spans="1:108" s="63" customFormat="1" x14ac:dyDescent="0.3">
      <c r="A104" s="47"/>
      <c r="B104" s="68">
        <v>1</v>
      </c>
      <c r="C104" s="30" t="s">
        <v>109</v>
      </c>
      <c r="D104" s="65">
        <f>16/3</f>
        <v>5.333333333333333</v>
      </c>
      <c r="E104" s="30" t="s">
        <v>100</v>
      </c>
      <c r="F104" s="48">
        <f>D104/D95</f>
        <v>4.7619047619047616E-2</v>
      </c>
      <c r="G104" s="33" t="s">
        <v>105</v>
      </c>
      <c r="I104" s="51"/>
      <c r="J104" s="51"/>
      <c r="M104" s="30"/>
      <c r="Q104" s="30"/>
      <c r="U104" s="30"/>
      <c r="Y104" s="30"/>
      <c r="AC104" s="30"/>
      <c r="AD104" s="30"/>
      <c r="AE104" s="30"/>
      <c r="AF104" s="30"/>
      <c r="AH104" s="47"/>
      <c r="AI104" s="30"/>
      <c r="AJ104" s="30"/>
      <c r="AM104" s="30"/>
      <c r="AN104" s="30"/>
      <c r="AO104" s="51"/>
      <c r="AP104" s="30"/>
      <c r="AQ104" s="51"/>
      <c r="AS104" s="30"/>
      <c r="AT104" s="30"/>
      <c r="AW104" s="30"/>
      <c r="AX104" s="30"/>
      <c r="BA104" s="30"/>
      <c r="BC104" s="30"/>
      <c r="BE104" s="30"/>
      <c r="BI104" s="30"/>
      <c r="BK104" s="45"/>
      <c r="BL104" s="51"/>
      <c r="BM104" s="30"/>
      <c r="BP104" s="30"/>
      <c r="BQ104" s="45"/>
      <c r="BT104" s="30"/>
      <c r="BV104" s="45"/>
      <c r="BW104" s="30"/>
      <c r="BZ104" s="45"/>
      <c r="CA104" s="30"/>
      <c r="CD104" s="30"/>
      <c r="CF104" s="45"/>
      <c r="CG104" s="30"/>
      <c r="CJ104" s="45"/>
      <c r="CN104" s="45"/>
      <c r="CQ104" s="45"/>
      <c r="CT104" s="45"/>
      <c r="CX104" s="45"/>
      <c r="DA104" s="45"/>
    </row>
    <row r="105" spans="1:108" s="63" customFormat="1" x14ac:dyDescent="0.3">
      <c r="A105" s="47"/>
      <c r="B105" s="68">
        <v>1</v>
      </c>
      <c r="C105" s="30" t="s">
        <v>22</v>
      </c>
      <c r="D105" s="65">
        <v>100</v>
      </c>
      <c r="E105" s="30" t="s">
        <v>109</v>
      </c>
      <c r="F105" s="48">
        <f>D105*F104</f>
        <v>4.7619047619047619</v>
      </c>
      <c r="G105" s="33" t="s">
        <v>105</v>
      </c>
      <c r="H105" s="65">
        <f>F105/D102</f>
        <v>0.23809523809523808</v>
      </c>
      <c r="I105" s="33" t="s">
        <v>31</v>
      </c>
      <c r="J105" s="51"/>
      <c r="M105" s="30"/>
      <c r="Q105" s="30"/>
      <c r="U105" s="30"/>
      <c r="Y105" s="30"/>
      <c r="AC105" s="30"/>
      <c r="AD105" s="30"/>
      <c r="AE105" s="30"/>
      <c r="AF105" s="30"/>
      <c r="AH105" s="47"/>
      <c r="AI105" s="30"/>
      <c r="AJ105" s="30"/>
      <c r="AM105" s="30"/>
      <c r="AN105" s="30"/>
      <c r="AO105" s="51"/>
      <c r="AP105" s="30"/>
      <c r="AQ105" s="51"/>
      <c r="AS105" s="30"/>
      <c r="AT105" s="30"/>
      <c r="AW105" s="30"/>
      <c r="AX105" s="30"/>
      <c r="BA105" s="30"/>
      <c r="BC105" s="30"/>
      <c r="BE105" s="30"/>
      <c r="BI105" s="30"/>
      <c r="BK105" s="45"/>
      <c r="BL105" s="51"/>
      <c r="BM105" s="30"/>
      <c r="BP105" s="30"/>
      <c r="BQ105" s="45"/>
      <c r="BT105" s="30"/>
      <c r="BV105" s="45"/>
      <c r="BW105" s="30"/>
      <c r="BZ105" s="45"/>
      <c r="CA105" s="30"/>
      <c r="CD105" s="30"/>
      <c r="CF105" s="45"/>
      <c r="CG105" s="30"/>
      <c r="CJ105" s="45"/>
      <c r="CN105" s="45"/>
      <c r="CQ105" s="45"/>
      <c r="CT105" s="45"/>
      <c r="CX105" s="45"/>
      <c r="DA105" s="45"/>
    </row>
    <row r="106" spans="1:108" s="63" customFormat="1" x14ac:dyDescent="0.3">
      <c r="A106" s="47"/>
      <c r="B106" s="68">
        <v>1</v>
      </c>
      <c r="C106" s="30" t="s">
        <v>16</v>
      </c>
      <c r="D106" s="65">
        <f>D95/D104</f>
        <v>21</v>
      </c>
      <c r="E106" s="30" t="s">
        <v>109</v>
      </c>
      <c r="F106" s="48"/>
      <c r="G106" s="33"/>
      <c r="I106" s="30"/>
      <c r="J106" s="51"/>
      <c r="K106" s="30"/>
      <c r="L106" s="51"/>
      <c r="O106" s="30"/>
      <c r="S106" s="30"/>
      <c r="W106" s="30"/>
      <c r="AA106" s="30"/>
      <c r="AE106" s="30"/>
      <c r="AF106" s="30"/>
      <c r="AG106" s="30"/>
      <c r="AH106" s="30"/>
      <c r="AJ106" s="47"/>
      <c r="AK106" s="30"/>
      <c r="AL106" s="30"/>
      <c r="AO106" s="30"/>
      <c r="AP106" s="30"/>
      <c r="AQ106" s="51"/>
      <c r="AR106" s="30"/>
      <c r="AS106" s="51"/>
      <c r="AU106" s="30"/>
      <c r="AV106" s="30"/>
      <c r="AY106" s="30"/>
      <c r="AZ106" s="30"/>
      <c r="BC106" s="30"/>
      <c r="BE106" s="30"/>
      <c r="BG106" s="30"/>
      <c r="BK106" s="30"/>
      <c r="BM106" s="30"/>
      <c r="BN106" s="51"/>
      <c r="BO106" s="30"/>
      <c r="BR106" s="30"/>
      <c r="BS106" s="30"/>
      <c r="BV106" s="30"/>
      <c r="BX106" s="30"/>
      <c r="BY106" s="30"/>
      <c r="CB106" s="30"/>
      <c r="CC106" s="30"/>
      <c r="CF106" s="30"/>
      <c r="CH106" s="30"/>
      <c r="CI106" s="30"/>
      <c r="CL106" s="30"/>
      <c r="CP106" s="30"/>
      <c r="CS106" s="30"/>
      <c r="CV106" s="30"/>
      <c r="CZ106" s="30"/>
      <c r="DC106" s="30"/>
    </row>
    <row r="107" spans="1:108" s="63" customFormat="1" x14ac:dyDescent="0.3">
      <c r="A107" s="47"/>
      <c r="B107" s="68">
        <v>1</v>
      </c>
      <c r="C107" s="30" t="s">
        <v>192</v>
      </c>
      <c r="D107" s="65">
        <f>F102/4</f>
        <v>560</v>
      </c>
      <c r="E107" s="30" t="s">
        <v>100</v>
      </c>
      <c r="F107" s="48">
        <f>D107/F102</f>
        <v>0.25</v>
      </c>
      <c r="G107" s="33" t="s">
        <v>31</v>
      </c>
      <c r="H107" s="51"/>
      <c r="I107" s="47"/>
      <c r="J107" s="47"/>
      <c r="M107" s="51"/>
      <c r="N107" s="51"/>
      <c r="O107" s="51"/>
      <c r="P107" s="47"/>
      <c r="Q107" s="47"/>
      <c r="R107" s="47"/>
      <c r="X107" s="47"/>
      <c r="Y107" s="47"/>
      <c r="Z107" s="47"/>
      <c r="AI107" s="47"/>
      <c r="AM107" s="47"/>
      <c r="AN107" s="47"/>
      <c r="AQ107" s="47"/>
      <c r="AT107" s="51"/>
      <c r="AU107" s="51"/>
      <c r="AW107" s="47"/>
      <c r="BA107" s="47"/>
      <c r="BF107" s="47"/>
      <c r="BG107" s="30"/>
      <c r="BK107" s="30"/>
      <c r="BM107" s="30"/>
      <c r="BN107" s="51"/>
      <c r="BO107" s="30"/>
      <c r="BR107" s="30"/>
      <c r="BS107" s="30"/>
      <c r="BV107" s="30"/>
      <c r="BX107" s="30"/>
      <c r="BY107" s="30"/>
      <c r="CB107" s="30"/>
      <c r="CC107" s="30"/>
      <c r="CF107" s="30"/>
      <c r="CH107" s="30"/>
      <c r="CI107" s="30"/>
      <c r="CL107" s="30"/>
      <c r="CP107" s="30"/>
      <c r="CS107" s="30"/>
      <c r="CV107" s="30"/>
      <c r="CZ107" s="30"/>
      <c r="DC107" s="30"/>
    </row>
    <row r="108" spans="1:108" s="63" customFormat="1" x14ac:dyDescent="0.3">
      <c r="A108" s="47"/>
      <c r="B108" s="47">
        <v>1</v>
      </c>
      <c r="C108" s="30" t="s">
        <v>26</v>
      </c>
      <c r="D108" s="65">
        <v>108</v>
      </c>
      <c r="E108" s="30" t="s">
        <v>100</v>
      </c>
      <c r="H108" s="30"/>
      <c r="I108" s="30"/>
      <c r="J108" s="30"/>
      <c r="K108" s="30"/>
      <c r="L108" s="65"/>
      <c r="M108" s="65"/>
      <c r="N108" s="65"/>
      <c r="O108" s="30"/>
      <c r="P108" s="30"/>
      <c r="Q108" s="30"/>
      <c r="R108" s="30"/>
      <c r="S108" s="30"/>
      <c r="U108" s="69"/>
      <c r="V108" s="69"/>
      <c r="W108" s="69"/>
      <c r="X108" s="30"/>
      <c r="Y108" s="30"/>
      <c r="Z108" s="30"/>
      <c r="AA108" s="30"/>
      <c r="AB108" s="69"/>
      <c r="AC108" s="69"/>
      <c r="AD108" s="69"/>
      <c r="AE108" s="47"/>
      <c r="AF108" s="47"/>
      <c r="AG108" s="47"/>
      <c r="AH108" s="30"/>
      <c r="AI108" s="30"/>
      <c r="AJ108" s="47"/>
      <c r="AK108" s="70"/>
      <c r="AL108" s="30"/>
      <c r="AM108" s="30"/>
      <c r="AN108" s="70"/>
      <c r="AO108" s="30"/>
      <c r="AP108" s="70"/>
      <c r="AQ108" s="30"/>
      <c r="AR108" s="30"/>
      <c r="AS108" s="51"/>
      <c r="AT108" s="47"/>
      <c r="AU108" s="47"/>
      <c r="AV108" s="30"/>
      <c r="AW108" s="30"/>
      <c r="AX108" s="47"/>
      <c r="AY108" s="30"/>
      <c r="AZ108" s="47"/>
      <c r="BA108" s="30"/>
      <c r="BC108" s="30"/>
      <c r="BF108" s="30"/>
      <c r="BG108" s="30"/>
      <c r="BK108" s="30"/>
      <c r="BM108" s="30"/>
      <c r="BN108" s="51"/>
      <c r="BO108" s="30"/>
      <c r="BR108" s="30"/>
      <c r="BS108" s="30"/>
      <c r="BV108" s="30"/>
      <c r="BX108" s="30"/>
      <c r="BY108" s="30"/>
      <c r="CB108" s="30"/>
      <c r="CC108" s="30"/>
      <c r="CF108" s="30"/>
      <c r="CH108" s="30"/>
      <c r="CI108" s="30"/>
      <c r="CL108" s="30"/>
      <c r="CP108" s="30"/>
      <c r="CS108" s="30"/>
      <c r="CV108" s="30"/>
      <c r="CZ108" s="30"/>
      <c r="DC108" s="30"/>
    </row>
    <row r="109" spans="1:108" s="63" customFormat="1" x14ac:dyDescent="0.3">
      <c r="A109" s="47"/>
      <c r="B109" s="47">
        <v>1</v>
      </c>
      <c r="C109" s="30" t="s">
        <v>101</v>
      </c>
      <c r="D109" s="65">
        <v>32.5</v>
      </c>
      <c r="E109" s="30" t="s">
        <v>100</v>
      </c>
      <c r="F109" s="47"/>
      <c r="G109" s="47"/>
      <c r="H109" s="30"/>
      <c r="I109" s="30"/>
      <c r="J109" s="30"/>
      <c r="K109" s="30"/>
      <c r="L109" s="65"/>
      <c r="M109" s="65"/>
      <c r="N109" s="65"/>
      <c r="O109" s="30"/>
      <c r="P109" s="30"/>
      <c r="Q109" s="30"/>
      <c r="R109" s="30"/>
      <c r="S109" s="30"/>
      <c r="U109" s="69"/>
      <c r="V109" s="69"/>
      <c r="W109" s="69"/>
      <c r="X109" s="30"/>
      <c r="Y109" s="30"/>
      <c r="Z109" s="30"/>
      <c r="AA109" s="30"/>
      <c r="AB109" s="69"/>
      <c r="AC109" s="69"/>
      <c r="AD109" s="69"/>
      <c r="AE109" s="47"/>
      <c r="AF109" s="47"/>
      <c r="AG109" s="47"/>
      <c r="AH109" s="30"/>
      <c r="AI109" s="30"/>
      <c r="AJ109" s="47"/>
      <c r="AK109" s="70"/>
      <c r="AL109" s="30"/>
      <c r="AM109" s="30"/>
      <c r="AN109" s="70"/>
      <c r="AO109" s="30"/>
      <c r="AP109" s="70"/>
      <c r="AQ109" s="30"/>
      <c r="AR109" s="30"/>
      <c r="AS109" s="51"/>
      <c r="AT109" s="47"/>
      <c r="AU109" s="47"/>
      <c r="AV109" s="30"/>
      <c r="AW109" s="30"/>
      <c r="AX109" s="47"/>
      <c r="AY109" s="30"/>
      <c r="AZ109" s="47"/>
      <c r="BA109" s="30"/>
      <c r="BC109" s="30"/>
      <c r="BF109" s="30"/>
      <c r="BN109" s="47"/>
      <c r="BQ109" s="51"/>
      <c r="BT109" s="47"/>
      <c r="BZ109" s="47"/>
      <c r="CD109" s="47"/>
      <c r="CJ109" s="47"/>
      <c r="CM109" s="47"/>
      <c r="CQ109" s="47"/>
      <c r="CT109" s="47"/>
      <c r="CW109" s="47"/>
      <c r="DA109" s="47"/>
      <c r="DD109" s="47"/>
    </row>
    <row r="110" spans="1:108" s="63" customFormat="1" x14ac:dyDescent="0.3">
      <c r="A110" s="47"/>
      <c r="B110" s="47">
        <v>1</v>
      </c>
      <c r="C110" s="30" t="s">
        <v>17</v>
      </c>
      <c r="D110" s="65">
        <v>112</v>
      </c>
      <c r="E110" s="30" t="s">
        <v>56</v>
      </c>
      <c r="H110" s="30"/>
      <c r="I110" s="30"/>
      <c r="J110" s="30"/>
      <c r="K110" s="30"/>
      <c r="L110" s="65"/>
      <c r="M110" s="65"/>
      <c r="N110" s="65"/>
      <c r="O110" s="30"/>
      <c r="P110" s="30"/>
      <c r="Q110" s="30"/>
      <c r="R110" s="30"/>
      <c r="S110" s="30"/>
      <c r="U110" s="69"/>
      <c r="V110" s="69"/>
      <c r="W110" s="69"/>
      <c r="X110" s="30"/>
      <c r="Y110" s="30"/>
      <c r="Z110" s="30"/>
      <c r="AA110" s="30"/>
      <c r="AB110" s="69"/>
      <c r="AC110" s="69"/>
      <c r="AD110" s="69"/>
      <c r="AE110" s="47"/>
      <c r="AF110" s="47"/>
      <c r="AG110" s="47"/>
      <c r="AH110" s="30"/>
      <c r="AI110" s="30"/>
      <c r="AJ110" s="47"/>
      <c r="AK110" s="70"/>
      <c r="AL110" s="30"/>
      <c r="AM110" s="30"/>
      <c r="AN110" s="70"/>
      <c r="AO110" s="30"/>
      <c r="AP110" s="70"/>
      <c r="AQ110" s="30"/>
      <c r="AR110" s="30"/>
      <c r="AS110" s="51"/>
      <c r="AT110" s="47"/>
      <c r="AU110" s="47"/>
      <c r="AV110" s="30"/>
      <c r="AW110" s="30"/>
      <c r="AX110" s="47"/>
      <c r="AY110" s="30"/>
      <c r="AZ110" s="47"/>
      <c r="BA110" s="30"/>
      <c r="BC110" s="30"/>
      <c r="BF110" s="30"/>
      <c r="BG110" s="30"/>
      <c r="BK110" s="30"/>
      <c r="BN110" s="30"/>
      <c r="BO110" s="30"/>
      <c r="BR110" s="30"/>
      <c r="BT110" s="30"/>
      <c r="BV110" s="30"/>
      <c r="BY110" s="30"/>
      <c r="BZ110" s="30"/>
      <c r="CC110" s="30"/>
      <c r="CD110" s="30"/>
      <c r="CF110" s="30"/>
      <c r="CI110" s="30"/>
      <c r="CJ110" s="30"/>
      <c r="CM110" s="30"/>
      <c r="CQ110" s="30"/>
      <c r="CT110" s="30"/>
      <c r="CW110" s="30"/>
      <c r="DA110" s="30"/>
      <c r="DD110" s="30"/>
    </row>
    <row r="111" spans="1:108" s="63" customFormat="1" x14ac:dyDescent="0.3">
      <c r="A111" s="47"/>
      <c r="B111" s="109">
        <v>1</v>
      </c>
      <c r="C111" s="110" t="s">
        <v>103</v>
      </c>
      <c r="D111" s="111">
        <v>130</v>
      </c>
      <c r="E111" s="112" t="s">
        <v>100</v>
      </c>
      <c r="H111" s="30"/>
      <c r="I111" s="30"/>
      <c r="J111" s="30"/>
      <c r="K111" s="45"/>
      <c r="L111" s="65"/>
      <c r="M111" s="65"/>
      <c r="N111" s="65"/>
      <c r="O111" s="30"/>
      <c r="P111" s="30"/>
      <c r="Q111" s="30"/>
      <c r="R111" s="30"/>
      <c r="S111" s="45"/>
      <c r="U111" s="69"/>
      <c r="V111" s="69"/>
      <c r="W111" s="69"/>
      <c r="X111" s="30"/>
      <c r="Y111" s="30"/>
      <c r="Z111" s="30"/>
      <c r="AA111" s="45"/>
      <c r="AB111" s="69"/>
      <c r="AC111" s="69"/>
      <c r="AD111" s="69"/>
      <c r="AE111" s="47"/>
      <c r="AF111" s="47"/>
      <c r="AG111" s="47"/>
      <c r="AH111" s="45"/>
      <c r="AI111" s="30"/>
      <c r="AJ111" s="47"/>
      <c r="AK111" s="70"/>
      <c r="AL111" s="45"/>
      <c r="AM111" s="30"/>
      <c r="AN111" s="70"/>
      <c r="AO111" s="45"/>
      <c r="AP111" s="70"/>
      <c r="AQ111" s="30"/>
      <c r="AR111" s="45"/>
      <c r="AS111" s="51"/>
      <c r="AT111" s="47"/>
      <c r="AU111" s="47"/>
      <c r="AV111" s="45"/>
      <c r="AW111" s="30"/>
      <c r="AX111" s="47"/>
      <c r="AY111" s="45"/>
      <c r="AZ111" s="47"/>
      <c r="BA111" s="30"/>
      <c r="BC111" s="45"/>
      <c r="BF111" s="30"/>
      <c r="BG111" s="30"/>
      <c r="BK111" s="30"/>
      <c r="BN111" s="30"/>
      <c r="BO111" s="30"/>
      <c r="BR111" s="30"/>
      <c r="BT111" s="30"/>
      <c r="BV111" s="30"/>
      <c r="BY111" s="30"/>
      <c r="BZ111" s="30"/>
      <c r="CC111" s="30"/>
      <c r="CD111" s="30"/>
      <c r="CF111" s="30"/>
      <c r="CI111" s="30"/>
      <c r="CJ111" s="30"/>
      <c r="CM111" s="30"/>
      <c r="CQ111" s="30"/>
      <c r="CT111" s="30"/>
      <c r="CW111" s="30"/>
      <c r="DA111" s="30"/>
      <c r="DD111" s="30"/>
    </row>
    <row r="112" spans="1:108" s="63" customFormat="1" x14ac:dyDescent="0.3">
      <c r="A112" s="47"/>
      <c r="B112" s="109"/>
      <c r="C112" s="110"/>
      <c r="D112" s="111"/>
      <c r="E112" s="112"/>
      <c r="F112" s="47"/>
      <c r="G112" s="47"/>
      <c r="H112" s="30"/>
      <c r="I112" s="30"/>
      <c r="J112" s="30"/>
      <c r="K112" s="45"/>
      <c r="L112" s="65"/>
      <c r="M112" s="65"/>
      <c r="N112" s="65"/>
      <c r="O112" s="30"/>
      <c r="P112" s="30"/>
      <c r="Q112" s="30"/>
      <c r="R112" s="30"/>
      <c r="S112" s="45"/>
      <c r="U112" s="69"/>
      <c r="V112" s="69"/>
      <c r="W112" s="69"/>
      <c r="X112" s="30"/>
      <c r="Y112" s="30"/>
      <c r="Z112" s="30"/>
      <c r="AA112" s="45"/>
      <c r="AB112" s="69"/>
      <c r="AC112" s="69"/>
      <c r="AD112" s="69"/>
      <c r="AE112" s="47"/>
      <c r="AF112" s="47"/>
      <c r="AG112" s="47"/>
      <c r="AH112" s="45"/>
      <c r="AI112" s="30"/>
      <c r="AJ112" s="47"/>
      <c r="AK112" s="70"/>
      <c r="AL112" s="45"/>
      <c r="AM112" s="30"/>
      <c r="AN112" s="70"/>
      <c r="AO112" s="45"/>
      <c r="AP112" s="70"/>
      <c r="AQ112" s="30"/>
      <c r="AR112" s="45"/>
      <c r="AS112" s="51"/>
      <c r="AT112" s="47"/>
      <c r="AU112" s="47"/>
      <c r="AV112" s="45"/>
      <c r="AW112" s="30"/>
      <c r="AX112" s="47"/>
      <c r="AY112" s="45"/>
      <c r="AZ112" s="47"/>
      <c r="BA112" s="30"/>
      <c r="BC112" s="45"/>
      <c r="BF112" s="30"/>
      <c r="BG112" s="30"/>
      <c r="BK112" s="30"/>
      <c r="BN112" s="30"/>
      <c r="BO112" s="30"/>
      <c r="BR112" s="30"/>
      <c r="BT112" s="30"/>
      <c r="BV112" s="30"/>
      <c r="BY112" s="30"/>
      <c r="BZ112" s="30"/>
      <c r="CC112" s="30"/>
      <c r="CD112" s="30"/>
      <c r="CF112" s="30"/>
      <c r="CI112" s="30"/>
      <c r="CJ112" s="30"/>
      <c r="CM112" s="30"/>
      <c r="CQ112" s="30"/>
      <c r="CT112" s="30"/>
      <c r="CW112" s="30"/>
      <c r="DA112" s="30"/>
      <c r="DD112" s="30"/>
    </row>
    <row r="113" spans="1:108" s="63" customFormat="1" ht="14.4" customHeight="1" x14ac:dyDescent="0.3">
      <c r="A113" s="47"/>
      <c r="B113" s="68">
        <v>1</v>
      </c>
      <c r="C113" s="30" t="s">
        <v>104</v>
      </c>
      <c r="D113" s="65">
        <v>260</v>
      </c>
      <c r="E113" s="30" t="s">
        <v>100</v>
      </c>
      <c r="F113" s="47"/>
      <c r="G113" s="47"/>
      <c r="H113" s="30"/>
      <c r="I113" s="30"/>
      <c r="J113" s="30"/>
      <c r="K113" s="30"/>
      <c r="L113" s="65"/>
      <c r="M113" s="65"/>
      <c r="N113" s="65"/>
      <c r="O113" s="30"/>
      <c r="P113" s="30"/>
      <c r="Q113" s="30"/>
      <c r="R113" s="30"/>
      <c r="S113" s="30"/>
      <c r="U113" s="69"/>
      <c r="V113" s="69"/>
      <c r="W113" s="69"/>
      <c r="X113" s="30"/>
      <c r="Y113" s="30"/>
      <c r="Z113" s="30"/>
      <c r="AA113" s="30"/>
      <c r="AB113" s="69"/>
      <c r="AC113" s="69"/>
      <c r="AD113" s="69"/>
      <c r="AE113" s="47"/>
      <c r="AF113" s="47"/>
      <c r="AG113" s="47"/>
      <c r="AH113" s="30"/>
      <c r="AI113" s="30"/>
      <c r="AJ113" s="47"/>
      <c r="AK113" s="70"/>
      <c r="AL113" s="30"/>
      <c r="AM113" s="30"/>
      <c r="AN113" s="70"/>
      <c r="AO113" s="30"/>
      <c r="AP113" s="70"/>
      <c r="AQ113" s="30"/>
      <c r="AR113" s="30"/>
      <c r="AS113" s="51"/>
      <c r="AT113" s="47"/>
      <c r="AU113" s="47"/>
      <c r="AV113" s="30"/>
      <c r="AW113" s="30"/>
      <c r="AX113" s="47"/>
      <c r="AY113" s="30"/>
      <c r="AZ113" s="47"/>
      <c r="BA113" s="30"/>
      <c r="BC113" s="30"/>
      <c r="BF113" s="30"/>
      <c r="BG113" s="45"/>
      <c r="BK113" s="45"/>
      <c r="BN113" s="30"/>
      <c r="BO113" s="45"/>
      <c r="BR113" s="45"/>
      <c r="BT113" s="30"/>
      <c r="BV113" s="45"/>
      <c r="BY113" s="45"/>
      <c r="BZ113" s="30"/>
      <c r="CC113" s="45"/>
      <c r="CD113" s="30"/>
      <c r="CF113" s="45"/>
      <c r="CI113" s="45"/>
      <c r="CJ113" s="30"/>
      <c r="CM113" s="30"/>
      <c r="CQ113" s="30"/>
      <c r="CT113" s="30"/>
      <c r="CW113" s="30"/>
      <c r="DA113" s="30"/>
      <c r="DD113" s="30"/>
    </row>
    <row r="114" spans="1:108" s="63" customFormat="1" ht="14.4" customHeight="1" x14ac:dyDescent="0.3">
      <c r="A114" s="47"/>
      <c r="B114" s="68">
        <v>1</v>
      </c>
      <c r="C114" s="30" t="s">
        <v>659</v>
      </c>
      <c r="D114" s="65">
        <f>D111/D110</f>
        <v>1.1607142857142858</v>
      </c>
      <c r="E114" s="30" t="s">
        <v>105</v>
      </c>
      <c r="F114" s="47"/>
      <c r="G114" s="47"/>
      <c r="H114" s="30"/>
      <c r="I114" s="30"/>
      <c r="J114" s="30"/>
      <c r="K114" s="30"/>
      <c r="L114" s="65"/>
      <c r="M114" s="65"/>
      <c r="N114" s="65"/>
      <c r="O114" s="30"/>
      <c r="P114" s="30"/>
      <c r="Q114" s="30"/>
      <c r="R114" s="30"/>
      <c r="S114" s="30"/>
      <c r="U114" s="69"/>
      <c r="V114" s="69"/>
      <c r="W114" s="69"/>
      <c r="X114" s="30"/>
      <c r="Y114" s="30"/>
      <c r="Z114" s="30"/>
      <c r="AA114" s="30"/>
      <c r="AB114" s="69"/>
      <c r="AC114" s="69"/>
      <c r="AD114" s="69"/>
      <c r="AE114" s="47"/>
      <c r="AF114" s="47"/>
      <c r="AG114" s="47"/>
      <c r="AH114" s="30"/>
      <c r="AI114" s="30"/>
      <c r="AJ114" s="47"/>
      <c r="AK114" s="70"/>
      <c r="AL114" s="30"/>
      <c r="AM114" s="30"/>
      <c r="AN114" s="70"/>
      <c r="AO114" s="30"/>
      <c r="AP114" s="70"/>
      <c r="AQ114" s="30"/>
      <c r="AR114" s="30"/>
      <c r="AS114" s="51"/>
      <c r="AT114" s="47"/>
      <c r="AU114" s="47"/>
      <c r="AV114" s="30"/>
      <c r="AW114" s="30"/>
      <c r="AX114" s="47"/>
      <c r="AY114" s="30"/>
      <c r="AZ114" s="47"/>
      <c r="BA114" s="30"/>
      <c r="BC114" s="30"/>
      <c r="BF114" s="30"/>
      <c r="BG114" s="45"/>
      <c r="BK114" s="45"/>
      <c r="BN114" s="30"/>
      <c r="BO114" s="45"/>
      <c r="BR114" s="45"/>
      <c r="BT114" s="30"/>
      <c r="BV114" s="45"/>
      <c r="BY114" s="45"/>
      <c r="BZ114" s="30"/>
      <c r="CC114" s="45"/>
      <c r="CD114" s="30"/>
      <c r="CF114" s="45"/>
      <c r="CI114" s="45"/>
      <c r="CJ114" s="30"/>
      <c r="CM114" s="30"/>
      <c r="CQ114" s="30"/>
      <c r="CT114" s="30"/>
      <c r="CW114" s="30"/>
      <c r="DA114" s="30"/>
      <c r="DD114" s="30"/>
    </row>
    <row r="115" spans="1:108" s="63" customFormat="1" x14ac:dyDescent="0.3">
      <c r="A115" s="47"/>
      <c r="B115" s="68">
        <v>1</v>
      </c>
      <c r="C115" s="30" t="s">
        <v>104</v>
      </c>
      <c r="D115" s="65">
        <f>D113/D110</f>
        <v>2.3214285714285716</v>
      </c>
      <c r="E115" s="30" t="s">
        <v>105</v>
      </c>
      <c r="F115" s="47"/>
      <c r="G115" s="47"/>
      <c r="H115" s="30"/>
      <c r="I115" s="30"/>
      <c r="J115" s="30"/>
      <c r="K115" s="30"/>
      <c r="L115" s="65"/>
      <c r="M115" s="65"/>
      <c r="N115" s="65"/>
      <c r="O115" s="30"/>
      <c r="P115" s="30"/>
      <c r="Q115" s="30"/>
      <c r="R115" s="30"/>
      <c r="S115" s="30"/>
      <c r="U115" s="69"/>
      <c r="V115" s="69"/>
      <c r="W115" s="69"/>
      <c r="X115" s="30"/>
      <c r="Y115" s="30"/>
      <c r="Z115" s="30"/>
      <c r="AA115" s="30"/>
      <c r="AB115" s="69"/>
      <c r="AC115" s="69"/>
      <c r="AD115" s="69"/>
      <c r="AE115" s="47"/>
      <c r="AF115" s="47"/>
      <c r="AG115" s="47"/>
      <c r="AH115" s="30"/>
      <c r="AI115" s="30"/>
      <c r="AJ115" s="47"/>
      <c r="AK115" s="70"/>
      <c r="AL115" s="30"/>
      <c r="AM115" s="30"/>
      <c r="AN115" s="70"/>
      <c r="AO115" s="30"/>
      <c r="AP115" s="70"/>
      <c r="AQ115" s="30"/>
      <c r="AR115" s="30"/>
      <c r="AS115" s="51"/>
      <c r="AT115" s="47"/>
      <c r="AU115" s="47"/>
      <c r="AV115" s="30"/>
      <c r="AW115" s="30"/>
      <c r="AX115" s="47"/>
      <c r="AY115" s="30"/>
      <c r="AZ115" s="47"/>
      <c r="BA115" s="30"/>
      <c r="BC115" s="30"/>
      <c r="BF115" s="30"/>
      <c r="BG115" s="30"/>
      <c r="BK115" s="30"/>
      <c r="BN115" s="30"/>
      <c r="BO115" s="30"/>
      <c r="BR115" s="30"/>
      <c r="BT115" s="30"/>
      <c r="BV115" s="30"/>
      <c r="BY115" s="30"/>
      <c r="BZ115" s="30"/>
      <c r="CC115" s="30"/>
      <c r="CD115" s="30"/>
      <c r="CF115" s="30"/>
      <c r="CI115" s="30"/>
      <c r="CJ115" s="30"/>
      <c r="CM115" s="30"/>
      <c r="CQ115" s="30"/>
      <c r="CT115" s="30"/>
      <c r="CW115" s="30"/>
      <c r="DA115" s="30"/>
      <c r="DD115" s="30"/>
    </row>
    <row r="116" spans="1:108" s="63" customFormat="1" x14ac:dyDescent="0.3">
      <c r="A116" s="47"/>
      <c r="B116" s="47"/>
      <c r="C116" s="47"/>
      <c r="D116" s="47"/>
      <c r="E116" s="47"/>
      <c r="F116" s="47"/>
      <c r="G116" s="47"/>
      <c r="H116" s="30"/>
      <c r="I116" s="30"/>
      <c r="J116" s="30"/>
      <c r="K116" s="47"/>
      <c r="L116" s="65"/>
      <c r="M116" s="65"/>
      <c r="N116" s="65"/>
      <c r="O116" s="30"/>
      <c r="P116" s="30"/>
      <c r="Q116" s="30"/>
      <c r="R116" s="30"/>
      <c r="S116" s="47"/>
      <c r="U116" s="69"/>
      <c r="V116" s="69"/>
      <c r="W116" s="69"/>
      <c r="X116" s="30"/>
      <c r="Y116" s="30"/>
      <c r="Z116" s="30"/>
      <c r="AA116" s="47"/>
      <c r="AB116" s="69"/>
      <c r="AC116" s="69"/>
      <c r="AD116" s="69"/>
      <c r="AE116" s="47"/>
      <c r="AF116" s="47"/>
      <c r="AG116" s="47"/>
      <c r="AH116" s="47"/>
      <c r="AI116" s="30"/>
      <c r="AJ116" s="47"/>
      <c r="AK116" s="70"/>
      <c r="AL116" s="47"/>
      <c r="AM116" s="30"/>
      <c r="AN116" s="70"/>
      <c r="AO116" s="47"/>
      <c r="AP116" s="70"/>
      <c r="AQ116" s="30"/>
      <c r="AR116" s="47"/>
      <c r="AS116" s="51"/>
      <c r="AT116" s="47"/>
      <c r="AU116" s="47"/>
      <c r="AV116" s="47"/>
      <c r="AW116" s="30"/>
      <c r="AX116" s="47"/>
      <c r="AY116" s="47"/>
      <c r="AZ116" s="47"/>
      <c r="BA116" s="30"/>
      <c r="BC116" s="47"/>
      <c r="BF116" s="30"/>
      <c r="BG116" s="30"/>
      <c r="BK116" s="30"/>
      <c r="BN116" s="30"/>
      <c r="BO116" s="30"/>
      <c r="BR116" s="30"/>
      <c r="BT116" s="30"/>
      <c r="BV116" s="30"/>
      <c r="BY116" s="30"/>
      <c r="BZ116" s="30"/>
      <c r="CC116" s="30"/>
      <c r="CD116" s="30"/>
      <c r="CF116" s="30"/>
      <c r="CI116" s="30"/>
      <c r="CJ116" s="30"/>
      <c r="CM116" s="30"/>
      <c r="CQ116" s="30"/>
      <c r="CT116" s="30"/>
      <c r="CW116" s="30"/>
      <c r="DA116" s="30"/>
      <c r="DD116" s="30"/>
    </row>
    <row r="117" spans="1:108" s="63" customFormat="1" x14ac:dyDescent="0.3">
      <c r="A117" s="47" t="s">
        <v>110</v>
      </c>
      <c r="B117" s="47">
        <v>1</v>
      </c>
      <c r="C117" s="31" t="s">
        <v>43</v>
      </c>
      <c r="D117" s="47">
        <v>373.33</v>
      </c>
      <c r="E117" s="30" t="s">
        <v>100</v>
      </c>
      <c r="F117" s="48">
        <f>D117/D110</f>
        <v>3.3333035714285715</v>
      </c>
      <c r="G117" s="30" t="s">
        <v>105</v>
      </c>
      <c r="H117" s="30"/>
      <c r="I117" s="30"/>
      <c r="J117" s="30"/>
      <c r="K117" s="30"/>
      <c r="L117" s="65"/>
      <c r="M117" s="65"/>
      <c r="N117" s="65"/>
      <c r="O117" s="30"/>
      <c r="P117" s="30"/>
      <c r="Q117" s="30"/>
      <c r="R117" s="30"/>
      <c r="S117" s="30"/>
      <c r="U117" s="69"/>
      <c r="V117" s="69"/>
      <c r="W117" s="69"/>
      <c r="X117" s="30"/>
      <c r="Y117" s="30"/>
      <c r="Z117" s="30"/>
      <c r="AA117" s="30"/>
      <c r="AB117" s="69"/>
      <c r="AC117" s="69"/>
      <c r="AD117" s="69"/>
      <c r="AE117" s="47"/>
      <c r="AF117" s="47"/>
      <c r="AG117" s="47"/>
      <c r="AH117" s="30"/>
      <c r="AI117" s="30"/>
      <c r="AJ117" s="47"/>
      <c r="AK117" s="70"/>
      <c r="AL117" s="30"/>
      <c r="AM117" s="30"/>
      <c r="AN117" s="70"/>
      <c r="AO117" s="30"/>
      <c r="AP117" s="70"/>
      <c r="AQ117" s="30"/>
      <c r="AR117" s="30"/>
      <c r="AS117" s="51"/>
      <c r="AT117" s="47"/>
      <c r="AU117" s="47"/>
      <c r="AV117" s="30"/>
      <c r="AW117" s="30"/>
      <c r="AX117" s="47"/>
      <c r="AY117" s="30"/>
      <c r="AZ117" s="47"/>
      <c r="BA117" s="30"/>
      <c r="BC117" s="30"/>
      <c r="BF117" s="30"/>
      <c r="BG117" s="30"/>
      <c r="BK117" s="30"/>
      <c r="BN117" s="30"/>
      <c r="BO117" s="30"/>
      <c r="BR117" s="30"/>
      <c r="BT117" s="30"/>
      <c r="BV117" s="30"/>
      <c r="BY117" s="30"/>
      <c r="BZ117" s="30"/>
      <c r="CC117" s="30"/>
      <c r="CD117" s="30"/>
      <c r="CF117" s="30"/>
      <c r="CI117" s="30"/>
      <c r="CJ117" s="30"/>
      <c r="CM117" s="30"/>
      <c r="CQ117" s="30"/>
      <c r="CT117" s="30"/>
      <c r="CW117" s="30"/>
      <c r="DA117" s="30"/>
      <c r="DD117" s="30"/>
    </row>
    <row r="118" spans="1:108" s="63" customFormat="1" x14ac:dyDescent="0.3">
      <c r="A118" s="47" t="s">
        <v>49</v>
      </c>
      <c r="B118" s="47">
        <v>1</v>
      </c>
      <c r="C118" s="31" t="s">
        <v>26</v>
      </c>
      <c r="D118" s="47">
        <v>0.5</v>
      </c>
      <c r="E118" s="30" t="s">
        <v>105</v>
      </c>
      <c r="F118" s="47"/>
      <c r="G118" s="47"/>
      <c r="H118" s="30"/>
      <c r="I118" s="30"/>
      <c r="J118" s="30"/>
      <c r="K118" s="30"/>
      <c r="L118" s="65"/>
      <c r="M118" s="65"/>
      <c r="N118" s="65"/>
      <c r="O118" s="30"/>
      <c r="P118" s="30"/>
      <c r="Q118" s="30"/>
      <c r="R118" s="30"/>
      <c r="S118" s="30"/>
      <c r="U118" s="69"/>
      <c r="V118" s="69"/>
      <c r="W118" s="69"/>
      <c r="X118" s="30"/>
      <c r="Y118" s="30"/>
      <c r="Z118" s="30"/>
      <c r="AA118" s="30"/>
      <c r="AB118" s="69"/>
      <c r="AC118" s="69"/>
      <c r="AD118" s="69"/>
      <c r="AE118" s="47"/>
      <c r="AF118" s="47"/>
      <c r="AG118" s="47"/>
      <c r="AH118" s="30"/>
      <c r="AI118" s="30"/>
      <c r="AJ118" s="47"/>
      <c r="AK118" s="70"/>
      <c r="AL118" s="30"/>
      <c r="AM118" s="30"/>
      <c r="AN118" s="70"/>
      <c r="AO118" s="30"/>
      <c r="AP118" s="70"/>
      <c r="AQ118" s="30"/>
      <c r="AR118" s="30"/>
      <c r="AS118" s="51"/>
      <c r="AT118" s="47"/>
      <c r="AU118" s="47"/>
      <c r="AV118" s="30"/>
      <c r="AW118" s="30"/>
      <c r="AX118" s="47"/>
      <c r="AY118" s="30"/>
      <c r="AZ118" s="47"/>
      <c r="BA118" s="30"/>
      <c r="BC118" s="30"/>
      <c r="BF118" s="30"/>
      <c r="BG118" s="47"/>
      <c r="BK118" s="47"/>
      <c r="BN118" s="30"/>
      <c r="BO118" s="47"/>
      <c r="BR118" s="47"/>
      <c r="BT118" s="30"/>
      <c r="BV118" s="47"/>
      <c r="BY118" s="47"/>
      <c r="BZ118" s="30"/>
      <c r="CC118" s="47"/>
      <c r="CD118" s="30"/>
      <c r="CF118" s="47"/>
      <c r="CI118" s="47"/>
      <c r="CJ118" s="30"/>
      <c r="CM118" s="30"/>
      <c r="CQ118" s="30"/>
      <c r="CT118" s="30"/>
      <c r="CW118" s="30"/>
      <c r="DA118" s="30"/>
      <c r="DD118" s="30"/>
    </row>
    <row r="119" spans="1:108" s="63" customFormat="1" x14ac:dyDescent="0.3">
      <c r="A119" s="47" t="s">
        <v>8</v>
      </c>
      <c r="B119" s="47">
        <v>1</v>
      </c>
      <c r="C119" s="30" t="s">
        <v>111</v>
      </c>
      <c r="D119" s="65">
        <v>1.5</v>
      </c>
      <c r="E119" s="30" t="s">
        <v>105</v>
      </c>
      <c r="F119" s="65">
        <f>D119/D102</f>
        <v>7.4999999999999997E-2</v>
      </c>
      <c r="G119" s="30" t="s">
        <v>31</v>
      </c>
      <c r="H119" s="30"/>
      <c r="I119" s="30"/>
      <c r="J119" s="30"/>
      <c r="K119" s="30"/>
      <c r="L119" s="65"/>
      <c r="M119" s="65"/>
      <c r="N119" s="65"/>
      <c r="O119" s="30"/>
      <c r="P119" s="30"/>
      <c r="Q119" s="30"/>
      <c r="R119" s="30"/>
      <c r="S119" s="30"/>
      <c r="U119" s="69"/>
      <c r="V119" s="69"/>
      <c r="W119" s="69"/>
      <c r="X119" s="30"/>
      <c r="Y119" s="30"/>
      <c r="Z119" s="30"/>
      <c r="AA119" s="30"/>
      <c r="AB119" s="69"/>
      <c r="AC119" s="69"/>
      <c r="AD119" s="69"/>
      <c r="AE119" s="47"/>
      <c r="AF119" s="47"/>
      <c r="AG119" s="47"/>
      <c r="AH119" s="30"/>
      <c r="AI119" s="30"/>
      <c r="AJ119" s="47"/>
      <c r="AK119" s="70"/>
      <c r="AL119" s="30"/>
      <c r="AM119" s="30"/>
      <c r="AN119" s="70"/>
      <c r="AO119" s="30"/>
      <c r="AP119" s="70"/>
      <c r="AQ119" s="30"/>
      <c r="AR119" s="30"/>
      <c r="AS119" s="51"/>
      <c r="AT119" s="47"/>
      <c r="AU119" s="47"/>
      <c r="AV119" s="30"/>
      <c r="AW119" s="30"/>
      <c r="AX119" s="47"/>
      <c r="AY119" s="30"/>
      <c r="AZ119" s="47"/>
      <c r="BA119" s="30"/>
      <c r="BC119" s="30"/>
      <c r="BF119" s="30"/>
      <c r="BG119" s="30"/>
      <c r="BK119" s="30"/>
      <c r="BN119" s="30"/>
      <c r="BO119" s="30"/>
      <c r="BR119" s="30"/>
      <c r="BT119" s="30"/>
      <c r="BV119" s="30"/>
      <c r="BY119" s="30"/>
      <c r="BZ119" s="30"/>
      <c r="CC119" s="30"/>
      <c r="CD119" s="30"/>
      <c r="CF119" s="30"/>
      <c r="CI119" s="30"/>
      <c r="CJ119" s="30"/>
      <c r="CM119" s="30"/>
      <c r="CQ119" s="30"/>
      <c r="CT119" s="30"/>
      <c r="CW119" s="30"/>
      <c r="DA119" s="30"/>
      <c r="DD119" s="30"/>
    </row>
    <row r="120" spans="1:108" s="63" customFormat="1" x14ac:dyDescent="0.3">
      <c r="A120" s="47" t="s">
        <v>60</v>
      </c>
      <c r="B120" s="47">
        <v>1</v>
      </c>
      <c r="C120" s="30" t="s">
        <v>111</v>
      </c>
      <c r="D120" s="65">
        <v>1.75</v>
      </c>
      <c r="E120" s="30" t="s">
        <v>105</v>
      </c>
      <c r="G120" s="30"/>
      <c r="H120" s="30"/>
      <c r="I120" s="30"/>
      <c r="J120" s="30"/>
      <c r="K120" s="30"/>
      <c r="L120" s="65"/>
      <c r="M120" s="65"/>
      <c r="N120" s="65"/>
      <c r="O120" s="30"/>
      <c r="P120" s="30"/>
      <c r="Q120" s="30"/>
      <c r="R120" s="30"/>
      <c r="S120" s="30"/>
      <c r="U120" s="69"/>
      <c r="V120" s="69"/>
      <c r="W120" s="69"/>
      <c r="X120" s="30"/>
      <c r="Y120" s="30"/>
      <c r="Z120" s="30"/>
      <c r="AA120" s="30"/>
      <c r="AB120" s="69"/>
      <c r="AC120" s="69"/>
      <c r="AD120" s="69"/>
      <c r="AE120" s="47"/>
      <c r="AF120" s="47"/>
      <c r="AG120" s="47"/>
      <c r="AH120" s="30"/>
      <c r="AI120" s="30"/>
      <c r="AJ120" s="47"/>
      <c r="AK120" s="70"/>
      <c r="AL120" s="30"/>
      <c r="AM120" s="30"/>
      <c r="AN120" s="70"/>
      <c r="AO120" s="30"/>
      <c r="AP120" s="70"/>
      <c r="AQ120" s="30"/>
      <c r="AR120" s="30"/>
      <c r="AS120" s="51"/>
      <c r="AT120" s="47"/>
      <c r="AU120" s="47"/>
      <c r="AV120" s="30"/>
      <c r="AW120" s="30"/>
      <c r="AX120" s="47"/>
      <c r="AY120" s="30"/>
      <c r="AZ120" s="47"/>
      <c r="BA120" s="30"/>
      <c r="BC120" s="30"/>
      <c r="BF120" s="30"/>
      <c r="BG120" s="30"/>
      <c r="BK120" s="30"/>
      <c r="BN120" s="30"/>
      <c r="BO120" s="30"/>
      <c r="BR120" s="30"/>
      <c r="BT120" s="30"/>
      <c r="BV120" s="30"/>
      <c r="BY120" s="30"/>
      <c r="BZ120" s="30"/>
      <c r="CC120" s="30"/>
      <c r="CD120" s="30"/>
      <c r="CF120" s="30"/>
      <c r="CI120" s="30"/>
      <c r="CJ120" s="30"/>
      <c r="CM120" s="30"/>
      <c r="CQ120" s="30"/>
      <c r="CT120" s="30"/>
      <c r="CW120" s="30"/>
      <c r="DA120" s="30"/>
      <c r="DD120" s="30"/>
    </row>
    <row r="121" spans="1:108" s="63" customFormat="1" x14ac:dyDescent="0.3">
      <c r="A121" s="47" t="s">
        <v>60</v>
      </c>
      <c r="B121" s="47">
        <v>1</v>
      </c>
      <c r="C121" s="30" t="s">
        <v>663</v>
      </c>
      <c r="D121" s="47">
        <v>61</v>
      </c>
      <c r="E121" s="35" t="s">
        <v>100</v>
      </c>
      <c r="G121" s="30"/>
      <c r="H121" s="30"/>
      <c r="I121" s="30"/>
      <c r="J121" s="30"/>
      <c r="K121" s="30"/>
      <c r="L121" s="65"/>
      <c r="M121" s="65"/>
      <c r="N121" s="65"/>
      <c r="O121" s="30"/>
      <c r="P121" s="30"/>
      <c r="Q121" s="30"/>
      <c r="R121" s="30"/>
      <c r="S121" s="30"/>
      <c r="U121" s="69"/>
      <c r="V121" s="69"/>
      <c r="W121" s="69"/>
      <c r="X121" s="30"/>
      <c r="Y121" s="30"/>
      <c r="Z121" s="30"/>
      <c r="AA121" s="30"/>
      <c r="AB121" s="69"/>
      <c r="AC121" s="69"/>
      <c r="AD121" s="69"/>
      <c r="AE121" s="47"/>
      <c r="AF121" s="47"/>
      <c r="AG121" s="47"/>
      <c r="AH121" s="30"/>
      <c r="AI121" s="30"/>
      <c r="AJ121" s="47"/>
      <c r="AK121" s="70"/>
      <c r="AL121" s="30"/>
      <c r="AM121" s="30"/>
      <c r="AN121" s="70"/>
      <c r="AO121" s="30"/>
      <c r="AP121" s="70"/>
      <c r="AQ121" s="30"/>
      <c r="AR121" s="30"/>
      <c r="AS121" s="51"/>
      <c r="AT121" s="47"/>
      <c r="AU121" s="47"/>
      <c r="AV121" s="30"/>
      <c r="AW121" s="30"/>
      <c r="AX121" s="47"/>
      <c r="AY121" s="30"/>
      <c r="AZ121" s="47"/>
      <c r="BA121" s="30"/>
      <c r="BC121" s="30"/>
      <c r="BF121" s="30"/>
      <c r="BG121" s="30"/>
      <c r="BK121" s="30"/>
      <c r="BN121" s="30"/>
      <c r="BO121" s="30"/>
      <c r="BR121" s="30"/>
      <c r="BT121" s="30"/>
      <c r="BV121" s="30"/>
      <c r="BY121" s="30"/>
      <c r="BZ121" s="30"/>
      <c r="CC121" s="30"/>
      <c r="CD121" s="30"/>
      <c r="CF121" s="30"/>
      <c r="CI121" s="30"/>
      <c r="CJ121" s="30"/>
      <c r="CM121" s="30"/>
      <c r="CQ121" s="30"/>
      <c r="CT121" s="30"/>
      <c r="CW121" s="30"/>
      <c r="DA121" s="30"/>
      <c r="DD121" s="30"/>
    </row>
    <row r="122" spans="1:108" s="63" customFormat="1" x14ac:dyDescent="0.3">
      <c r="A122" s="47" t="s">
        <v>112</v>
      </c>
      <c r="B122" s="47">
        <v>1</v>
      </c>
      <c r="C122" s="30" t="s">
        <v>111</v>
      </c>
      <c r="D122" s="65">
        <v>1.5</v>
      </c>
      <c r="E122" s="30" t="s">
        <v>105</v>
      </c>
      <c r="G122" s="30"/>
      <c r="H122" s="30"/>
      <c r="I122" s="30"/>
      <c r="J122" s="30"/>
      <c r="K122" s="30"/>
      <c r="L122" s="65"/>
      <c r="M122" s="65"/>
      <c r="N122" s="65"/>
      <c r="O122" s="30"/>
      <c r="P122" s="30"/>
      <c r="Q122" s="30"/>
      <c r="R122" s="30"/>
      <c r="S122" s="30"/>
      <c r="U122" s="69"/>
      <c r="V122" s="69"/>
      <c r="W122" s="69"/>
      <c r="X122" s="30"/>
      <c r="Y122" s="30"/>
      <c r="Z122" s="30"/>
      <c r="AA122" s="30"/>
      <c r="AB122" s="69"/>
      <c r="AC122" s="69"/>
      <c r="AD122" s="69"/>
      <c r="AE122" s="47"/>
      <c r="AF122" s="47"/>
      <c r="AG122" s="47"/>
      <c r="AH122" s="30"/>
      <c r="AI122" s="30"/>
      <c r="AJ122" s="47"/>
      <c r="AK122" s="70"/>
      <c r="AL122" s="30"/>
      <c r="AM122" s="30"/>
      <c r="AN122" s="70"/>
      <c r="AO122" s="30"/>
      <c r="AP122" s="70"/>
      <c r="AQ122" s="30"/>
      <c r="AR122" s="30"/>
      <c r="AS122" s="51"/>
      <c r="AT122" s="47"/>
      <c r="AU122" s="47"/>
      <c r="AV122" s="30"/>
      <c r="AW122" s="30"/>
      <c r="AX122" s="47"/>
      <c r="AY122" s="30"/>
      <c r="AZ122" s="47"/>
      <c r="BA122" s="30"/>
      <c r="BC122" s="30"/>
      <c r="BF122" s="30"/>
      <c r="BG122" s="30"/>
      <c r="BK122" s="30"/>
      <c r="BN122" s="30"/>
      <c r="BO122" s="30"/>
      <c r="BR122" s="30"/>
      <c r="BT122" s="30"/>
      <c r="BV122" s="30"/>
      <c r="BY122" s="30"/>
      <c r="BZ122" s="30"/>
      <c r="CC122" s="30"/>
      <c r="CD122" s="30"/>
      <c r="CF122" s="30"/>
      <c r="CI122" s="30"/>
      <c r="CJ122" s="30"/>
      <c r="CM122" s="30"/>
      <c r="CQ122" s="30"/>
      <c r="CT122" s="30"/>
      <c r="CW122" s="30"/>
      <c r="DA122" s="30"/>
      <c r="DD122" s="30"/>
    </row>
    <row r="123" spans="1:108" s="63" customFormat="1" x14ac:dyDescent="0.3">
      <c r="A123" s="47" t="s">
        <v>44</v>
      </c>
      <c r="B123" s="47">
        <v>1</v>
      </c>
      <c r="C123" s="30" t="s">
        <v>43</v>
      </c>
      <c r="D123" s="65">
        <v>1.26</v>
      </c>
      <c r="E123" s="30" t="s">
        <v>105</v>
      </c>
      <c r="G123" s="30"/>
      <c r="H123" s="30"/>
      <c r="I123" s="30"/>
      <c r="J123" s="30"/>
      <c r="K123" s="30"/>
      <c r="L123" s="65"/>
      <c r="M123" s="65"/>
      <c r="N123" s="65"/>
      <c r="O123" s="30"/>
      <c r="P123" s="30"/>
      <c r="Q123" s="30"/>
      <c r="R123" s="30"/>
      <c r="S123" s="30"/>
      <c r="U123" s="69"/>
      <c r="V123" s="69"/>
      <c r="W123" s="69"/>
      <c r="X123" s="30"/>
      <c r="Y123" s="30"/>
      <c r="Z123" s="30"/>
      <c r="AA123" s="30"/>
      <c r="AB123" s="69"/>
      <c r="AC123" s="69"/>
      <c r="AD123" s="69"/>
      <c r="AE123" s="47"/>
      <c r="AF123" s="47"/>
      <c r="AG123" s="47"/>
      <c r="AH123" s="30"/>
      <c r="AI123" s="30"/>
      <c r="AJ123" s="47"/>
      <c r="AK123" s="70"/>
      <c r="AL123" s="30"/>
      <c r="AM123" s="30"/>
      <c r="AN123" s="70"/>
      <c r="AO123" s="30"/>
      <c r="AP123" s="70"/>
      <c r="AQ123" s="30"/>
      <c r="AR123" s="30"/>
      <c r="AS123" s="51"/>
      <c r="AT123" s="47"/>
      <c r="AU123" s="47"/>
      <c r="AV123" s="30"/>
      <c r="AW123" s="30"/>
      <c r="AX123" s="47"/>
      <c r="AY123" s="30"/>
      <c r="AZ123" s="47"/>
      <c r="BA123" s="30"/>
      <c r="BC123" s="30"/>
      <c r="BF123" s="30"/>
      <c r="BG123" s="30"/>
      <c r="BK123" s="30"/>
      <c r="BN123" s="30"/>
      <c r="BO123" s="30"/>
      <c r="BR123" s="30"/>
      <c r="BT123" s="30"/>
      <c r="BV123" s="30"/>
      <c r="BY123" s="30"/>
      <c r="BZ123" s="30"/>
      <c r="CC123" s="30"/>
      <c r="CD123" s="30"/>
      <c r="CF123" s="30"/>
      <c r="CI123" s="30"/>
      <c r="CJ123" s="30"/>
      <c r="CM123" s="30"/>
      <c r="CQ123" s="30"/>
      <c r="CT123" s="30"/>
      <c r="CW123" s="30"/>
      <c r="DA123" s="30"/>
      <c r="DD123" s="30"/>
    </row>
    <row r="124" spans="1:108" s="63" customFormat="1" x14ac:dyDescent="0.3">
      <c r="A124" s="47" t="s">
        <v>58</v>
      </c>
      <c r="B124" s="47">
        <v>1</v>
      </c>
      <c r="C124" s="30" t="s">
        <v>113</v>
      </c>
      <c r="D124" s="65">
        <v>15.9</v>
      </c>
      <c r="E124" s="30" t="s">
        <v>105</v>
      </c>
      <c r="G124" s="30"/>
      <c r="I124" s="30"/>
      <c r="J124" s="30"/>
      <c r="K124" s="30"/>
      <c r="L124" s="65"/>
      <c r="M124" s="65"/>
      <c r="N124" s="65"/>
      <c r="O124" s="30"/>
      <c r="P124" s="30"/>
      <c r="Q124" s="30"/>
      <c r="R124" s="30"/>
      <c r="S124" s="30"/>
      <c r="U124" s="69"/>
      <c r="V124" s="69"/>
      <c r="W124" s="69"/>
      <c r="X124" s="30"/>
      <c r="Y124" s="30"/>
      <c r="Z124" s="30"/>
      <c r="AA124" s="30"/>
      <c r="AB124" s="69"/>
      <c r="AC124" s="69"/>
      <c r="AD124" s="69"/>
      <c r="AE124" s="47"/>
      <c r="AF124" s="47"/>
      <c r="AG124" s="47"/>
      <c r="AH124" s="30"/>
      <c r="AI124" s="30"/>
      <c r="AJ124" s="47"/>
      <c r="AK124" s="70"/>
      <c r="AL124" s="30"/>
      <c r="AM124" s="30"/>
      <c r="AN124" s="70"/>
      <c r="AO124" s="30"/>
      <c r="AP124" s="70"/>
      <c r="AQ124" s="30"/>
      <c r="AR124" s="30"/>
      <c r="AS124" s="51"/>
      <c r="AT124" s="47"/>
      <c r="AU124" s="47"/>
      <c r="AV124" s="30"/>
      <c r="AW124" s="30"/>
      <c r="AX124" s="47"/>
      <c r="AY124" s="30"/>
      <c r="AZ124" s="47"/>
      <c r="BA124" s="30"/>
      <c r="BC124" s="30"/>
      <c r="BF124" s="30"/>
      <c r="BG124" s="30"/>
      <c r="BK124" s="30"/>
      <c r="BN124" s="30"/>
      <c r="BO124" s="30"/>
      <c r="BR124" s="30"/>
      <c r="BT124" s="30"/>
      <c r="BV124" s="30"/>
      <c r="BY124" s="30"/>
      <c r="BZ124" s="30"/>
      <c r="CC124" s="30"/>
      <c r="CD124" s="30"/>
      <c r="CF124" s="30"/>
      <c r="CI124" s="30"/>
      <c r="CJ124" s="30"/>
      <c r="CM124" s="30"/>
      <c r="CQ124" s="30"/>
      <c r="CT124" s="30"/>
      <c r="CW124" s="30"/>
      <c r="DA124" s="30"/>
      <c r="DD124" s="30"/>
    </row>
    <row r="125" spans="1:108" s="63" customFormat="1" x14ac:dyDescent="0.3">
      <c r="A125" s="47" t="s">
        <v>40</v>
      </c>
      <c r="B125" s="47">
        <v>1</v>
      </c>
      <c r="C125" s="30" t="s">
        <v>46</v>
      </c>
      <c r="D125" s="65">
        <f>439.681/D110</f>
        <v>3.9257232142857141</v>
      </c>
      <c r="E125" s="30" t="s">
        <v>105</v>
      </c>
      <c r="G125" s="30"/>
      <c r="I125" s="30"/>
      <c r="J125" s="30"/>
      <c r="K125" s="30"/>
      <c r="P125" s="30"/>
      <c r="Q125" s="30"/>
      <c r="R125" s="30"/>
      <c r="S125" s="30"/>
      <c r="U125" s="69"/>
      <c r="V125" s="69"/>
      <c r="W125" s="69"/>
      <c r="X125" s="30"/>
      <c r="Y125" s="30"/>
      <c r="Z125" s="30"/>
      <c r="AA125" s="30"/>
      <c r="AB125" s="69"/>
      <c r="AC125" s="69"/>
      <c r="AD125" s="69"/>
      <c r="AE125" s="51"/>
      <c r="AF125" s="51"/>
      <c r="AG125" s="51"/>
      <c r="AH125" s="30"/>
      <c r="AI125" s="30"/>
      <c r="AJ125" s="51"/>
      <c r="AK125" s="70"/>
      <c r="AL125" s="30"/>
      <c r="AM125" s="30"/>
      <c r="AN125" s="70"/>
      <c r="AO125" s="30"/>
      <c r="AP125" s="70"/>
      <c r="AQ125" s="30"/>
      <c r="AR125" s="30"/>
      <c r="AS125" s="51"/>
      <c r="AT125" s="47"/>
      <c r="AU125" s="47"/>
      <c r="AV125" s="30"/>
      <c r="AW125" s="30"/>
      <c r="AX125" s="47"/>
      <c r="AY125" s="30"/>
      <c r="AZ125" s="47"/>
      <c r="BA125" s="30"/>
      <c r="BC125" s="30"/>
      <c r="BF125" s="30"/>
      <c r="BG125" s="30"/>
      <c r="BK125" s="30"/>
      <c r="BN125" s="30"/>
      <c r="BO125" s="30"/>
      <c r="BR125" s="30"/>
      <c r="BT125" s="30"/>
      <c r="BV125" s="30"/>
      <c r="BY125" s="30"/>
      <c r="BZ125" s="30"/>
      <c r="CC125" s="30"/>
      <c r="CD125" s="30"/>
      <c r="CF125" s="30"/>
      <c r="CI125" s="30"/>
      <c r="CJ125" s="30"/>
      <c r="CM125" s="30"/>
      <c r="CQ125" s="30"/>
      <c r="CT125" s="30"/>
      <c r="CW125" s="30"/>
      <c r="DA125" s="30"/>
      <c r="DD125" s="30"/>
    </row>
    <row r="126" spans="1:108" s="63" customFormat="1" x14ac:dyDescent="0.3">
      <c r="A126" s="107" t="s">
        <v>51</v>
      </c>
      <c r="B126" s="47">
        <v>1</v>
      </c>
      <c r="C126" s="30" t="s">
        <v>46</v>
      </c>
      <c r="D126" s="65">
        <v>3</v>
      </c>
      <c r="E126" s="30" t="s">
        <v>105</v>
      </c>
      <c r="F126" s="65">
        <f>D127*D126</f>
        <v>6.0815099999999997</v>
      </c>
      <c r="G126" s="30" t="s">
        <v>105</v>
      </c>
      <c r="I126" s="30"/>
      <c r="J126" s="30"/>
      <c r="K126" s="30"/>
      <c r="P126" s="30"/>
      <c r="Q126" s="30"/>
      <c r="R126" s="30"/>
      <c r="S126" s="30"/>
      <c r="U126" s="69"/>
      <c r="V126" s="69"/>
      <c r="W126" s="69"/>
      <c r="X126" s="30"/>
      <c r="Y126" s="30"/>
      <c r="Z126" s="30"/>
      <c r="AA126" s="30"/>
      <c r="AB126" s="69"/>
      <c r="AC126" s="69"/>
      <c r="AD126" s="69"/>
      <c r="AE126" s="51"/>
      <c r="AF126" s="51"/>
      <c r="AG126" s="51"/>
      <c r="AH126" s="30"/>
      <c r="AI126" s="30"/>
      <c r="AJ126" s="51"/>
      <c r="AK126" s="70"/>
      <c r="AL126" s="30"/>
      <c r="AM126" s="30"/>
      <c r="AN126" s="70"/>
      <c r="AO126" s="30"/>
      <c r="AP126" s="70"/>
      <c r="AQ126" s="30"/>
      <c r="AR126" s="30"/>
      <c r="AS126" s="51"/>
      <c r="AT126" s="47"/>
      <c r="AU126" s="47"/>
      <c r="AV126" s="30"/>
      <c r="AW126" s="30"/>
      <c r="AX126" s="47"/>
      <c r="AY126" s="30"/>
      <c r="AZ126" s="47"/>
      <c r="BA126" s="30"/>
      <c r="BC126" s="30"/>
      <c r="BF126" s="30"/>
      <c r="BG126" s="30"/>
      <c r="BK126" s="30"/>
      <c r="BN126" s="30"/>
      <c r="BO126" s="30"/>
      <c r="BR126" s="30"/>
      <c r="BT126" s="30"/>
      <c r="BV126" s="30"/>
      <c r="BY126" s="30"/>
      <c r="BZ126" s="30"/>
      <c r="CC126" s="30"/>
      <c r="CD126" s="30"/>
      <c r="CF126" s="30"/>
      <c r="CI126" s="30"/>
      <c r="CJ126" s="30"/>
      <c r="CM126" s="30"/>
      <c r="CQ126" s="30"/>
      <c r="CT126" s="30"/>
      <c r="CW126" s="30"/>
      <c r="DA126" s="30"/>
      <c r="DD126" s="30"/>
    </row>
    <row r="127" spans="1:108" s="63" customFormat="1" x14ac:dyDescent="0.3">
      <c r="A127" s="107"/>
      <c r="B127" s="47">
        <v>1</v>
      </c>
      <c r="C127" s="30" t="s">
        <v>125</v>
      </c>
      <c r="D127" s="65">
        <v>2.0271699999999999</v>
      </c>
      <c r="E127" s="30" t="s">
        <v>32</v>
      </c>
      <c r="F127" s="65">
        <f>D128/D110</f>
        <v>3.5714285714285716</v>
      </c>
      <c r="G127" s="30" t="s">
        <v>105</v>
      </c>
      <c r="H127" s="65">
        <f>F127/D129</f>
        <v>1.1984659635666348</v>
      </c>
      <c r="I127" s="30" t="s">
        <v>32</v>
      </c>
      <c r="J127" s="30"/>
      <c r="K127" s="30"/>
      <c r="P127" s="30"/>
      <c r="Q127" s="30"/>
      <c r="R127" s="30"/>
      <c r="S127" s="30"/>
      <c r="U127" s="69"/>
      <c r="V127" s="69"/>
      <c r="W127" s="69"/>
      <c r="X127" s="30"/>
      <c r="Y127" s="30"/>
      <c r="Z127" s="30"/>
      <c r="AA127" s="30"/>
      <c r="AB127" s="69"/>
      <c r="AC127" s="69"/>
      <c r="AD127" s="69"/>
      <c r="AE127" s="51"/>
      <c r="AF127" s="51"/>
      <c r="AG127" s="51"/>
      <c r="AH127" s="30"/>
      <c r="AI127" s="30"/>
      <c r="AJ127" s="51"/>
      <c r="AK127" s="70"/>
      <c r="AL127" s="30"/>
      <c r="AM127" s="30"/>
      <c r="AN127" s="70"/>
      <c r="AO127" s="30"/>
      <c r="AP127" s="70"/>
      <c r="AQ127" s="30"/>
      <c r="AR127" s="30"/>
      <c r="AS127" s="51"/>
      <c r="AT127" s="47"/>
      <c r="AU127" s="47"/>
      <c r="AV127" s="30"/>
      <c r="AW127" s="30"/>
      <c r="AX127" s="47"/>
      <c r="AY127" s="30"/>
      <c r="AZ127" s="47"/>
      <c r="BA127" s="30"/>
      <c r="BC127" s="30"/>
      <c r="BF127" s="30"/>
      <c r="BG127" s="30"/>
      <c r="BK127" s="30"/>
      <c r="BN127" s="30"/>
      <c r="BO127" s="30"/>
      <c r="BR127" s="30"/>
      <c r="BT127" s="30"/>
      <c r="BV127" s="30"/>
      <c r="BY127" s="30"/>
      <c r="BZ127" s="30"/>
      <c r="CC127" s="30"/>
      <c r="CD127" s="30"/>
      <c r="CF127" s="30"/>
      <c r="CI127" s="30"/>
      <c r="CJ127" s="30"/>
      <c r="CM127" s="30"/>
      <c r="CQ127" s="30"/>
      <c r="CT127" s="30"/>
      <c r="CW127" s="30"/>
      <c r="DA127" s="30"/>
      <c r="DD127" s="30"/>
    </row>
    <row r="128" spans="1:108" s="63" customFormat="1" x14ac:dyDescent="0.3">
      <c r="A128" s="72" t="s">
        <v>92</v>
      </c>
      <c r="B128" s="47">
        <v>1</v>
      </c>
      <c r="C128" s="30" t="s">
        <v>43</v>
      </c>
      <c r="D128" s="65">
        <v>400</v>
      </c>
      <c r="E128" s="30" t="s">
        <v>56</v>
      </c>
      <c r="G128" s="30"/>
      <c r="I128" s="30"/>
      <c r="J128" s="30"/>
      <c r="K128" s="30"/>
      <c r="P128" s="30"/>
      <c r="Q128" s="30"/>
      <c r="R128" s="30"/>
      <c r="S128" s="30"/>
      <c r="U128" s="69"/>
      <c r="V128" s="69"/>
      <c r="W128" s="69"/>
      <c r="X128" s="30"/>
      <c r="Y128" s="30"/>
      <c r="Z128" s="30"/>
      <c r="AA128" s="30"/>
      <c r="AB128" s="69"/>
      <c r="AC128" s="69"/>
      <c r="AD128" s="69"/>
      <c r="AE128" s="51"/>
      <c r="AF128" s="51"/>
      <c r="AG128" s="51"/>
      <c r="AH128" s="30"/>
      <c r="AI128" s="30"/>
      <c r="AJ128" s="51"/>
      <c r="AK128" s="70"/>
      <c r="AL128" s="30"/>
      <c r="AM128" s="30"/>
      <c r="AN128" s="70"/>
      <c r="AO128" s="30"/>
      <c r="AP128" s="70"/>
      <c r="AQ128" s="30"/>
      <c r="AR128" s="30"/>
      <c r="AS128" s="51"/>
      <c r="AT128" s="47"/>
      <c r="AU128" s="47"/>
      <c r="AV128" s="30"/>
      <c r="AW128" s="30"/>
      <c r="AX128" s="47"/>
      <c r="AY128" s="30"/>
      <c r="AZ128" s="47"/>
      <c r="BA128" s="30"/>
      <c r="BC128" s="30"/>
      <c r="BF128" s="30"/>
      <c r="BG128" s="30"/>
      <c r="BK128" s="30"/>
      <c r="BN128" s="30"/>
      <c r="BO128" s="30"/>
      <c r="BR128" s="30"/>
      <c r="BT128" s="30"/>
      <c r="BV128" s="30"/>
      <c r="BY128" s="30"/>
      <c r="BZ128" s="30"/>
      <c r="CC128" s="30"/>
      <c r="CD128" s="30"/>
      <c r="CF128" s="30"/>
      <c r="CI128" s="30"/>
      <c r="CJ128" s="30"/>
      <c r="CM128" s="30"/>
      <c r="CQ128" s="30"/>
      <c r="CT128" s="30"/>
      <c r="CW128" s="30"/>
      <c r="DA128" s="30"/>
      <c r="DD128" s="30"/>
    </row>
    <row r="129" spans="1:108" s="63" customFormat="1" x14ac:dyDescent="0.3">
      <c r="A129" s="107" t="s">
        <v>34</v>
      </c>
      <c r="B129" s="47">
        <v>1</v>
      </c>
      <c r="C129" s="30" t="s">
        <v>46</v>
      </c>
      <c r="D129" s="65">
        <v>2.98</v>
      </c>
      <c r="E129" s="30" t="s">
        <v>105</v>
      </c>
      <c r="F129" s="63">
        <f>D130*D129</f>
        <v>4.47</v>
      </c>
      <c r="G129" s="30" t="s">
        <v>105</v>
      </c>
      <c r="I129" s="30"/>
      <c r="J129" s="30"/>
      <c r="K129" s="30"/>
      <c r="P129" s="30"/>
      <c r="Q129" s="30"/>
      <c r="R129" s="30"/>
      <c r="S129" s="30"/>
      <c r="U129" s="69"/>
      <c r="V129" s="69"/>
      <c r="W129" s="69"/>
      <c r="X129" s="30"/>
      <c r="Y129" s="30"/>
      <c r="Z129" s="30"/>
      <c r="AA129" s="30"/>
      <c r="AB129" s="69"/>
      <c r="AC129" s="69"/>
      <c r="AD129" s="69"/>
      <c r="AE129" s="51"/>
      <c r="AF129" s="51"/>
      <c r="AG129" s="51"/>
      <c r="AH129" s="30"/>
      <c r="AI129" s="30"/>
      <c r="AJ129" s="51"/>
      <c r="AK129" s="70"/>
      <c r="AL129" s="30"/>
      <c r="AM129" s="30"/>
      <c r="AN129" s="70"/>
      <c r="AO129" s="30"/>
      <c r="AP129" s="70"/>
      <c r="AQ129" s="30"/>
      <c r="AR129" s="30"/>
      <c r="AS129" s="51"/>
      <c r="AT129" s="47"/>
      <c r="AU129" s="47"/>
      <c r="AV129" s="30"/>
      <c r="AW129" s="30"/>
      <c r="AX129" s="47"/>
      <c r="AY129" s="30"/>
      <c r="AZ129" s="47"/>
      <c r="BA129" s="30"/>
      <c r="BC129" s="30"/>
      <c r="BF129" s="30"/>
      <c r="BG129" s="30"/>
      <c r="BK129" s="30"/>
      <c r="BN129" s="30"/>
      <c r="BO129" s="30"/>
      <c r="BR129" s="30"/>
      <c r="BT129" s="30"/>
      <c r="BV129" s="30"/>
      <c r="BY129" s="30"/>
      <c r="BZ129" s="30"/>
      <c r="CC129" s="30"/>
      <c r="CD129" s="30"/>
      <c r="CF129" s="30"/>
      <c r="CI129" s="30"/>
      <c r="CJ129" s="30"/>
      <c r="CM129" s="30"/>
      <c r="CQ129" s="30"/>
      <c r="CT129" s="30"/>
      <c r="CW129" s="30"/>
      <c r="DA129" s="30"/>
      <c r="DD129" s="30"/>
    </row>
    <row r="130" spans="1:108" s="63" customFormat="1" x14ac:dyDescent="0.3">
      <c r="A130" s="107"/>
      <c r="B130" s="47">
        <v>1</v>
      </c>
      <c r="C130" s="30" t="s">
        <v>43</v>
      </c>
      <c r="D130" s="65">
        <v>1.5</v>
      </c>
      <c r="E130" s="30" t="s">
        <v>32</v>
      </c>
      <c r="G130" s="30"/>
      <c r="I130" s="30"/>
      <c r="J130" s="30"/>
      <c r="K130" s="30"/>
      <c r="P130" s="30"/>
      <c r="Q130" s="30"/>
      <c r="R130" s="30"/>
      <c r="S130" s="30"/>
      <c r="U130" s="69"/>
      <c r="V130" s="69"/>
      <c r="W130" s="69"/>
      <c r="X130" s="30"/>
      <c r="Y130" s="30"/>
      <c r="Z130" s="30"/>
      <c r="AA130" s="30"/>
      <c r="AB130" s="69"/>
      <c r="AC130" s="69"/>
      <c r="AD130" s="69"/>
      <c r="AE130" s="51"/>
      <c r="AF130" s="51"/>
      <c r="AG130" s="51"/>
      <c r="AH130" s="30"/>
      <c r="AI130" s="30"/>
      <c r="AJ130" s="51"/>
      <c r="AK130" s="70"/>
      <c r="AL130" s="30"/>
      <c r="AM130" s="30"/>
      <c r="AN130" s="70"/>
      <c r="AO130" s="30"/>
      <c r="AP130" s="70"/>
      <c r="AQ130" s="30"/>
      <c r="AR130" s="30"/>
      <c r="AS130" s="51"/>
      <c r="AT130" s="47"/>
      <c r="AU130" s="47"/>
      <c r="AV130" s="30"/>
      <c r="AW130" s="30"/>
      <c r="AX130" s="47"/>
      <c r="AY130" s="30"/>
      <c r="AZ130" s="47"/>
      <c r="BA130" s="30"/>
      <c r="BC130" s="30"/>
      <c r="BF130" s="30"/>
      <c r="BG130" s="30"/>
      <c r="BK130" s="30"/>
      <c r="BN130" s="30"/>
      <c r="BO130" s="30"/>
      <c r="BR130" s="30"/>
      <c r="BT130" s="30"/>
      <c r="BV130" s="30"/>
      <c r="BY130" s="30"/>
      <c r="BZ130" s="30"/>
      <c r="CC130" s="30"/>
      <c r="CD130" s="30"/>
      <c r="CF130" s="30"/>
      <c r="CI130" s="30"/>
      <c r="CJ130" s="30"/>
      <c r="CM130" s="30"/>
      <c r="CQ130" s="30"/>
      <c r="CT130" s="30"/>
      <c r="CW130" s="30"/>
      <c r="DA130" s="30"/>
      <c r="DD130" s="30"/>
    </row>
    <row r="131" spans="1:108" s="63" customFormat="1" x14ac:dyDescent="0.3">
      <c r="A131" s="47" t="s">
        <v>89</v>
      </c>
      <c r="B131" s="47">
        <v>1</v>
      </c>
      <c r="C131" s="30" t="s">
        <v>114</v>
      </c>
      <c r="D131" s="65">
        <v>9</v>
      </c>
      <c r="E131" s="30" t="s">
        <v>18</v>
      </c>
      <c r="G131" s="30"/>
      <c r="I131" s="30"/>
      <c r="J131" s="30"/>
      <c r="K131" s="30"/>
      <c r="P131" s="30"/>
      <c r="Q131" s="30"/>
      <c r="R131" s="30"/>
      <c r="S131" s="30"/>
      <c r="U131" s="69"/>
      <c r="V131" s="69"/>
      <c r="W131" s="69"/>
      <c r="X131" s="30"/>
      <c r="Y131" s="30"/>
      <c r="Z131" s="30"/>
      <c r="AA131" s="30"/>
      <c r="AB131" s="69"/>
      <c r="AC131" s="69"/>
      <c r="AD131" s="69"/>
      <c r="AE131" s="51"/>
      <c r="AF131" s="51"/>
      <c r="AG131" s="51"/>
      <c r="AH131" s="30"/>
      <c r="AI131" s="30"/>
      <c r="AJ131" s="51"/>
      <c r="AK131" s="70"/>
      <c r="AL131" s="30"/>
      <c r="AM131" s="30"/>
      <c r="AN131" s="70"/>
      <c r="AO131" s="30"/>
      <c r="AP131" s="70"/>
      <c r="AQ131" s="30"/>
      <c r="AR131" s="30"/>
      <c r="AS131" s="51"/>
      <c r="AT131" s="47"/>
      <c r="AU131" s="47"/>
      <c r="AV131" s="30"/>
      <c r="AW131" s="30"/>
      <c r="AX131" s="47"/>
      <c r="AY131" s="30"/>
      <c r="AZ131" s="47"/>
      <c r="BA131" s="30"/>
      <c r="BC131" s="30"/>
      <c r="BF131" s="30"/>
      <c r="BG131" s="30"/>
      <c r="BK131" s="30"/>
      <c r="BN131" s="30"/>
      <c r="BO131" s="30"/>
      <c r="BR131" s="30"/>
      <c r="BT131" s="30"/>
      <c r="BV131" s="30"/>
      <c r="BY131" s="30"/>
      <c r="BZ131" s="30"/>
      <c r="CC131" s="30"/>
      <c r="CD131" s="30"/>
      <c r="CF131" s="30"/>
      <c r="CI131" s="30"/>
      <c r="CJ131" s="30"/>
      <c r="CM131" s="30"/>
      <c r="CQ131" s="30"/>
      <c r="CT131" s="30"/>
      <c r="CW131" s="30"/>
      <c r="DA131" s="30"/>
      <c r="DD131" s="30"/>
    </row>
    <row r="132" spans="1:108" s="63" customFormat="1" x14ac:dyDescent="0.3">
      <c r="A132" s="47" t="s">
        <v>115</v>
      </c>
      <c r="B132" s="47">
        <v>1</v>
      </c>
      <c r="C132" s="30" t="s">
        <v>116</v>
      </c>
      <c r="D132" s="65">
        <v>9</v>
      </c>
      <c r="E132" s="30" t="s">
        <v>18</v>
      </c>
      <c r="F132" s="63">
        <f>D133*D110</f>
        <v>196</v>
      </c>
      <c r="G132" s="30" t="s">
        <v>100</v>
      </c>
      <c r="I132" s="30"/>
      <c r="J132" s="30"/>
      <c r="K132" s="30"/>
      <c r="P132" s="30"/>
      <c r="Q132" s="30"/>
      <c r="R132" s="30"/>
      <c r="S132" s="30"/>
      <c r="U132" s="69"/>
      <c r="V132" s="69"/>
      <c r="W132" s="69"/>
      <c r="X132" s="30"/>
      <c r="Y132" s="30"/>
      <c r="Z132" s="30"/>
      <c r="AA132" s="30"/>
      <c r="AB132" s="69"/>
      <c r="AC132" s="69"/>
      <c r="AD132" s="69"/>
      <c r="AE132" s="51"/>
      <c r="AF132" s="51"/>
      <c r="AG132" s="51"/>
      <c r="AH132" s="30"/>
      <c r="AI132" s="30"/>
      <c r="AJ132" s="51"/>
      <c r="AK132" s="70"/>
      <c r="AL132" s="30"/>
      <c r="AM132" s="30"/>
      <c r="AN132" s="70"/>
      <c r="AO132" s="30"/>
      <c r="AP132" s="70"/>
      <c r="AQ132" s="30"/>
      <c r="AR132" s="30"/>
      <c r="AS132" s="51"/>
      <c r="AT132" s="47"/>
      <c r="AU132" s="47"/>
      <c r="AV132" s="30"/>
      <c r="AW132" s="30"/>
      <c r="AX132" s="47"/>
      <c r="AY132" s="30"/>
      <c r="AZ132" s="47"/>
      <c r="BA132" s="30"/>
      <c r="BC132" s="30"/>
      <c r="BF132" s="30"/>
      <c r="BG132" s="30"/>
      <c r="BK132" s="30"/>
      <c r="BN132" s="30"/>
      <c r="BO132" s="30"/>
      <c r="BR132" s="30"/>
      <c r="BT132" s="30"/>
      <c r="BV132" s="30"/>
      <c r="BY132" s="30"/>
      <c r="BZ132" s="30"/>
      <c r="CC132" s="30"/>
      <c r="CD132" s="30"/>
      <c r="CF132" s="30"/>
      <c r="CI132" s="30"/>
      <c r="CJ132" s="30"/>
      <c r="CM132" s="30"/>
      <c r="CQ132" s="30"/>
      <c r="CT132" s="30"/>
      <c r="CW132" s="30"/>
      <c r="DA132" s="30"/>
      <c r="DD132" s="30"/>
    </row>
    <row r="133" spans="1:108" s="63" customFormat="1" x14ac:dyDescent="0.3">
      <c r="A133" s="47" t="s">
        <v>10</v>
      </c>
      <c r="B133" s="47">
        <v>1</v>
      </c>
      <c r="C133" s="30" t="s">
        <v>111</v>
      </c>
      <c r="D133" s="65">
        <v>1.75</v>
      </c>
      <c r="E133" s="30" t="s">
        <v>105</v>
      </c>
      <c r="F133" s="65">
        <f>D134/D110</f>
        <v>1.5625</v>
      </c>
      <c r="G133" s="30" t="s">
        <v>17</v>
      </c>
      <c r="I133" s="30"/>
      <c r="J133" s="30"/>
      <c r="K133" s="30"/>
      <c r="P133" s="30"/>
      <c r="Q133" s="30"/>
      <c r="R133" s="30"/>
      <c r="S133" s="30"/>
      <c r="U133" s="69"/>
      <c r="V133" s="69"/>
      <c r="W133" s="69"/>
      <c r="X133" s="30"/>
      <c r="Y133" s="30"/>
      <c r="Z133" s="30"/>
      <c r="AA133" s="30"/>
      <c r="AB133" s="69"/>
      <c r="AC133" s="69"/>
      <c r="AD133" s="69"/>
      <c r="AE133" s="51"/>
      <c r="AF133" s="51"/>
      <c r="AG133" s="51"/>
      <c r="AH133" s="30"/>
      <c r="AI133" s="30"/>
      <c r="AJ133" s="51"/>
      <c r="AK133" s="70"/>
      <c r="AL133" s="30"/>
      <c r="AM133" s="30"/>
      <c r="AN133" s="70"/>
      <c r="AO133" s="30"/>
      <c r="AP133" s="70"/>
      <c r="AQ133" s="30"/>
      <c r="AR133" s="30"/>
      <c r="AS133" s="51"/>
      <c r="AT133" s="47"/>
      <c r="AU133" s="47"/>
      <c r="AV133" s="30"/>
      <c r="AW133" s="30"/>
      <c r="AX133" s="47"/>
      <c r="AY133" s="30"/>
      <c r="AZ133" s="47"/>
      <c r="BA133" s="30"/>
      <c r="BC133" s="30"/>
      <c r="BF133" s="30"/>
      <c r="BG133" s="30"/>
      <c r="BK133" s="30"/>
      <c r="BN133" s="30"/>
      <c r="BO133" s="30"/>
      <c r="BR133" s="30"/>
      <c r="BT133" s="30"/>
      <c r="BV133" s="30"/>
      <c r="BY133" s="30"/>
      <c r="BZ133" s="30"/>
      <c r="CC133" s="30"/>
      <c r="CD133" s="30"/>
      <c r="CF133" s="30"/>
      <c r="CI133" s="30"/>
      <c r="CJ133" s="30"/>
      <c r="CM133" s="30"/>
      <c r="CQ133" s="30"/>
      <c r="CT133" s="30"/>
      <c r="CW133" s="30"/>
      <c r="DA133" s="30"/>
      <c r="DD133" s="30"/>
    </row>
    <row r="134" spans="1:108" s="63" customFormat="1" x14ac:dyDescent="0.3">
      <c r="A134" s="47" t="s">
        <v>10</v>
      </c>
      <c r="B134" s="47">
        <v>1</v>
      </c>
      <c r="C134" s="30" t="s">
        <v>43</v>
      </c>
      <c r="D134" s="65">
        <v>175</v>
      </c>
      <c r="E134" s="30" t="s">
        <v>100</v>
      </c>
      <c r="F134" s="65">
        <v>16.997</v>
      </c>
      <c r="G134" s="30" t="s">
        <v>100</v>
      </c>
      <c r="I134" s="30"/>
      <c r="J134" s="30"/>
      <c r="K134" s="30"/>
      <c r="P134" s="30"/>
      <c r="Q134" s="30"/>
      <c r="R134" s="30"/>
      <c r="S134" s="30"/>
      <c r="U134" s="69"/>
      <c r="V134" s="69"/>
      <c r="W134" s="69"/>
      <c r="X134" s="30"/>
      <c r="Y134" s="30"/>
      <c r="Z134" s="30"/>
      <c r="AA134" s="30"/>
      <c r="AB134" s="69"/>
      <c r="AC134" s="69"/>
      <c r="AD134" s="69"/>
      <c r="AE134" s="51"/>
      <c r="AF134" s="51"/>
      <c r="AG134" s="51"/>
      <c r="AH134" s="30"/>
      <c r="AI134" s="30"/>
      <c r="AJ134" s="51"/>
      <c r="AK134" s="70"/>
      <c r="AL134" s="30"/>
      <c r="AM134" s="30"/>
      <c r="AN134" s="70"/>
      <c r="AO134" s="30"/>
      <c r="AP134" s="70"/>
      <c r="AQ134" s="30"/>
      <c r="AR134" s="30"/>
      <c r="AS134" s="51"/>
      <c r="AT134" s="47"/>
      <c r="AU134" s="47"/>
      <c r="AV134" s="30"/>
      <c r="AW134" s="30"/>
      <c r="AX134" s="47"/>
      <c r="AY134" s="30"/>
      <c r="AZ134" s="47"/>
      <c r="BA134" s="30"/>
      <c r="BC134" s="30"/>
      <c r="BF134" s="30"/>
      <c r="BG134" s="30"/>
      <c r="BK134" s="30"/>
      <c r="BN134" s="30"/>
      <c r="BO134" s="30"/>
      <c r="BR134" s="30"/>
      <c r="BT134" s="30"/>
      <c r="BV134" s="30"/>
      <c r="BY134" s="30"/>
      <c r="BZ134" s="30"/>
      <c r="CC134" s="30"/>
      <c r="CD134" s="30"/>
      <c r="CF134" s="30"/>
      <c r="CI134" s="30"/>
      <c r="CJ134" s="30"/>
      <c r="CM134" s="30"/>
      <c r="CQ134" s="30"/>
      <c r="CT134" s="30"/>
      <c r="CW134" s="30"/>
      <c r="DA134" s="30"/>
      <c r="DD134" s="30"/>
    </row>
    <row r="135" spans="1:108" s="63" customFormat="1" x14ac:dyDescent="0.3">
      <c r="A135" s="47" t="s">
        <v>20</v>
      </c>
      <c r="B135" s="47">
        <v>1</v>
      </c>
      <c r="C135" s="30" t="s">
        <v>117</v>
      </c>
      <c r="D135" s="65">
        <v>0.15175</v>
      </c>
      <c r="E135" s="30" t="s">
        <v>105</v>
      </c>
      <c r="G135" s="30"/>
      <c r="I135" s="30"/>
      <c r="J135" s="30"/>
      <c r="K135" s="30"/>
      <c r="P135" s="30"/>
      <c r="Q135" s="30"/>
      <c r="R135" s="30"/>
      <c r="S135" s="30"/>
      <c r="U135" s="69"/>
      <c r="V135" s="69"/>
      <c r="W135" s="69"/>
      <c r="X135" s="30"/>
      <c r="Y135" s="30"/>
      <c r="Z135" s="30"/>
      <c r="AA135" s="30"/>
      <c r="AB135" s="69"/>
      <c r="AC135" s="69"/>
      <c r="AD135" s="69"/>
      <c r="AE135" s="51"/>
      <c r="AF135" s="51"/>
      <c r="AG135" s="51"/>
      <c r="AH135" s="30"/>
      <c r="AI135" s="30"/>
      <c r="AJ135" s="51"/>
      <c r="AK135" s="70"/>
      <c r="AL135" s="30"/>
      <c r="AM135" s="30"/>
      <c r="AN135" s="70"/>
      <c r="AO135" s="30"/>
      <c r="AP135" s="70"/>
      <c r="AQ135" s="30"/>
      <c r="AR135" s="30"/>
      <c r="AS135" s="51"/>
      <c r="AT135" s="47"/>
      <c r="AU135" s="47"/>
      <c r="AV135" s="30"/>
      <c r="AW135" s="30"/>
      <c r="AX135" s="47"/>
      <c r="AY135" s="30"/>
      <c r="AZ135" s="47"/>
      <c r="BA135" s="30"/>
      <c r="BC135" s="30"/>
      <c r="BF135" s="30"/>
      <c r="BG135" s="30"/>
      <c r="BK135" s="30"/>
      <c r="BN135" s="30"/>
      <c r="BO135" s="30"/>
      <c r="BR135" s="30"/>
      <c r="BT135" s="30"/>
      <c r="BV135" s="30"/>
      <c r="BY135" s="30"/>
      <c r="BZ135" s="30"/>
      <c r="CC135" s="30"/>
      <c r="CD135" s="30"/>
      <c r="CF135" s="30"/>
      <c r="CI135" s="30"/>
      <c r="CJ135" s="30"/>
      <c r="CM135" s="30"/>
      <c r="CQ135" s="30"/>
      <c r="CT135" s="30"/>
      <c r="CW135" s="30"/>
      <c r="DA135" s="30"/>
      <c r="DD135" s="30"/>
    </row>
    <row r="136" spans="1:108" s="63" customFormat="1" x14ac:dyDescent="0.3">
      <c r="A136" s="47" t="s">
        <v>38</v>
      </c>
      <c r="B136" s="47">
        <v>1</v>
      </c>
      <c r="C136" s="30" t="s">
        <v>111</v>
      </c>
      <c r="D136" s="65">
        <v>1.5</v>
      </c>
      <c r="E136" s="30" t="s">
        <v>105</v>
      </c>
      <c r="G136" s="30"/>
      <c r="I136" s="30"/>
      <c r="J136" s="30"/>
      <c r="K136" s="30"/>
      <c r="P136" s="30"/>
      <c r="Q136" s="30"/>
      <c r="R136" s="30"/>
      <c r="S136" s="30"/>
      <c r="U136" s="69"/>
      <c r="V136" s="69"/>
      <c r="W136" s="69"/>
      <c r="X136" s="30"/>
      <c r="Y136" s="30"/>
      <c r="Z136" s="30"/>
      <c r="AA136" s="30"/>
      <c r="AB136" s="69"/>
      <c r="AC136" s="69"/>
      <c r="AD136" s="69"/>
      <c r="AE136" s="51"/>
      <c r="AF136" s="51"/>
      <c r="AG136" s="51"/>
      <c r="AH136" s="30"/>
      <c r="AI136" s="30"/>
      <c r="AJ136" s="51"/>
      <c r="AK136" s="70"/>
      <c r="AL136" s="30"/>
      <c r="AM136" s="30"/>
      <c r="AN136" s="70"/>
      <c r="AO136" s="30"/>
      <c r="AP136" s="70"/>
      <c r="AQ136" s="30"/>
      <c r="AR136" s="30"/>
      <c r="AS136" s="51"/>
      <c r="AT136" s="47"/>
      <c r="AU136" s="47"/>
      <c r="AV136" s="30"/>
      <c r="AW136" s="30"/>
      <c r="AX136" s="47"/>
      <c r="AY136" s="30"/>
      <c r="AZ136" s="47"/>
      <c r="BA136" s="30"/>
      <c r="BC136" s="30"/>
      <c r="BF136" s="30"/>
      <c r="BG136" s="30"/>
      <c r="BK136" s="30"/>
      <c r="BN136" s="30"/>
      <c r="BO136" s="30"/>
      <c r="BR136" s="30"/>
      <c r="BT136" s="30"/>
      <c r="BV136" s="30"/>
      <c r="BY136" s="30"/>
      <c r="BZ136" s="30"/>
      <c r="CC136" s="30"/>
      <c r="CD136" s="30"/>
      <c r="CF136" s="30"/>
      <c r="CI136" s="30"/>
      <c r="CJ136" s="30"/>
      <c r="CM136" s="30"/>
      <c r="CQ136" s="30"/>
      <c r="CT136" s="30"/>
      <c r="CW136" s="30"/>
      <c r="DA136" s="30"/>
      <c r="DD136" s="30"/>
    </row>
    <row r="137" spans="1:108" s="63" customFormat="1" x14ac:dyDescent="0.3">
      <c r="A137" s="47" t="s">
        <v>38</v>
      </c>
      <c r="B137" s="47">
        <v>1</v>
      </c>
      <c r="C137" s="30" t="s">
        <v>663</v>
      </c>
      <c r="D137" s="47">
        <v>44.5</v>
      </c>
      <c r="E137" s="35" t="s">
        <v>100</v>
      </c>
      <c r="G137" s="30"/>
      <c r="I137" s="30"/>
      <c r="J137" s="30"/>
      <c r="K137" s="30"/>
      <c r="P137" s="30"/>
      <c r="Q137" s="30"/>
      <c r="R137" s="30"/>
      <c r="S137" s="30"/>
      <c r="U137" s="69"/>
      <c r="V137" s="69"/>
      <c r="W137" s="69"/>
      <c r="X137" s="30"/>
      <c r="Y137" s="30"/>
      <c r="Z137" s="30"/>
      <c r="AA137" s="30"/>
      <c r="AB137" s="69"/>
      <c r="AC137" s="69"/>
      <c r="AD137" s="69"/>
      <c r="AE137" s="51"/>
      <c r="AF137" s="51"/>
      <c r="AG137" s="51"/>
      <c r="AH137" s="30"/>
      <c r="AI137" s="30"/>
      <c r="AJ137" s="51"/>
      <c r="AK137" s="70"/>
      <c r="AL137" s="30"/>
      <c r="AM137" s="30"/>
      <c r="AN137" s="70"/>
      <c r="AO137" s="30"/>
      <c r="AP137" s="70"/>
      <c r="AQ137" s="30"/>
      <c r="AR137" s="30"/>
      <c r="AS137" s="51"/>
      <c r="AT137" s="47"/>
      <c r="AU137" s="47"/>
      <c r="AV137" s="30"/>
      <c r="AW137" s="30"/>
      <c r="AX137" s="47"/>
      <c r="AY137" s="30"/>
      <c r="AZ137" s="47"/>
      <c r="BA137" s="30"/>
      <c r="BC137" s="30"/>
      <c r="BF137" s="30"/>
      <c r="BG137" s="30"/>
      <c r="BK137" s="30"/>
      <c r="BN137" s="30"/>
      <c r="BO137" s="30"/>
      <c r="BR137" s="30"/>
      <c r="BT137" s="30"/>
      <c r="BV137" s="30"/>
      <c r="BY137" s="30"/>
      <c r="BZ137" s="30"/>
      <c r="CC137" s="30"/>
      <c r="CD137" s="30"/>
      <c r="CF137" s="30"/>
      <c r="CI137" s="30"/>
      <c r="CJ137" s="30"/>
      <c r="CM137" s="30"/>
      <c r="CQ137" s="30"/>
      <c r="CT137" s="30"/>
      <c r="CW137" s="30"/>
      <c r="DA137" s="30"/>
      <c r="DD137" s="30"/>
    </row>
    <row r="138" spans="1:108" s="63" customFormat="1" x14ac:dyDescent="0.3">
      <c r="A138" s="47" t="s">
        <v>53</v>
      </c>
      <c r="B138" s="47">
        <v>1</v>
      </c>
      <c r="C138" s="30" t="s">
        <v>108</v>
      </c>
      <c r="D138" s="47">
        <v>61</v>
      </c>
      <c r="E138" s="35" t="s">
        <v>100</v>
      </c>
      <c r="G138" s="30"/>
      <c r="I138" s="30"/>
      <c r="J138" s="30"/>
      <c r="K138" s="30"/>
      <c r="P138" s="30"/>
      <c r="Q138" s="30"/>
      <c r="R138" s="30"/>
      <c r="S138" s="30"/>
      <c r="U138" s="69"/>
      <c r="V138" s="69"/>
      <c r="W138" s="69"/>
      <c r="X138" s="30"/>
      <c r="Y138" s="30"/>
      <c r="Z138" s="30"/>
      <c r="AA138" s="30"/>
      <c r="AB138" s="69"/>
      <c r="AC138" s="69"/>
      <c r="AD138" s="69"/>
      <c r="AE138" s="51"/>
      <c r="AF138" s="51"/>
      <c r="AG138" s="51"/>
      <c r="AH138" s="30"/>
      <c r="AI138" s="30"/>
      <c r="AJ138" s="51"/>
      <c r="AK138" s="70"/>
      <c r="AL138" s="30"/>
      <c r="AM138" s="30"/>
      <c r="AN138" s="70"/>
      <c r="AO138" s="30"/>
      <c r="AP138" s="70"/>
      <c r="AQ138" s="30"/>
      <c r="AR138" s="30"/>
      <c r="AS138" s="51"/>
      <c r="AT138" s="47"/>
      <c r="AU138" s="47"/>
      <c r="AV138" s="30"/>
      <c r="AW138" s="30"/>
      <c r="AX138" s="47"/>
      <c r="AY138" s="30"/>
      <c r="AZ138" s="47"/>
      <c r="BA138" s="30"/>
      <c r="BC138" s="30"/>
      <c r="BF138" s="30"/>
      <c r="BG138" s="30"/>
      <c r="BK138" s="30"/>
      <c r="BN138" s="30"/>
      <c r="BO138" s="30"/>
      <c r="BR138" s="30"/>
      <c r="BT138" s="30"/>
      <c r="BV138" s="30"/>
      <c r="BY138" s="30"/>
      <c r="BZ138" s="30"/>
      <c r="CC138" s="30"/>
      <c r="CD138" s="30"/>
      <c r="CF138" s="30"/>
      <c r="CI138" s="30"/>
      <c r="CJ138" s="30"/>
      <c r="CM138" s="30"/>
      <c r="CQ138" s="30"/>
      <c r="CT138" s="30"/>
      <c r="CW138" s="30"/>
      <c r="DA138" s="30"/>
      <c r="DD138" s="30"/>
    </row>
    <row r="139" spans="1:108" s="63" customFormat="1" x14ac:dyDescent="0.3">
      <c r="A139" s="47" t="s">
        <v>118</v>
      </c>
      <c r="B139" s="47">
        <v>1</v>
      </c>
      <c r="C139" s="30" t="s">
        <v>111</v>
      </c>
      <c r="D139" s="65">
        <v>1.625</v>
      </c>
      <c r="E139" s="30" t="s">
        <v>105</v>
      </c>
      <c r="G139" s="30"/>
      <c r="I139" s="30"/>
      <c r="J139" s="30"/>
      <c r="K139" s="30"/>
      <c r="P139" s="30"/>
      <c r="Q139" s="30"/>
      <c r="R139" s="30"/>
      <c r="S139" s="30"/>
      <c r="U139" s="69"/>
      <c r="V139" s="69"/>
      <c r="W139" s="69"/>
      <c r="X139" s="30"/>
      <c r="Y139" s="30"/>
      <c r="Z139" s="30"/>
      <c r="AA139" s="30"/>
      <c r="AB139" s="69"/>
      <c r="AC139" s="69"/>
      <c r="AD139" s="69"/>
      <c r="AE139" s="51"/>
      <c r="AF139" s="51"/>
      <c r="AG139" s="51"/>
      <c r="AH139" s="30"/>
      <c r="AI139" s="30"/>
      <c r="AJ139" s="51"/>
      <c r="AK139" s="70"/>
      <c r="AL139" s="30"/>
      <c r="AM139" s="30"/>
      <c r="AN139" s="70"/>
      <c r="AO139" s="30"/>
      <c r="AP139" s="70"/>
      <c r="AQ139" s="30"/>
      <c r="AR139" s="30"/>
      <c r="AS139" s="51"/>
      <c r="AT139" s="47"/>
      <c r="AU139" s="47"/>
      <c r="AV139" s="30"/>
      <c r="AW139" s="30"/>
      <c r="AX139" s="47"/>
      <c r="AY139" s="30"/>
      <c r="AZ139" s="47"/>
      <c r="BA139" s="30"/>
      <c r="BC139" s="30"/>
      <c r="BF139" s="30"/>
      <c r="BG139" s="30"/>
      <c r="BK139" s="30"/>
      <c r="BN139" s="30"/>
      <c r="BO139" s="30"/>
      <c r="BR139" s="30"/>
      <c r="BT139" s="30"/>
      <c r="BV139" s="30"/>
      <c r="BY139" s="30"/>
      <c r="BZ139" s="30"/>
      <c r="CC139" s="30"/>
      <c r="CD139" s="30"/>
      <c r="CF139" s="30"/>
      <c r="CI139" s="30"/>
      <c r="CJ139" s="30"/>
      <c r="CM139" s="30"/>
      <c r="CQ139" s="30"/>
      <c r="CT139" s="30"/>
      <c r="CW139" s="30"/>
      <c r="DA139" s="30"/>
      <c r="DD139" s="30"/>
    </row>
    <row r="140" spans="1:108" s="63" customFormat="1" x14ac:dyDescent="0.3">
      <c r="A140" s="47" t="s">
        <v>664</v>
      </c>
      <c r="B140" s="47">
        <v>1</v>
      </c>
      <c r="C140" s="30" t="s">
        <v>663</v>
      </c>
      <c r="D140" s="65">
        <v>55.5</v>
      </c>
      <c r="E140" s="30" t="s">
        <v>100</v>
      </c>
      <c r="F140" s="65">
        <f>D144/D95</f>
        <v>1.4642857142857142</v>
      </c>
      <c r="G140" s="30" t="s">
        <v>105</v>
      </c>
      <c r="I140" s="31"/>
      <c r="J140" s="31"/>
      <c r="K140" s="30"/>
      <c r="P140" s="31"/>
      <c r="Q140" s="31"/>
      <c r="R140" s="31"/>
      <c r="S140" s="30"/>
      <c r="U140" s="69"/>
      <c r="V140" s="69"/>
      <c r="W140" s="69"/>
      <c r="X140" s="31"/>
      <c r="Y140" s="31"/>
      <c r="Z140" s="31"/>
      <c r="AA140" s="30"/>
      <c r="AB140" s="69"/>
      <c r="AC140" s="69"/>
      <c r="AD140" s="69"/>
      <c r="AE140" s="51"/>
      <c r="AF140" s="51"/>
      <c r="AG140" s="51"/>
      <c r="AH140" s="30"/>
      <c r="AI140" s="31"/>
      <c r="AJ140" s="51"/>
      <c r="AK140" s="70"/>
      <c r="AL140" s="30"/>
      <c r="AM140" s="31"/>
      <c r="AN140" s="70"/>
      <c r="AO140" s="30"/>
      <c r="AP140" s="70"/>
      <c r="AQ140" s="31"/>
      <c r="AR140" s="30"/>
      <c r="AS140" s="51"/>
      <c r="AT140" s="47"/>
      <c r="AU140" s="47"/>
      <c r="AV140" s="30"/>
      <c r="AW140" s="31"/>
      <c r="AX140" s="47"/>
      <c r="AY140" s="30"/>
      <c r="AZ140" s="47"/>
      <c r="BA140" s="31"/>
      <c r="BC140" s="30"/>
      <c r="BF140" s="31"/>
      <c r="BG140" s="30"/>
      <c r="BK140" s="30"/>
      <c r="BN140" s="30"/>
      <c r="BO140" s="30"/>
      <c r="BR140" s="30"/>
      <c r="BT140" s="30"/>
      <c r="BV140" s="30"/>
      <c r="BY140" s="30"/>
      <c r="BZ140" s="30"/>
      <c r="CC140" s="30"/>
      <c r="CD140" s="30"/>
      <c r="CF140" s="30"/>
      <c r="CI140" s="30"/>
      <c r="CJ140" s="30"/>
      <c r="CM140" s="30"/>
      <c r="CQ140" s="30"/>
      <c r="CT140" s="30"/>
      <c r="CW140" s="30"/>
      <c r="DA140" s="30"/>
      <c r="DD140" s="30"/>
    </row>
    <row r="141" spans="1:108" s="63" customFormat="1" x14ac:dyDescent="0.3">
      <c r="A141" s="47" t="s">
        <v>4</v>
      </c>
      <c r="B141" s="47">
        <v>1</v>
      </c>
      <c r="C141" s="30" t="s">
        <v>111</v>
      </c>
      <c r="D141" s="65">
        <v>1.5</v>
      </c>
      <c r="E141" s="30" t="s">
        <v>105</v>
      </c>
      <c r="F141" s="65">
        <v>3</v>
      </c>
      <c r="G141" s="30" t="s">
        <v>105</v>
      </c>
      <c r="I141" s="30"/>
      <c r="J141" s="30"/>
      <c r="K141" s="30"/>
      <c r="P141" s="30"/>
      <c r="Q141" s="30"/>
      <c r="R141" s="30"/>
      <c r="S141" s="30"/>
      <c r="U141" s="69"/>
      <c r="V141" s="69"/>
      <c r="W141" s="69"/>
      <c r="X141" s="30"/>
      <c r="Y141" s="30"/>
      <c r="Z141" s="30"/>
      <c r="AA141" s="30"/>
      <c r="AB141" s="69"/>
      <c r="AC141" s="69"/>
      <c r="AD141" s="69"/>
      <c r="AE141" s="51"/>
      <c r="AF141" s="51"/>
      <c r="AG141" s="51"/>
      <c r="AH141" s="30"/>
      <c r="AI141" s="30"/>
      <c r="AJ141" s="51"/>
      <c r="AK141" s="70"/>
      <c r="AL141" s="30"/>
      <c r="AM141" s="30"/>
      <c r="AN141" s="70"/>
      <c r="AO141" s="30"/>
      <c r="AP141" s="70"/>
      <c r="AQ141" s="30"/>
      <c r="AR141" s="30"/>
      <c r="AS141" s="51"/>
      <c r="AT141" s="47"/>
      <c r="AU141" s="47"/>
      <c r="AV141" s="30"/>
      <c r="AW141" s="30"/>
      <c r="AX141" s="47"/>
      <c r="AY141" s="30"/>
      <c r="AZ141" s="47"/>
      <c r="BA141" s="30"/>
      <c r="BC141" s="30"/>
      <c r="BF141" s="30"/>
      <c r="BG141" s="30"/>
      <c r="BK141" s="30"/>
      <c r="BN141" s="30"/>
      <c r="BO141" s="30"/>
      <c r="BR141" s="30"/>
      <c r="BT141" s="30"/>
      <c r="BV141" s="30"/>
      <c r="BY141" s="30"/>
      <c r="BZ141" s="30"/>
      <c r="CC141" s="30"/>
      <c r="CD141" s="30"/>
      <c r="CF141" s="30"/>
      <c r="CI141" s="30"/>
      <c r="CJ141" s="30"/>
      <c r="CM141" s="30"/>
      <c r="CQ141" s="30"/>
      <c r="CT141" s="30"/>
      <c r="CW141" s="30"/>
      <c r="DA141" s="30"/>
      <c r="DD141" s="30"/>
    </row>
    <row r="142" spans="1:108" s="63" customFormat="1" x14ac:dyDescent="0.3">
      <c r="A142" s="47" t="s">
        <v>119</v>
      </c>
      <c r="B142" s="47">
        <v>1</v>
      </c>
      <c r="C142" s="30" t="s">
        <v>111</v>
      </c>
      <c r="D142" s="65">
        <v>1.5</v>
      </c>
      <c r="E142" s="30" t="s">
        <v>105</v>
      </c>
      <c r="F142" s="65">
        <f>D146/D110</f>
        <v>2.1428571428571428</v>
      </c>
      <c r="G142" s="30" t="s">
        <v>105</v>
      </c>
      <c r="I142" s="30"/>
      <c r="J142" s="30"/>
      <c r="K142" s="30"/>
      <c r="P142" s="30"/>
      <c r="Q142" s="30"/>
      <c r="R142" s="30"/>
      <c r="S142" s="30"/>
      <c r="U142" s="69"/>
      <c r="V142" s="69"/>
      <c r="W142" s="69"/>
      <c r="X142" s="30"/>
      <c r="Y142" s="30"/>
      <c r="Z142" s="30"/>
      <c r="AA142" s="30"/>
      <c r="AB142" s="69"/>
      <c r="AC142" s="69"/>
      <c r="AD142" s="69"/>
      <c r="AE142" s="51"/>
      <c r="AF142" s="51"/>
      <c r="AG142" s="51"/>
      <c r="AH142" s="30"/>
      <c r="AI142" s="30"/>
      <c r="AJ142" s="51"/>
      <c r="AK142" s="70"/>
      <c r="AL142" s="30"/>
      <c r="AM142" s="30"/>
      <c r="AN142" s="70"/>
      <c r="AO142" s="30"/>
      <c r="AP142" s="70"/>
      <c r="AQ142" s="30"/>
      <c r="AR142" s="30"/>
      <c r="AS142" s="51"/>
      <c r="AT142" s="47"/>
      <c r="AU142" s="47"/>
      <c r="AV142" s="30"/>
      <c r="AW142" s="30"/>
      <c r="AX142" s="47"/>
      <c r="AY142" s="30"/>
      <c r="AZ142" s="47"/>
      <c r="BA142" s="30"/>
      <c r="BC142" s="30"/>
      <c r="BF142" s="30"/>
      <c r="BG142" s="30"/>
      <c r="BK142" s="30"/>
      <c r="BN142" s="31"/>
      <c r="BO142" s="30"/>
      <c r="BR142" s="30"/>
      <c r="BT142" s="31"/>
      <c r="BV142" s="30"/>
      <c r="BY142" s="30"/>
      <c r="BZ142" s="31"/>
      <c r="CC142" s="30"/>
      <c r="CD142" s="31"/>
      <c r="CF142" s="30"/>
      <c r="CI142" s="30"/>
      <c r="CJ142" s="31"/>
      <c r="CM142" s="31"/>
      <c r="CQ142" s="31"/>
      <c r="CT142" s="31"/>
      <c r="CW142" s="31"/>
      <c r="DA142" s="31"/>
      <c r="DD142" s="31"/>
    </row>
    <row r="143" spans="1:108" s="63" customFormat="1" x14ac:dyDescent="0.3">
      <c r="A143" s="107" t="s">
        <v>48</v>
      </c>
      <c r="B143" s="47">
        <v>1</v>
      </c>
      <c r="C143" s="30" t="s">
        <v>120</v>
      </c>
      <c r="D143" s="65">
        <v>18.559999999999999</v>
      </c>
      <c r="E143" s="30" t="s">
        <v>18</v>
      </c>
      <c r="F143" s="65">
        <f>D147*D148/D110</f>
        <v>5.9646125000000003</v>
      </c>
      <c r="G143" s="30" t="s">
        <v>105</v>
      </c>
      <c r="I143" s="30"/>
      <c r="J143" s="30"/>
      <c r="K143" s="30"/>
      <c r="P143" s="30"/>
      <c r="Q143" s="30"/>
      <c r="R143" s="30"/>
      <c r="S143" s="30"/>
      <c r="U143" s="69"/>
      <c r="V143" s="69"/>
      <c r="W143" s="69"/>
      <c r="X143" s="30"/>
      <c r="Y143" s="30"/>
      <c r="Z143" s="30"/>
      <c r="AA143" s="30"/>
      <c r="AB143" s="69"/>
      <c r="AC143" s="69"/>
      <c r="AD143" s="69"/>
      <c r="AE143" s="51"/>
      <c r="AF143" s="51"/>
      <c r="AG143" s="51"/>
      <c r="AH143" s="30"/>
      <c r="AI143" s="30"/>
      <c r="AJ143" s="51"/>
      <c r="AK143" s="70"/>
      <c r="AL143" s="30"/>
      <c r="AM143" s="30"/>
      <c r="AN143" s="70"/>
      <c r="AO143" s="30"/>
      <c r="AP143" s="70"/>
      <c r="AQ143" s="30"/>
      <c r="AR143" s="30"/>
      <c r="AS143" s="51"/>
      <c r="AT143" s="47"/>
      <c r="AU143" s="47"/>
      <c r="AV143" s="30"/>
      <c r="AW143" s="30"/>
      <c r="AX143" s="47"/>
      <c r="AY143" s="30"/>
      <c r="AZ143" s="47"/>
      <c r="BA143" s="30"/>
      <c r="BC143" s="30"/>
      <c r="BF143" s="30"/>
      <c r="BG143" s="30"/>
      <c r="BK143" s="30"/>
      <c r="BN143" s="30"/>
      <c r="BO143" s="30"/>
      <c r="BR143" s="30"/>
      <c r="BT143" s="30"/>
      <c r="BV143" s="30"/>
      <c r="BY143" s="30"/>
      <c r="BZ143" s="30"/>
      <c r="CC143" s="30"/>
      <c r="CD143" s="30"/>
      <c r="CF143" s="30"/>
      <c r="CI143" s="30"/>
      <c r="CJ143" s="30"/>
      <c r="CM143" s="30"/>
      <c r="CQ143" s="30"/>
      <c r="CT143" s="30"/>
      <c r="CW143" s="30"/>
      <c r="DA143" s="30"/>
      <c r="DD143" s="30"/>
    </row>
    <row r="144" spans="1:108" s="63" customFormat="1" x14ac:dyDescent="0.3">
      <c r="A144" s="107"/>
      <c r="B144" s="47">
        <v>1</v>
      </c>
      <c r="C144" s="30" t="s">
        <v>42</v>
      </c>
      <c r="D144" s="65">
        <v>164</v>
      </c>
      <c r="E144" s="30" t="s">
        <v>100</v>
      </c>
      <c r="F144" s="65"/>
      <c r="G144" s="47"/>
      <c r="I144" s="30"/>
      <c r="J144" s="30"/>
      <c r="K144" s="30"/>
      <c r="P144" s="30"/>
      <c r="Q144" s="30"/>
      <c r="R144" s="30"/>
      <c r="S144" s="30"/>
      <c r="U144" s="69"/>
      <c r="V144" s="69"/>
      <c r="W144" s="69"/>
      <c r="X144" s="30"/>
      <c r="Y144" s="30"/>
      <c r="Z144" s="30"/>
      <c r="AA144" s="30"/>
      <c r="AB144" s="69"/>
      <c r="AC144" s="69"/>
      <c r="AD144" s="69"/>
      <c r="AE144" s="51"/>
      <c r="AF144" s="51"/>
      <c r="AG144" s="51"/>
      <c r="AH144" s="30"/>
      <c r="AI144" s="30"/>
      <c r="AJ144" s="51"/>
      <c r="AK144" s="70"/>
      <c r="AL144" s="30"/>
      <c r="AM144" s="30"/>
      <c r="AN144" s="70"/>
      <c r="AO144" s="30"/>
      <c r="AP144" s="70"/>
      <c r="AQ144" s="30"/>
      <c r="AR144" s="30"/>
      <c r="AS144" s="51"/>
      <c r="AT144" s="47"/>
      <c r="AU144" s="47"/>
      <c r="AV144" s="30"/>
      <c r="AW144" s="30"/>
      <c r="AX144" s="47"/>
      <c r="AY144" s="30"/>
      <c r="AZ144" s="47"/>
      <c r="BA144" s="30"/>
      <c r="BC144" s="30"/>
      <c r="BF144" s="30"/>
      <c r="BG144" s="30"/>
      <c r="BK144" s="30"/>
      <c r="BN144" s="30"/>
      <c r="BO144" s="30"/>
      <c r="BR144" s="30"/>
      <c r="BT144" s="30"/>
      <c r="BV144" s="30"/>
      <c r="BY144" s="30"/>
      <c r="BZ144" s="30"/>
      <c r="CC144" s="30"/>
      <c r="CD144" s="30"/>
      <c r="CF144" s="30"/>
      <c r="CI144" s="30"/>
      <c r="CJ144" s="30"/>
      <c r="CM144" s="30"/>
      <c r="CQ144" s="30"/>
      <c r="CT144" s="30"/>
      <c r="CW144" s="30"/>
      <c r="DA144" s="30"/>
      <c r="DD144" s="30"/>
    </row>
    <row r="145" spans="1:108" s="63" customFormat="1" x14ac:dyDescent="0.3">
      <c r="A145" s="107" t="s">
        <v>121</v>
      </c>
      <c r="B145" s="47">
        <v>1</v>
      </c>
      <c r="C145" s="30" t="s">
        <v>45</v>
      </c>
      <c r="D145" s="65">
        <v>336</v>
      </c>
      <c r="E145" s="30" t="s">
        <v>100</v>
      </c>
      <c r="F145" s="65">
        <f>F146</f>
        <v>3.0446428571428572</v>
      </c>
      <c r="G145" s="30" t="s">
        <v>105</v>
      </c>
      <c r="I145" s="30"/>
      <c r="J145" s="30"/>
      <c r="K145" s="30"/>
      <c r="P145" s="30"/>
      <c r="Q145" s="30"/>
      <c r="R145" s="30"/>
      <c r="S145" s="30"/>
      <c r="U145" s="69"/>
      <c r="V145" s="69"/>
      <c r="W145" s="69"/>
      <c r="X145" s="30"/>
      <c r="Y145" s="30"/>
      <c r="Z145" s="30"/>
      <c r="AA145" s="30"/>
      <c r="AB145" s="69"/>
      <c r="AC145" s="69"/>
      <c r="AD145" s="69"/>
      <c r="AE145" s="51"/>
      <c r="AF145" s="51"/>
      <c r="AG145" s="51"/>
      <c r="AH145" s="30"/>
      <c r="AI145" s="30"/>
      <c r="AJ145" s="51"/>
      <c r="AK145" s="70"/>
      <c r="AL145" s="30"/>
      <c r="AM145" s="30"/>
      <c r="AN145" s="70"/>
      <c r="AO145" s="30"/>
      <c r="AP145" s="70"/>
      <c r="AQ145" s="30"/>
      <c r="AR145" s="30"/>
      <c r="AS145" s="51"/>
      <c r="AT145" s="47"/>
      <c r="AU145" s="47"/>
      <c r="AV145" s="30"/>
      <c r="AW145" s="30"/>
      <c r="AX145" s="47"/>
      <c r="AY145" s="30"/>
      <c r="AZ145" s="47"/>
      <c r="BA145" s="30"/>
      <c r="BC145" s="30"/>
      <c r="BF145" s="30"/>
      <c r="BG145" s="30"/>
      <c r="BK145" s="30"/>
      <c r="BN145" s="30"/>
      <c r="BO145" s="30"/>
      <c r="BR145" s="30"/>
      <c r="BT145" s="30"/>
      <c r="BV145" s="30"/>
      <c r="BY145" s="30"/>
      <c r="BZ145" s="30"/>
      <c r="CC145" s="30"/>
      <c r="CD145" s="30"/>
      <c r="CF145" s="30"/>
      <c r="CI145" s="30"/>
      <c r="CJ145" s="30"/>
      <c r="CM145" s="30"/>
      <c r="CQ145" s="30"/>
      <c r="CT145" s="30"/>
      <c r="CW145" s="30"/>
      <c r="DA145" s="30"/>
      <c r="DD145" s="30"/>
    </row>
    <row r="146" spans="1:108" s="63" customFormat="1" x14ac:dyDescent="0.3">
      <c r="A146" s="107"/>
      <c r="B146" s="47">
        <v>1</v>
      </c>
      <c r="C146" s="30" t="s">
        <v>122</v>
      </c>
      <c r="D146" s="65">
        <v>240</v>
      </c>
      <c r="E146" s="30" t="s">
        <v>100</v>
      </c>
      <c r="F146" s="65">
        <f>D150/D110</f>
        <v>3.0446428571428572</v>
      </c>
      <c r="G146" s="30" t="s">
        <v>105</v>
      </c>
      <c r="I146" s="30"/>
      <c r="J146" s="30"/>
      <c r="K146" s="30"/>
      <c r="P146" s="30"/>
      <c r="Q146" s="30"/>
      <c r="R146" s="30"/>
      <c r="S146" s="30"/>
      <c r="U146" s="69"/>
      <c r="V146" s="69"/>
      <c r="W146" s="69"/>
      <c r="X146" s="30"/>
      <c r="Y146" s="30"/>
      <c r="Z146" s="30"/>
      <c r="AA146" s="30"/>
      <c r="AB146" s="69"/>
      <c r="AC146" s="69"/>
      <c r="AD146" s="69"/>
      <c r="AE146" s="51"/>
      <c r="AF146" s="51"/>
      <c r="AG146" s="51"/>
      <c r="AH146" s="30"/>
      <c r="AI146" s="30"/>
      <c r="AJ146" s="51"/>
      <c r="AK146" s="70"/>
      <c r="AL146" s="30"/>
      <c r="AM146" s="30"/>
      <c r="AN146" s="70"/>
      <c r="AO146" s="30"/>
      <c r="AP146" s="70"/>
      <c r="AQ146" s="30"/>
      <c r="AR146" s="30"/>
      <c r="AS146" s="51"/>
      <c r="AT146" s="47"/>
      <c r="AU146" s="47"/>
      <c r="AV146" s="30"/>
      <c r="AW146" s="30"/>
      <c r="AX146" s="47"/>
      <c r="AY146" s="30"/>
      <c r="AZ146" s="47"/>
      <c r="BA146" s="30"/>
      <c r="BC146" s="30"/>
      <c r="BF146" s="30"/>
      <c r="BG146" s="30"/>
      <c r="BK146" s="30"/>
      <c r="BN146" s="30"/>
      <c r="BO146" s="30"/>
      <c r="BR146" s="30"/>
      <c r="BT146" s="30"/>
      <c r="BV146" s="30"/>
      <c r="BY146" s="30"/>
      <c r="BZ146" s="30"/>
      <c r="CC146" s="30"/>
      <c r="CD146" s="30"/>
      <c r="CF146" s="30"/>
      <c r="CI146" s="30"/>
      <c r="CJ146" s="30"/>
      <c r="CM146" s="30"/>
      <c r="CQ146" s="30"/>
      <c r="CT146" s="30"/>
      <c r="CW146" s="30"/>
      <c r="DA146" s="30"/>
      <c r="DD146" s="30"/>
    </row>
    <row r="147" spans="1:108" s="63" customFormat="1" x14ac:dyDescent="0.3">
      <c r="A147" s="107" t="s">
        <v>41</v>
      </c>
      <c r="B147" s="47">
        <v>1</v>
      </c>
      <c r="C147" s="30" t="s">
        <v>27</v>
      </c>
      <c r="D147" s="65">
        <v>3.40835</v>
      </c>
      <c r="E147" s="30" t="s">
        <v>111</v>
      </c>
      <c r="F147" s="65">
        <f>D151/D110</f>
        <v>1.255625</v>
      </c>
      <c r="G147" s="30" t="s">
        <v>105</v>
      </c>
      <c r="I147" s="30"/>
      <c r="J147" s="30"/>
      <c r="K147" s="30"/>
      <c r="P147" s="30"/>
      <c r="Q147" s="30"/>
      <c r="R147" s="30"/>
      <c r="S147" s="30"/>
      <c r="U147" s="69"/>
      <c r="V147" s="69"/>
      <c r="W147" s="69"/>
      <c r="X147" s="30"/>
      <c r="Y147" s="30"/>
      <c r="Z147" s="30"/>
      <c r="AA147" s="30"/>
      <c r="AB147" s="69"/>
      <c r="AC147" s="69"/>
      <c r="AD147" s="69"/>
      <c r="AE147" s="51"/>
      <c r="AF147" s="51"/>
      <c r="AG147" s="51"/>
      <c r="AH147" s="30"/>
      <c r="AI147" s="30"/>
      <c r="AJ147" s="51"/>
      <c r="AK147" s="70"/>
      <c r="AL147" s="30"/>
      <c r="AM147" s="30"/>
      <c r="AN147" s="70"/>
      <c r="AO147" s="30"/>
      <c r="AP147" s="70"/>
      <c r="AQ147" s="30"/>
      <c r="AR147" s="30"/>
      <c r="AS147" s="51"/>
      <c r="AT147" s="47"/>
      <c r="AU147" s="47"/>
      <c r="AV147" s="30"/>
      <c r="AW147" s="30"/>
      <c r="AX147" s="47"/>
      <c r="AY147" s="30"/>
      <c r="AZ147" s="47"/>
      <c r="BA147" s="30"/>
      <c r="BC147" s="30"/>
      <c r="BF147" s="30"/>
      <c r="BG147" s="30"/>
      <c r="BK147" s="30"/>
      <c r="BN147" s="30"/>
      <c r="BO147" s="30"/>
      <c r="BR147" s="30"/>
      <c r="BT147" s="30"/>
      <c r="BV147" s="30"/>
      <c r="BY147" s="30"/>
      <c r="BZ147" s="30"/>
      <c r="CC147" s="30"/>
      <c r="CD147" s="30"/>
      <c r="CF147" s="30"/>
      <c r="CI147" s="30"/>
      <c r="CJ147" s="30"/>
      <c r="CM147" s="30"/>
      <c r="CQ147" s="30"/>
      <c r="CT147" s="30"/>
      <c r="CW147" s="30"/>
      <c r="DA147" s="30"/>
      <c r="DD147" s="30"/>
    </row>
    <row r="148" spans="1:108" s="63" customFormat="1" x14ac:dyDescent="0.3">
      <c r="A148" s="107"/>
      <c r="B148" s="47">
        <v>1</v>
      </c>
      <c r="C148" s="30" t="s">
        <v>111</v>
      </c>
      <c r="D148" s="48">
        <v>196</v>
      </c>
      <c r="E148" s="30" t="s">
        <v>100</v>
      </c>
      <c r="F148" s="65">
        <f>F147*D152</f>
        <v>1.1498637062499999</v>
      </c>
      <c r="G148" s="30" t="s">
        <v>105</v>
      </c>
      <c r="I148" s="30"/>
      <c r="J148" s="30"/>
      <c r="K148" s="30"/>
      <c r="P148" s="30"/>
      <c r="Q148" s="30"/>
      <c r="R148" s="30"/>
      <c r="S148" s="30"/>
      <c r="U148" s="69"/>
      <c r="V148" s="69"/>
      <c r="W148" s="69"/>
      <c r="X148" s="30"/>
      <c r="Y148" s="30"/>
      <c r="Z148" s="30"/>
      <c r="AA148" s="30"/>
      <c r="AB148" s="69"/>
      <c r="AC148" s="69"/>
      <c r="AD148" s="69"/>
      <c r="AE148" s="51"/>
      <c r="AF148" s="51"/>
      <c r="AG148" s="51"/>
      <c r="AH148" s="30"/>
      <c r="AI148" s="30"/>
      <c r="AJ148" s="51"/>
      <c r="AK148" s="70"/>
      <c r="AL148" s="30"/>
      <c r="AM148" s="30"/>
      <c r="AN148" s="70"/>
      <c r="AO148" s="30"/>
      <c r="AP148" s="70"/>
      <c r="AQ148" s="30"/>
      <c r="AR148" s="30"/>
      <c r="AS148" s="51"/>
      <c r="AT148" s="47"/>
      <c r="AU148" s="47"/>
      <c r="AV148" s="30"/>
      <c r="AW148" s="30"/>
      <c r="AX148" s="47"/>
      <c r="AY148" s="30"/>
      <c r="AZ148" s="47"/>
      <c r="BA148" s="30"/>
      <c r="BC148" s="30"/>
      <c r="BF148" s="30"/>
      <c r="BG148" s="30"/>
      <c r="BK148" s="30"/>
      <c r="BN148" s="30"/>
      <c r="BO148" s="30"/>
      <c r="BR148" s="30"/>
      <c r="BT148" s="30"/>
      <c r="BV148" s="30"/>
      <c r="BY148" s="30"/>
      <c r="BZ148" s="30"/>
      <c r="CC148" s="30"/>
      <c r="CD148" s="30"/>
      <c r="CF148" s="30"/>
      <c r="CI148" s="30"/>
      <c r="CJ148" s="30"/>
      <c r="CM148" s="30"/>
      <c r="CQ148" s="30"/>
      <c r="CT148" s="30"/>
      <c r="CW148" s="30"/>
      <c r="DA148" s="30"/>
      <c r="DD148" s="30"/>
    </row>
    <row r="149" spans="1:108" s="63" customFormat="1" x14ac:dyDescent="0.3">
      <c r="A149" s="107" t="s">
        <v>33</v>
      </c>
      <c r="B149" s="47">
        <v>1</v>
      </c>
      <c r="C149" s="30" t="s">
        <v>28</v>
      </c>
      <c r="D149" s="48">
        <v>1</v>
      </c>
      <c r="E149" s="30" t="s">
        <v>46</v>
      </c>
      <c r="F149" s="65">
        <f>D153*D155</f>
        <v>4.1366063637000003</v>
      </c>
      <c r="G149" s="30" t="s">
        <v>105</v>
      </c>
      <c r="I149" s="30"/>
      <c r="J149" s="30"/>
      <c r="K149" s="31"/>
      <c r="P149" s="30"/>
      <c r="Q149" s="30"/>
      <c r="R149" s="30"/>
      <c r="S149" s="31"/>
      <c r="U149" s="69"/>
      <c r="V149" s="69"/>
      <c r="W149" s="69"/>
      <c r="X149" s="30"/>
      <c r="Y149" s="30"/>
      <c r="Z149" s="30"/>
      <c r="AA149" s="31"/>
      <c r="AB149" s="69"/>
      <c r="AC149" s="69"/>
      <c r="AD149" s="69"/>
      <c r="AE149" s="51"/>
      <c r="AF149" s="51"/>
      <c r="AG149" s="51"/>
      <c r="AH149" s="31"/>
      <c r="AI149" s="30"/>
      <c r="AJ149" s="51"/>
      <c r="AK149" s="70"/>
      <c r="AL149" s="31"/>
      <c r="AM149" s="30"/>
      <c r="AN149" s="70"/>
      <c r="AO149" s="31"/>
      <c r="AP149" s="70"/>
      <c r="AQ149" s="30"/>
      <c r="AR149" s="31"/>
      <c r="AS149" s="51"/>
      <c r="AT149" s="47"/>
      <c r="AU149" s="47"/>
      <c r="AV149" s="31"/>
      <c r="AW149" s="30"/>
      <c r="AX149" s="47"/>
      <c r="AY149" s="31"/>
      <c r="AZ149" s="47"/>
      <c r="BA149" s="30"/>
      <c r="BC149" s="31"/>
      <c r="BF149" s="30"/>
      <c r="BG149" s="30"/>
      <c r="BK149" s="30"/>
      <c r="BN149" s="30"/>
      <c r="BO149" s="30"/>
      <c r="BR149" s="30"/>
      <c r="BT149" s="30"/>
      <c r="BV149" s="30"/>
      <c r="BY149" s="30"/>
      <c r="BZ149" s="30"/>
      <c r="CC149" s="30"/>
      <c r="CD149" s="30"/>
      <c r="CF149" s="30"/>
      <c r="CI149" s="30"/>
      <c r="CJ149" s="30"/>
      <c r="CM149" s="30"/>
      <c r="CQ149" s="30"/>
      <c r="CT149" s="30"/>
      <c r="CW149" s="30"/>
      <c r="DA149" s="30"/>
      <c r="DD149" s="30"/>
    </row>
    <row r="150" spans="1:108" s="63" customFormat="1" x14ac:dyDescent="0.3">
      <c r="A150" s="107"/>
      <c r="B150" s="47">
        <v>1</v>
      </c>
      <c r="C150" s="30" t="s">
        <v>46</v>
      </c>
      <c r="D150" s="48">
        <f>(355+327)/2</f>
        <v>341</v>
      </c>
      <c r="E150" s="30" t="s">
        <v>100</v>
      </c>
      <c r="F150" s="65"/>
      <c r="G150" s="30"/>
      <c r="I150" s="30"/>
      <c r="J150" s="30"/>
      <c r="K150" s="30"/>
      <c r="P150" s="30"/>
      <c r="Q150" s="30"/>
      <c r="R150" s="30"/>
      <c r="S150" s="30"/>
      <c r="U150" s="69"/>
      <c r="V150" s="69"/>
      <c r="W150" s="69"/>
      <c r="X150" s="30"/>
      <c r="Y150" s="30"/>
      <c r="Z150" s="30"/>
      <c r="AA150" s="30"/>
      <c r="AB150" s="69"/>
      <c r="AC150" s="69"/>
      <c r="AD150" s="69"/>
      <c r="AE150" s="51"/>
      <c r="AF150" s="51"/>
      <c r="AG150" s="51"/>
      <c r="AH150" s="30"/>
      <c r="AI150" s="30"/>
      <c r="AJ150" s="51"/>
      <c r="AK150" s="70"/>
      <c r="AL150" s="30"/>
      <c r="AM150" s="30"/>
      <c r="AN150" s="70"/>
      <c r="AO150" s="30"/>
      <c r="AP150" s="70"/>
      <c r="AQ150" s="30"/>
      <c r="AR150" s="30"/>
      <c r="AS150" s="51"/>
      <c r="AT150" s="47"/>
      <c r="AU150" s="47"/>
      <c r="AV150" s="30"/>
      <c r="AW150" s="30"/>
      <c r="AX150" s="47"/>
      <c r="AY150" s="30"/>
      <c r="AZ150" s="47"/>
      <c r="BA150" s="30"/>
      <c r="BC150" s="30"/>
      <c r="BF150" s="30"/>
      <c r="BG150" s="30"/>
      <c r="BK150" s="30"/>
      <c r="BN150" s="30"/>
      <c r="BO150" s="30"/>
      <c r="BR150" s="30"/>
      <c r="BT150" s="30"/>
      <c r="BV150" s="30"/>
      <c r="BY150" s="30"/>
      <c r="BZ150" s="30"/>
      <c r="CC150" s="30"/>
      <c r="CD150" s="30"/>
      <c r="CF150" s="30"/>
      <c r="CI150" s="30"/>
      <c r="CJ150" s="30"/>
      <c r="CM150" s="30"/>
      <c r="CQ150" s="30"/>
      <c r="CT150" s="30"/>
      <c r="CW150" s="30"/>
      <c r="DA150" s="30"/>
      <c r="DD150" s="30"/>
    </row>
    <row r="151" spans="1:108" s="63" customFormat="1" x14ac:dyDescent="0.3">
      <c r="A151" s="107" t="s">
        <v>44</v>
      </c>
      <c r="B151" s="47">
        <v>1</v>
      </c>
      <c r="C151" s="31" t="s">
        <v>43</v>
      </c>
      <c r="D151" s="48">
        <v>140.63</v>
      </c>
      <c r="E151" s="30" t="s">
        <v>100</v>
      </c>
      <c r="F151" s="65">
        <f>D156/D110</f>
        <v>2.1607142857142856</v>
      </c>
      <c r="G151" s="30" t="s">
        <v>105</v>
      </c>
      <c r="I151" s="30"/>
      <c r="J151" s="30"/>
      <c r="K151" s="30"/>
      <c r="P151" s="30"/>
      <c r="Q151" s="30"/>
      <c r="R151" s="30"/>
      <c r="S151" s="30"/>
      <c r="U151" s="69"/>
      <c r="V151" s="69"/>
      <c r="W151" s="69"/>
      <c r="X151" s="30"/>
      <c r="Y151" s="30"/>
      <c r="Z151" s="30"/>
      <c r="AA151" s="30"/>
      <c r="AB151" s="69"/>
      <c r="AC151" s="69"/>
      <c r="AD151" s="69"/>
      <c r="AE151" s="51"/>
      <c r="AF151" s="51"/>
      <c r="AG151" s="51"/>
      <c r="AH151" s="30"/>
      <c r="AI151" s="30"/>
      <c r="AJ151" s="51"/>
      <c r="AK151" s="70"/>
      <c r="AL151" s="30"/>
      <c r="AM151" s="30"/>
      <c r="AN151" s="70"/>
      <c r="AO151" s="30"/>
      <c r="AP151" s="70"/>
      <c r="AQ151" s="30"/>
      <c r="AR151" s="30"/>
      <c r="AS151" s="51"/>
      <c r="AT151" s="47"/>
      <c r="AU151" s="47"/>
      <c r="AV151" s="30"/>
      <c r="AW151" s="30"/>
      <c r="AX151" s="47"/>
      <c r="AY151" s="30"/>
      <c r="AZ151" s="47"/>
      <c r="BA151" s="30"/>
      <c r="BC151" s="30"/>
      <c r="BF151" s="30"/>
      <c r="BG151" s="31"/>
      <c r="BK151" s="31"/>
      <c r="BN151" s="30"/>
      <c r="BO151" s="31"/>
      <c r="BR151" s="31"/>
      <c r="BT151" s="30"/>
      <c r="BV151" s="31"/>
      <c r="BY151" s="31"/>
      <c r="BZ151" s="30"/>
      <c r="CC151" s="31"/>
      <c r="CD151" s="30"/>
      <c r="CF151" s="31"/>
      <c r="CI151" s="31"/>
      <c r="CJ151" s="30"/>
      <c r="CM151" s="30"/>
      <c r="CQ151" s="30"/>
      <c r="CT151" s="30"/>
      <c r="CW151" s="30"/>
      <c r="DA151" s="30"/>
      <c r="DD151" s="30"/>
    </row>
    <row r="152" spans="1:108" s="63" customFormat="1" x14ac:dyDescent="0.3">
      <c r="A152" s="107"/>
      <c r="B152" s="47">
        <v>1</v>
      </c>
      <c r="C152" s="31" t="s">
        <v>123</v>
      </c>
      <c r="D152" s="48">
        <v>0.91576999999999997</v>
      </c>
      <c r="E152" s="30" t="s">
        <v>43</v>
      </c>
      <c r="F152" s="65">
        <f>D157/D102</f>
        <v>0.22001139868579861</v>
      </c>
      <c r="G152" s="30" t="s">
        <v>31</v>
      </c>
      <c r="I152" s="30"/>
      <c r="J152" s="30"/>
      <c r="K152" s="30"/>
      <c r="P152" s="30"/>
      <c r="Q152" s="30"/>
      <c r="R152" s="30"/>
      <c r="S152" s="30"/>
      <c r="U152" s="69"/>
      <c r="V152" s="69"/>
      <c r="W152" s="69"/>
      <c r="X152" s="30"/>
      <c r="Y152" s="30"/>
      <c r="Z152" s="30"/>
      <c r="AA152" s="30"/>
      <c r="AB152" s="69"/>
      <c r="AC152" s="69"/>
      <c r="AD152" s="69"/>
      <c r="AE152" s="51"/>
      <c r="AF152" s="51"/>
      <c r="AG152" s="51"/>
      <c r="AH152" s="30"/>
      <c r="AI152" s="30"/>
      <c r="AJ152" s="51"/>
      <c r="AK152" s="70"/>
      <c r="AL152" s="30"/>
      <c r="AM152" s="30"/>
      <c r="AN152" s="70"/>
      <c r="AO152" s="30"/>
      <c r="AP152" s="70"/>
      <c r="AQ152" s="30"/>
      <c r="AR152" s="30"/>
      <c r="AS152" s="51"/>
      <c r="AT152" s="47"/>
      <c r="AU152" s="47"/>
      <c r="AV152" s="30"/>
      <c r="AW152" s="30"/>
      <c r="AX152" s="47"/>
      <c r="AY152" s="30"/>
      <c r="AZ152" s="47"/>
      <c r="BA152" s="30"/>
      <c r="BC152" s="30"/>
      <c r="BF152" s="30"/>
      <c r="BG152" s="30"/>
      <c r="BK152" s="30"/>
      <c r="BN152" s="30"/>
      <c r="BO152" s="30"/>
      <c r="BR152" s="30"/>
      <c r="BT152" s="30"/>
      <c r="BV152" s="30"/>
      <c r="BY152" s="30"/>
      <c r="BZ152" s="30"/>
      <c r="CC152" s="30"/>
      <c r="CD152" s="30"/>
      <c r="CF152" s="30"/>
      <c r="CI152" s="30"/>
      <c r="CJ152" s="30"/>
      <c r="CM152" s="30"/>
      <c r="CQ152" s="30"/>
      <c r="CT152" s="30"/>
      <c r="CW152" s="30"/>
      <c r="DA152" s="30"/>
      <c r="DD152" s="30"/>
    </row>
    <row r="153" spans="1:108" s="63" customFormat="1" x14ac:dyDescent="0.3">
      <c r="A153" s="107" t="s">
        <v>97</v>
      </c>
      <c r="B153" s="47">
        <v>1</v>
      </c>
      <c r="C153" s="31" t="s">
        <v>46</v>
      </c>
      <c r="D153" s="48">
        <v>2.37609</v>
      </c>
      <c r="E153" s="31" t="s">
        <v>111</v>
      </c>
      <c r="F153" s="65"/>
      <c r="G153" s="30"/>
      <c r="I153" s="30"/>
      <c r="J153" s="30"/>
      <c r="K153" s="30"/>
      <c r="P153" s="30"/>
      <c r="Q153" s="30"/>
      <c r="R153" s="30"/>
      <c r="S153" s="30"/>
      <c r="U153" s="69"/>
      <c r="V153" s="69"/>
      <c r="W153" s="69"/>
      <c r="X153" s="30"/>
      <c r="Y153" s="30"/>
      <c r="Z153" s="30"/>
      <c r="AA153" s="30"/>
      <c r="AB153" s="69"/>
      <c r="AC153" s="69"/>
      <c r="AD153" s="69"/>
      <c r="AE153" s="51"/>
      <c r="AF153" s="51"/>
      <c r="AG153" s="51"/>
      <c r="AH153" s="30"/>
      <c r="AI153" s="30"/>
      <c r="AJ153" s="51"/>
      <c r="AK153" s="70"/>
      <c r="AL153" s="30"/>
      <c r="AM153" s="30"/>
      <c r="AN153" s="70"/>
      <c r="AO153" s="30"/>
      <c r="AP153" s="70"/>
      <c r="AQ153" s="30"/>
      <c r="AR153" s="30"/>
      <c r="AS153" s="51"/>
      <c r="AT153" s="47"/>
      <c r="AU153" s="47"/>
      <c r="AV153" s="30"/>
      <c r="AW153" s="30"/>
      <c r="AX153" s="47"/>
      <c r="AY153" s="30"/>
      <c r="AZ153" s="47"/>
      <c r="BA153" s="30"/>
      <c r="BC153" s="30"/>
      <c r="BF153" s="30"/>
      <c r="BG153" s="30"/>
      <c r="BK153" s="30"/>
      <c r="BN153" s="30"/>
      <c r="BO153" s="30"/>
      <c r="BR153" s="30"/>
      <c r="BT153" s="30"/>
      <c r="BV153" s="30"/>
      <c r="BY153" s="30"/>
      <c r="BZ153" s="30"/>
      <c r="CC153" s="30"/>
      <c r="CD153" s="30"/>
      <c r="CF153" s="30"/>
      <c r="CI153" s="30"/>
      <c r="CJ153" s="30"/>
      <c r="CM153" s="30"/>
      <c r="CQ153" s="30"/>
      <c r="CT153" s="30"/>
      <c r="CW153" s="30"/>
      <c r="DA153" s="30"/>
      <c r="DD153" s="30"/>
    </row>
    <row r="154" spans="1:108" s="63" customFormat="1" x14ac:dyDescent="0.3">
      <c r="A154" s="107"/>
      <c r="B154" s="47">
        <v>1</v>
      </c>
      <c r="C154" s="31" t="s">
        <v>108</v>
      </c>
      <c r="D154" s="48">
        <v>61.05</v>
      </c>
      <c r="E154" s="31" t="s">
        <v>100</v>
      </c>
      <c r="I154" s="30"/>
      <c r="J154" s="30"/>
      <c r="K154" s="30"/>
      <c r="P154" s="30"/>
      <c r="Q154" s="30"/>
      <c r="R154" s="30"/>
      <c r="S154" s="30"/>
      <c r="U154" s="69"/>
      <c r="V154" s="69"/>
      <c r="W154" s="69"/>
      <c r="X154" s="30"/>
      <c r="Y154" s="30"/>
      <c r="Z154" s="30"/>
      <c r="AA154" s="30"/>
      <c r="AB154" s="69"/>
      <c r="AC154" s="69"/>
      <c r="AD154" s="69"/>
      <c r="AE154" s="51"/>
      <c r="AF154" s="51"/>
      <c r="AG154" s="51"/>
      <c r="AH154" s="30"/>
      <c r="AI154" s="30"/>
      <c r="AJ154" s="51"/>
      <c r="AK154" s="70"/>
      <c r="AL154" s="30"/>
      <c r="AM154" s="30"/>
      <c r="AN154" s="70"/>
      <c r="AO154" s="30"/>
      <c r="AP154" s="70"/>
      <c r="AQ154" s="30"/>
      <c r="AR154" s="30"/>
      <c r="AS154" s="51"/>
      <c r="AT154" s="47"/>
      <c r="AU154" s="47"/>
      <c r="AV154" s="30"/>
      <c r="AW154" s="30"/>
      <c r="AX154" s="47"/>
      <c r="AY154" s="30"/>
      <c r="AZ154" s="47"/>
      <c r="BA154" s="30"/>
      <c r="BC154" s="30"/>
      <c r="BF154" s="30"/>
      <c r="BG154" s="30"/>
      <c r="BK154" s="30"/>
      <c r="BN154" s="30"/>
      <c r="BO154" s="30"/>
      <c r="BR154" s="30"/>
      <c r="BT154" s="30"/>
      <c r="BV154" s="30"/>
      <c r="BY154" s="30"/>
      <c r="BZ154" s="30"/>
      <c r="CC154" s="30"/>
      <c r="CD154" s="30"/>
      <c r="CF154" s="30"/>
      <c r="CI154" s="30"/>
      <c r="CJ154" s="30"/>
      <c r="CM154" s="30"/>
      <c r="CQ154" s="30"/>
      <c r="CT154" s="30"/>
      <c r="CW154" s="30"/>
      <c r="DA154" s="30"/>
      <c r="DD154" s="30"/>
    </row>
    <row r="155" spans="1:108" s="63" customFormat="1" x14ac:dyDescent="0.3">
      <c r="A155" s="107"/>
      <c r="B155" s="47">
        <v>1</v>
      </c>
      <c r="C155" s="31" t="s">
        <v>111</v>
      </c>
      <c r="D155" s="48">
        <v>1.7409300000000001</v>
      </c>
      <c r="E155" s="30" t="s">
        <v>105</v>
      </c>
      <c r="F155" s="65">
        <f>D159/D110</f>
        <v>2.625</v>
      </c>
      <c r="G155" s="30" t="s">
        <v>105</v>
      </c>
      <c r="H155" s="63">
        <f>F155/D102</f>
        <v>0.13125000000000001</v>
      </c>
      <c r="I155" s="30" t="s">
        <v>31</v>
      </c>
      <c r="J155" s="30"/>
      <c r="K155" s="30"/>
      <c r="P155" s="30"/>
      <c r="Q155" s="30"/>
      <c r="R155" s="30"/>
      <c r="S155" s="30"/>
      <c r="U155" s="69"/>
      <c r="V155" s="69"/>
      <c r="W155" s="69"/>
      <c r="X155" s="30"/>
      <c r="Y155" s="30"/>
      <c r="Z155" s="30"/>
      <c r="AA155" s="30"/>
      <c r="AB155" s="69"/>
      <c r="AC155" s="69"/>
      <c r="AD155" s="69"/>
      <c r="AE155" s="51"/>
      <c r="AF155" s="51"/>
      <c r="AG155" s="51"/>
      <c r="AH155" s="30"/>
      <c r="AI155" s="30"/>
      <c r="AJ155" s="51"/>
      <c r="AK155" s="70"/>
      <c r="AL155" s="30"/>
      <c r="AM155" s="30"/>
      <c r="AN155" s="70"/>
      <c r="AO155" s="30"/>
      <c r="AP155" s="70"/>
      <c r="AQ155" s="30"/>
      <c r="AR155" s="30"/>
      <c r="AS155" s="51"/>
      <c r="AT155" s="47"/>
      <c r="AU155" s="47"/>
      <c r="AV155" s="30"/>
      <c r="AW155" s="30"/>
      <c r="AX155" s="47"/>
      <c r="AY155" s="30"/>
      <c r="AZ155" s="47"/>
      <c r="BA155" s="30"/>
      <c r="BC155" s="30"/>
      <c r="BF155" s="30"/>
      <c r="BG155" s="30"/>
      <c r="BK155" s="30"/>
      <c r="BN155" s="30"/>
      <c r="BO155" s="30"/>
      <c r="BR155" s="30"/>
      <c r="BT155" s="30"/>
      <c r="BV155" s="30"/>
      <c r="BY155" s="30"/>
      <c r="BZ155" s="30"/>
      <c r="CC155" s="30"/>
      <c r="CD155" s="30"/>
      <c r="CF155" s="30"/>
      <c r="CI155" s="30"/>
      <c r="CJ155" s="30"/>
      <c r="CM155" s="30"/>
      <c r="CQ155" s="30"/>
      <c r="CT155" s="30"/>
      <c r="CW155" s="30"/>
      <c r="DA155" s="30"/>
      <c r="DD155" s="30"/>
    </row>
    <row r="156" spans="1:108" s="63" customFormat="1" x14ac:dyDescent="0.3">
      <c r="A156" s="107" t="s">
        <v>124</v>
      </c>
      <c r="B156" s="47">
        <v>1</v>
      </c>
      <c r="C156" s="31" t="s">
        <v>46</v>
      </c>
      <c r="D156" s="48">
        <v>242</v>
      </c>
      <c r="E156" s="30" t="s">
        <v>100</v>
      </c>
      <c r="I156" s="30"/>
      <c r="J156" s="30"/>
      <c r="K156" s="30"/>
      <c r="P156" s="30"/>
      <c r="Q156" s="30"/>
      <c r="R156" s="30"/>
      <c r="S156" s="30"/>
      <c r="U156" s="69"/>
      <c r="V156" s="69"/>
      <c r="W156" s="69"/>
      <c r="X156" s="30"/>
      <c r="Y156" s="30"/>
      <c r="Z156" s="30"/>
      <c r="AA156" s="30"/>
      <c r="AB156" s="69"/>
      <c r="AC156" s="69"/>
      <c r="AD156" s="69"/>
      <c r="AE156" s="51"/>
      <c r="AF156" s="51"/>
      <c r="AG156" s="51"/>
      <c r="AH156" s="30"/>
      <c r="AI156" s="30"/>
      <c r="AJ156" s="51"/>
      <c r="AK156" s="70"/>
      <c r="AL156" s="30"/>
      <c r="AM156" s="30"/>
      <c r="AN156" s="70"/>
      <c r="AO156" s="30"/>
      <c r="AP156" s="70"/>
      <c r="AQ156" s="30"/>
      <c r="AR156" s="30"/>
      <c r="AS156" s="51"/>
      <c r="AT156" s="47"/>
      <c r="AU156" s="47"/>
      <c r="AV156" s="30"/>
      <c r="AW156" s="30"/>
      <c r="AX156" s="47"/>
      <c r="AY156" s="30"/>
      <c r="AZ156" s="47"/>
      <c r="BA156" s="30"/>
      <c r="BC156" s="30"/>
      <c r="BF156" s="30"/>
      <c r="BG156" s="30"/>
      <c r="BK156" s="30"/>
      <c r="BN156" s="30"/>
      <c r="BO156" s="30"/>
      <c r="BR156" s="30"/>
      <c r="BT156" s="30"/>
      <c r="BV156" s="30"/>
      <c r="BY156" s="30"/>
      <c r="BZ156" s="30"/>
      <c r="CC156" s="30"/>
      <c r="CD156" s="30"/>
      <c r="CF156" s="30"/>
      <c r="CI156" s="30"/>
      <c r="CJ156" s="30"/>
      <c r="CM156" s="30"/>
      <c r="CQ156" s="30"/>
      <c r="CT156" s="30"/>
      <c r="CW156" s="30"/>
      <c r="DA156" s="30"/>
      <c r="DD156" s="30"/>
    </row>
    <row r="157" spans="1:108" s="63" customFormat="1" x14ac:dyDescent="0.3">
      <c r="A157" s="107"/>
      <c r="B157" s="47">
        <v>1</v>
      </c>
      <c r="C157" s="31" t="s">
        <v>43</v>
      </c>
      <c r="D157" s="65">
        <f>F155/D158</f>
        <v>4.400227973715972</v>
      </c>
      <c r="E157" s="30" t="s">
        <v>105</v>
      </c>
      <c r="F157" s="65">
        <f>D161/D110</f>
        <v>1.3303571428571428</v>
      </c>
      <c r="G157" s="30" t="s">
        <v>105</v>
      </c>
      <c r="I157" s="30"/>
      <c r="J157" s="30"/>
      <c r="K157" s="30"/>
      <c r="P157" s="30"/>
      <c r="Q157" s="30"/>
      <c r="R157" s="30"/>
      <c r="S157" s="30"/>
      <c r="U157" s="69"/>
      <c r="V157" s="69"/>
      <c r="W157" s="69"/>
      <c r="X157" s="30"/>
      <c r="Y157" s="30"/>
      <c r="Z157" s="30"/>
      <c r="AA157" s="30"/>
      <c r="AB157" s="69"/>
      <c r="AC157" s="69"/>
      <c r="AD157" s="69"/>
      <c r="AE157" s="51"/>
      <c r="AF157" s="51"/>
      <c r="AG157" s="51"/>
      <c r="AH157" s="30"/>
      <c r="AI157" s="30"/>
      <c r="AJ157" s="51"/>
      <c r="AK157" s="70"/>
      <c r="AL157" s="30"/>
      <c r="AM157" s="30"/>
      <c r="AN157" s="70"/>
      <c r="AO157" s="30"/>
      <c r="AP157" s="70"/>
      <c r="AQ157" s="30"/>
      <c r="AR157" s="30"/>
      <c r="AS157" s="51"/>
      <c r="AT157" s="47"/>
      <c r="AU157" s="47"/>
      <c r="AV157" s="30"/>
      <c r="AW157" s="30"/>
      <c r="AX157" s="47"/>
      <c r="AY157" s="30"/>
      <c r="AZ157" s="47"/>
      <c r="BA157" s="30"/>
      <c r="BC157" s="30"/>
      <c r="BF157" s="30"/>
      <c r="BG157" s="30"/>
      <c r="BK157" s="30"/>
      <c r="BN157" s="30"/>
      <c r="BO157" s="30"/>
      <c r="BR157" s="30"/>
      <c r="BT157" s="30"/>
      <c r="BV157" s="30"/>
      <c r="BY157" s="30"/>
      <c r="BZ157" s="30"/>
      <c r="CC157" s="30"/>
      <c r="CD157" s="30"/>
      <c r="CF157" s="30"/>
      <c r="CI157" s="30"/>
      <c r="CJ157" s="30"/>
      <c r="CM157" s="30"/>
      <c r="CQ157" s="30"/>
      <c r="CT157" s="30"/>
      <c r="CW157" s="30"/>
      <c r="DA157" s="30"/>
      <c r="DD157" s="30"/>
    </row>
    <row r="158" spans="1:108" s="63" customFormat="1" x14ac:dyDescent="0.3">
      <c r="A158" s="107"/>
      <c r="B158" s="47">
        <v>1</v>
      </c>
      <c r="C158" s="31" t="s">
        <v>125</v>
      </c>
      <c r="D158" s="48">
        <v>0.59655999999999998</v>
      </c>
      <c r="E158" s="30" t="s">
        <v>43</v>
      </c>
      <c r="F158" s="65">
        <f>D162/D110</f>
        <v>1.4642857142857142</v>
      </c>
      <c r="G158" s="30" t="s">
        <v>105</v>
      </c>
      <c r="I158" s="30"/>
      <c r="J158" s="30"/>
      <c r="K158" s="30"/>
      <c r="P158" s="30"/>
      <c r="Q158" s="30"/>
      <c r="R158" s="30"/>
      <c r="S158" s="30"/>
      <c r="U158" s="69"/>
      <c r="V158" s="69"/>
      <c r="W158" s="69"/>
      <c r="X158" s="30"/>
      <c r="Y158" s="30"/>
      <c r="Z158" s="30"/>
      <c r="AA158" s="30"/>
      <c r="AB158" s="69"/>
      <c r="AC158" s="69"/>
      <c r="AD158" s="69"/>
      <c r="AE158" s="51"/>
      <c r="AF158" s="51"/>
      <c r="AG158" s="51"/>
      <c r="AH158" s="30"/>
      <c r="AI158" s="30"/>
      <c r="AJ158" s="51"/>
      <c r="AK158" s="70"/>
      <c r="AL158" s="30"/>
      <c r="AM158" s="30"/>
      <c r="AN158" s="70"/>
      <c r="AO158" s="30"/>
      <c r="AP158" s="70"/>
      <c r="AQ158" s="30"/>
      <c r="AR158" s="30"/>
      <c r="AS158" s="51"/>
      <c r="AT158" s="47"/>
      <c r="AU158" s="47"/>
      <c r="AV158" s="30"/>
      <c r="AW158" s="30"/>
      <c r="AX158" s="47"/>
      <c r="AY158" s="30"/>
      <c r="AZ158" s="47"/>
      <c r="BA158" s="30"/>
      <c r="BC158" s="30"/>
      <c r="BF158" s="30"/>
      <c r="BG158" s="30"/>
      <c r="BK158" s="30"/>
      <c r="BN158" s="30"/>
      <c r="BO158" s="30"/>
      <c r="BR158" s="30"/>
      <c r="BT158" s="30"/>
      <c r="BV158" s="30"/>
      <c r="BY158" s="30"/>
      <c r="BZ158" s="30"/>
      <c r="CC158" s="30"/>
      <c r="CD158" s="30"/>
      <c r="CF158" s="30"/>
      <c r="CI158" s="30"/>
      <c r="CJ158" s="30"/>
      <c r="CM158" s="30"/>
      <c r="CQ158" s="30"/>
      <c r="CT158" s="30"/>
      <c r="CW158" s="30"/>
      <c r="DA158" s="30"/>
      <c r="DD158" s="30"/>
    </row>
    <row r="159" spans="1:108" s="63" customFormat="1" x14ac:dyDescent="0.3">
      <c r="A159" s="47" t="s">
        <v>94</v>
      </c>
      <c r="B159" s="47">
        <v>1</v>
      </c>
      <c r="C159" s="31" t="s">
        <v>125</v>
      </c>
      <c r="D159" s="48">
        <v>294</v>
      </c>
      <c r="E159" s="30" t="s">
        <v>100</v>
      </c>
      <c r="F159" s="65">
        <f>D164*D163/D110</f>
        <v>6.0815099999999997</v>
      </c>
      <c r="G159" s="30" t="s">
        <v>105</v>
      </c>
      <c r="I159" s="30"/>
      <c r="J159" s="30"/>
      <c r="K159" s="30"/>
      <c r="P159" s="30"/>
      <c r="Q159" s="30"/>
      <c r="R159" s="30"/>
      <c r="S159" s="30"/>
      <c r="U159" s="69"/>
      <c r="V159" s="69"/>
      <c r="W159" s="69"/>
      <c r="X159" s="30"/>
      <c r="Y159" s="30"/>
      <c r="Z159" s="30"/>
      <c r="AA159" s="30"/>
      <c r="AB159" s="69"/>
      <c r="AC159" s="69"/>
      <c r="AD159" s="69"/>
      <c r="AE159" s="51"/>
      <c r="AF159" s="51"/>
      <c r="AG159" s="51"/>
      <c r="AH159" s="30"/>
      <c r="AI159" s="30"/>
      <c r="AJ159" s="51"/>
      <c r="AK159" s="70"/>
      <c r="AL159" s="30"/>
      <c r="AM159" s="30"/>
      <c r="AN159" s="70"/>
      <c r="AO159" s="30"/>
      <c r="AP159" s="70"/>
      <c r="AQ159" s="30"/>
      <c r="AR159" s="30"/>
      <c r="AS159" s="51"/>
      <c r="AT159" s="47"/>
      <c r="AU159" s="47"/>
      <c r="AV159" s="30"/>
      <c r="AW159" s="30"/>
      <c r="AX159" s="47"/>
      <c r="AY159" s="30"/>
      <c r="AZ159" s="47"/>
      <c r="BA159" s="30"/>
      <c r="BC159" s="30"/>
      <c r="BF159" s="30"/>
      <c r="BG159" s="30"/>
      <c r="BK159" s="30"/>
      <c r="BN159" s="30"/>
      <c r="BO159" s="30"/>
      <c r="BR159" s="30"/>
      <c r="BT159" s="30"/>
      <c r="BV159" s="30"/>
      <c r="BY159" s="30"/>
      <c r="BZ159" s="30"/>
      <c r="CC159" s="30"/>
      <c r="CD159" s="30"/>
      <c r="CF159" s="30"/>
      <c r="CI159" s="30"/>
      <c r="CJ159" s="30"/>
      <c r="CM159" s="30"/>
      <c r="CQ159" s="30"/>
      <c r="CT159" s="30"/>
      <c r="CW159" s="30"/>
      <c r="DA159" s="30"/>
      <c r="DD159" s="30"/>
    </row>
    <row r="160" spans="1:108" s="63" customFormat="1" x14ac:dyDescent="0.3">
      <c r="A160" s="47" t="s">
        <v>24</v>
      </c>
      <c r="B160" s="47">
        <v>1</v>
      </c>
      <c r="C160" s="31" t="s">
        <v>43</v>
      </c>
      <c r="D160" s="65">
        <v>0.88400000000000001</v>
      </c>
      <c r="E160" s="30" t="s">
        <v>105</v>
      </c>
      <c r="F160" s="65">
        <f>D164/D110</f>
        <v>3</v>
      </c>
      <c r="G160" s="30" t="s">
        <v>105</v>
      </c>
      <c r="H160" s="65">
        <f>F160/D102</f>
        <v>0.15</v>
      </c>
      <c r="I160" s="30" t="s">
        <v>31</v>
      </c>
      <c r="J160" s="30"/>
      <c r="K160" s="30"/>
      <c r="P160" s="30"/>
      <c r="Q160" s="30"/>
      <c r="R160" s="30"/>
      <c r="S160" s="30"/>
      <c r="U160" s="69"/>
      <c r="V160" s="69"/>
      <c r="W160" s="69"/>
      <c r="X160" s="30"/>
      <c r="Y160" s="30"/>
      <c r="Z160" s="30"/>
      <c r="AA160" s="30"/>
      <c r="AB160" s="69"/>
      <c r="AC160" s="69"/>
      <c r="AD160" s="69"/>
      <c r="AE160" s="51"/>
      <c r="AF160" s="51"/>
      <c r="AG160" s="51"/>
      <c r="AH160" s="30"/>
      <c r="AI160" s="30"/>
      <c r="AJ160" s="51"/>
      <c r="AK160" s="70"/>
      <c r="AL160" s="30"/>
      <c r="AM160" s="30"/>
      <c r="AN160" s="70"/>
      <c r="AO160" s="30"/>
      <c r="AP160" s="70"/>
      <c r="AQ160" s="30"/>
      <c r="AR160" s="30"/>
      <c r="AS160" s="51"/>
      <c r="AT160" s="47"/>
      <c r="AU160" s="47"/>
      <c r="AV160" s="30"/>
      <c r="AW160" s="30"/>
      <c r="AX160" s="47"/>
      <c r="AY160" s="30"/>
      <c r="AZ160" s="47"/>
      <c r="BA160" s="30"/>
      <c r="BC160" s="30"/>
      <c r="BF160" s="30"/>
      <c r="BG160" s="30"/>
      <c r="BK160" s="30"/>
      <c r="BN160" s="30"/>
      <c r="BO160" s="30"/>
      <c r="BR160" s="30"/>
      <c r="BT160" s="30"/>
      <c r="BV160" s="30"/>
      <c r="BY160" s="30"/>
      <c r="BZ160" s="30"/>
      <c r="CC160" s="30"/>
      <c r="CD160" s="30"/>
      <c r="CF160" s="30"/>
      <c r="CI160" s="30"/>
      <c r="CJ160" s="30"/>
      <c r="CM160" s="30"/>
      <c r="CQ160" s="30"/>
      <c r="CT160" s="30"/>
      <c r="CW160" s="30"/>
      <c r="DA160" s="30"/>
      <c r="DD160" s="30"/>
    </row>
    <row r="161" spans="1:108" s="63" customFormat="1" x14ac:dyDescent="0.3">
      <c r="A161" s="47" t="s">
        <v>47</v>
      </c>
      <c r="B161" s="47">
        <v>1</v>
      </c>
      <c r="C161" s="31" t="s">
        <v>111</v>
      </c>
      <c r="D161" s="48">
        <v>149</v>
      </c>
      <c r="E161" s="30" t="s">
        <v>100</v>
      </c>
      <c r="F161" s="65">
        <f>D165/D110</f>
        <v>6.6666696428571433</v>
      </c>
      <c r="G161" s="30" t="s">
        <v>105</v>
      </c>
      <c r="H161" s="65">
        <f>F161/D102</f>
        <v>0.33333348214285718</v>
      </c>
      <c r="I161" s="30" t="s">
        <v>31</v>
      </c>
      <c r="J161" s="30"/>
      <c r="K161" s="30"/>
      <c r="P161" s="30"/>
      <c r="Q161" s="30"/>
      <c r="R161" s="30"/>
      <c r="S161" s="30"/>
      <c r="U161" s="69"/>
      <c r="V161" s="69"/>
      <c r="W161" s="69"/>
      <c r="X161" s="30"/>
      <c r="Y161" s="30"/>
      <c r="Z161" s="30"/>
      <c r="AA161" s="30"/>
      <c r="AB161" s="69"/>
      <c r="AC161" s="69"/>
      <c r="AD161" s="69"/>
      <c r="AE161" s="51"/>
      <c r="AF161" s="51"/>
      <c r="AG161" s="51"/>
      <c r="AH161" s="30"/>
      <c r="AI161" s="30"/>
      <c r="AJ161" s="51"/>
      <c r="AK161" s="70"/>
      <c r="AL161" s="30"/>
      <c r="AM161" s="30"/>
      <c r="AN161" s="70"/>
      <c r="AO161" s="30"/>
      <c r="AP161" s="70"/>
      <c r="AQ161" s="30"/>
      <c r="AR161" s="30"/>
      <c r="AS161" s="51"/>
      <c r="AT161" s="47"/>
      <c r="AU161" s="47"/>
      <c r="AV161" s="30"/>
      <c r="AW161" s="30"/>
      <c r="AX161" s="47"/>
      <c r="AY161" s="30"/>
      <c r="AZ161" s="47"/>
      <c r="BA161" s="30"/>
      <c r="BC161" s="30"/>
      <c r="BF161" s="30"/>
      <c r="BG161" s="30"/>
      <c r="BK161" s="30"/>
      <c r="BN161" s="30"/>
      <c r="BO161" s="30"/>
      <c r="BR161" s="30"/>
      <c r="BT161" s="30"/>
      <c r="BV161" s="30"/>
      <c r="BY161" s="30"/>
      <c r="BZ161" s="30"/>
      <c r="CC161" s="30"/>
      <c r="CD161" s="30"/>
      <c r="CF161" s="30"/>
      <c r="CI161" s="30"/>
      <c r="CJ161" s="30"/>
      <c r="CM161" s="30"/>
      <c r="CQ161" s="30"/>
      <c r="CT161" s="30"/>
      <c r="CW161" s="30"/>
      <c r="DA161" s="30"/>
      <c r="DD161" s="30"/>
    </row>
    <row r="162" spans="1:108" s="63" customFormat="1" x14ac:dyDescent="0.3">
      <c r="A162" s="47" t="s">
        <v>48</v>
      </c>
      <c r="B162" s="47">
        <v>1</v>
      </c>
      <c r="C162" s="31" t="s">
        <v>43</v>
      </c>
      <c r="D162" s="48">
        <v>164</v>
      </c>
      <c r="E162" s="30" t="s">
        <v>100</v>
      </c>
      <c r="F162" s="65">
        <f>D166/D110</f>
        <v>2.3214285714285716</v>
      </c>
      <c r="G162" s="30" t="s">
        <v>105</v>
      </c>
      <c r="I162" s="30"/>
      <c r="J162" s="30"/>
      <c r="K162" s="30"/>
      <c r="P162" s="30"/>
      <c r="Q162" s="30"/>
      <c r="R162" s="30"/>
      <c r="S162" s="30"/>
      <c r="X162" s="30"/>
      <c r="Y162" s="30"/>
      <c r="Z162" s="30"/>
      <c r="AA162" s="30"/>
      <c r="AE162" s="51"/>
      <c r="AF162" s="51"/>
      <c r="AG162" s="51"/>
      <c r="AH162" s="30"/>
      <c r="AI162" s="30"/>
      <c r="AJ162" s="51"/>
      <c r="AK162" s="47"/>
      <c r="AL162" s="30"/>
      <c r="AM162" s="30"/>
      <c r="AN162" s="47"/>
      <c r="AO162" s="30"/>
      <c r="AP162" s="47"/>
      <c r="AQ162" s="30"/>
      <c r="AR162" s="30"/>
      <c r="AS162" s="51"/>
      <c r="AT162" s="47"/>
      <c r="AU162" s="47"/>
      <c r="AV162" s="30"/>
      <c r="AW162" s="30"/>
      <c r="AX162" s="47"/>
      <c r="AY162" s="30"/>
      <c r="AZ162" s="47"/>
      <c r="BA162" s="30"/>
      <c r="BC162" s="30"/>
      <c r="BF162" s="30"/>
      <c r="BG162" s="30"/>
      <c r="BK162" s="30"/>
      <c r="BN162" s="30"/>
      <c r="BO162" s="30"/>
      <c r="BR162" s="30"/>
      <c r="BT162" s="30"/>
      <c r="BV162" s="30"/>
      <c r="BY162" s="30"/>
      <c r="BZ162" s="30"/>
      <c r="CC162" s="30"/>
      <c r="CD162" s="30"/>
      <c r="CF162" s="30"/>
      <c r="CI162" s="30"/>
      <c r="CJ162" s="30"/>
      <c r="CM162" s="30"/>
      <c r="CQ162" s="30"/>
      <c r="CT162" s="30"/>
      <c r="CW162" s="30"/>
      <c r="DA162" s="30"/>
      <c r="DD162" s="30"/>
    </row>
    <row r="163" spans="1:108" s="63" customFormat="1" x14ac:dyDescent="0.3">
      <c r="A163" s="107" t="s">
        <v>59</v>
      </c>
      <c r="B163" s="47">
        <v>1</v>
      </c>
      <c r="C163" s="31" t="s">
        <v>125</v>
      </c>
      <c r="D163" s="48">
        <v>2.0271699999999999</v>
      </c>
      <c r="E163" s="30" t="s">
        <v>46</v>
      </c>
      <c r="F163" s="65">
        <f>D167/D102</f>
        <v>7.8313999999999995E-2</v>
      </c>
      <c r="G163" s="30" t="s">
        <v>31</v>
      </c>
      <c r="I163" s="30"/>
      <c r="J163" s="30"/>
      <c r="K163" s="30"/>
      <c r="P163" s="30"/>
      <c r="Q163" s="30"/>
      <c r="R163" s="30"/>
      <c r="S163" s="30"/>
      <c r="X163" s="30"/>
      <c r="Y163" s="30"/>
      <c r="Z163" s="30"/>
      <c r="AA163" s="30"/>
      <c r="AE163" s="51"/>
      <c r="AF163" s="51"/>
      <c r="AG163" s="51"/>
      <c r="AH163" s="30"/>
      <c r="AI163" s="30"/>
      <c r="AJ163" s="51"/>
      <c r="AK163" s="47"/>
      <c r="AL163" s="30"/>
      <c r="AM163" s="30"/>
      <c r="AN163" s="47"/>
      <c r="AO163" s="30"/>
      <c r="AP163" s="47"/>
      <c r="AQ163" s="30"/>
      <c r="AR163" s="30"/>
      <c r="AS163" s="51"/>
      <c r="AT163" s="47"/>
      <c r="AU163" s="47"/>
      <c r="AV163" s="30"/>
      <c r="AW163" s="30"/>
      <c r="AX163" s="47"/>
      <c r="AY163" s="30"/>
      <c r="AZ163" s="47"/>
      <c r="BA163" s="30"/>
      <c r="BC163" s="30"/>
      <c r="BF163" s="30"/>
      <c r="BG163" s="30"/>
      <c r="BK163" s="30"/>
      <c r="BN163" s="30"/>
      <c r="BO163" s="30"/>
      <c r="BR163" s="30"/>
      <c r="BT163" s="30"/>
      <c r="BV163" s="30"/>
      <c r="BY163" s="30"/>
      <c r="BZ163" s="30"/>
      <c r="CC163" s="30"/>
      <c r="CD163" s="30"/>
      <c r="CF163" s="30"/>
      <c r="CI163" s="30"/>
      <c r="CJ163" s="30"/>
      <c r="CM163" s="30"/>
      <c r="CQ163" s="30"/>
      <c r="CT163" s="30"/>
      <c r="CW163" s="30"/>
      <c r="DA163" s="30"/>
      <c r="DD163" s="30"/>
    </row>
    <row r="164" spans="1:108" s="63" customFormat="1" x14ac:dyDescent="0.3">
      <c r="A164" s="107"/>
      <c r="B164" s="47">
        <v>1</v>
      </c>
      <c r="C164" s="31" t="s">
        <v>46</v>
      </c>
      <c r="D164" s="48">
        <v>336</v>
      </c>
      <c r="E164" s="30" t="s">
        <v>100</v>
      </c>
      <c r="F164" s="65">
        <f>D168/D110</f>
        <v>5</v>
      </c>
      <c r="G164" s="30" t="s">
        <v>105</v>
      </c>
      <c r="H164" s="51"/>
      <c r="I164" s="30"/>
      <c r="J164" s="30"/>
      <c r="K164" s="30"/>
      <c r="M164" s="51"/>
      <c r="N164" s="51"/>
      <c r="O164" s="51"/>
      <c r="P164" s="30"/>
      <c r="Q164" s="30"/>
      <c r="R164" s="30"/>
      <c r="S164" s="30"/>
      <c r="X164" s="30"/>
      <c r="Y164" s="30"/>
      <c r="Z164" s="30"/>
      <c r="AA164" s="30"/>
      <c r="AH164" s="30"/>
      <c r="AI164" s="30"/>
      <c r="AL164" s="30"/>
      <c r="AM164" s="30"/>
      <c r="AN164" s="47"/>
      <c r="AO164" s="30"/>
      <c r="AQ164" s="30"/>
      <c r="AR164" s="30"/>
      <c r="AT164" s="51"/>
      <c r="AU164" s="51"/>
      <c r="AV164" s="30"/>
      <c r="AW164" s="30"/>
      <c r="AY164" s="30"/>
      <c r="BA164" s="30"/>
      <c r="BC164" s="30"/>
      <c r="BF164" s="30"/>
      <c r="BG164" s="30"/>
      <c r="BK164" s="30"/>
      <c r="BN164" s="30"/>
      <c r="BO164" s="30"/>
      <c r="BR164" s="30"/>
      <c r="BT164" s="30"/>
      <c r="BV164" s="30"/>
      <c r="BY164" s="30"/>
      <c r="BZ164" s="30"/>
      <c r="CC164" s="30"/>
      <c r="CD164" s="30"/>
      <c r="CF164" s="30"/>
      <c r="CI164" s="30"/>
      <c r="CJ164" s="30"/>
      <c r="CM164" s="30"/>
      <c r="CQ164" s="30"/>
      <c r="CT164" s="30"/>
      <c r="CW164" s="30"/>
      <c r="DA164" s="30"/>
      <c r="DD164" s="30"/>
    </row>
    <row r="165" spans="1:108" s="63" customFormat="1" x14ac:dyDescent="0.3">
      <c r="A165" s="73" t="s">
        <v>126</v>
      </c>
      <c r="B165" s="47">
        <v>1</v>
      </c>
      <c r="C165" s="31" t="s">
        <v>43</v>
      </c>
      <c r="D165" s="48">
        <v>746.66700000000003</v>
      </c>
      <c r="E165" s="30" t="s">
        <v>100</v>
      </c>
      <c r="F165" s="75">
        <f>D169/D170</f>
        <v>0.7142857142857143</v>
      </c>
      <c r="G165" s="30" t="s">
        <v>105</v>
      </c>
      <c r="H165" s="74"/>
      <c r="I165" s="30"/>
      <c r="J165" s="30"/>
      <c r="K165" s="30"/>
      <c r="L165" s="74"/>
      <c r="M165" s="74"/>
      <c r="N165" s="74"/>
      <c r="O165" s="74"/>
      <c r="P165" s="30"/>
      <c r="Q165" s="30"/>
      <c r="R165" s="30"/>
      <c r="S165" s="30"/>
      <c r="T165" s="74"/>
      <c r="U165" s="74"/>
      <c r="V165" s="74"/>
      <c r="W165" s="47"/>
      <c r="X165" s="30"/>
      <c r="Y165" s="30"/>
      <c r="Z165" s="30"/>
      <c r="AA165" s="30"/>
      <c r="AB165" s="47"/>
      <c r="AC165" s="47"/>
      <c r="AD165" s="47"/>
      <c r="AE165" s="47"/>
      <c r="AF165" s="47"/>
      <c r="AG165" s="47"/>
      <c r="AH165" s="30"/>
      <c r="AI165" s="30"/>
      <c r="AJ165" s="47"/>
      <c r="AK165" s="47"/>
      <c r="AL165" s="30"/>
      <c r="AM165" s="30"/>
      <c r="AN165" s="47"/>
      <c r="AO165" s="30"/>
      <c r="AP165" s="47"/>
      <c r="AQ165" s="30"/>
      <c r="AR165" s="30"/>
      <c r="AS165" s="47"/>
      <c r="AT165" s="47"/>
      <c r="AU165" s="47"/>
      <c r="AV165" s="30"/>
      <c r="AW165" s="30"/>
      <c r="AX165" s="47"/>
      <c r="AY165" s="30"/>
      <c r="AZ165" s="47"/>
      <c r="BA165" s="30"/>
      <c r="BB165" s="47"/>
      <c r="BC165" s="30"/>
      <c r="BD165" s="47"/>
      <c r="BE165" s="47"/>
      <c r="BF165" s="30"/>
      <c r="BG165" s="30"/>
      <c r="BK165" s="30"/>
      <c r="BN165" s="30"/>
      <c r="BO165" s="30"/>
      <c r="BR165" s="30"/>
      <c r="BT165" s="30"/>
      <c r="BV165" s="30"/>
      <c r="BY165" s="30"/>
      <c r="BZ165" s="30"/>
      <c r="CC165" s="30"/>
      <c r="CD165" s="30"/>
      <c r="CF165" s="30"/>
      <c r="CI165" s="30"/>
      <c r="CJ165" s="30"/>
      <c r="CM165" s="30"/>
      <c r="CQ165" s="30"/>
      <c r="CT165" s="30"/>
      <c r="CW165" s="30"/>
      <c r="DA165" s="30"/>
      <c r="DD165" s="30"/>
    </row>
    <row r="166" spans="1:108" s="63" customFormat="1" x14ac:dyDescent="0.3">
      <c r="A166" s="107" t="s">
        <v>6</v>
      </c>
      <c r="B166" s="47">
        <v>1</v>
      </c>
      <c r="C166" s="31" t="s">
        <v>123</v>
      </c>
      <c r="D166" s="48">
        <v>260</v>
      </c>
      <c r="E166" s="30" t="s">
        <v>100</v>
      </c>
      <c r="F166" s="74"/>
      <c r="G166" s="74"/>
      <c r="H166" s="74"/>
      <c r="I166" s="30"/>
      <c r="J166" s="30"/>
      <c r="K166" s="30"/>
      <c r="L166" s="74"/>
      <c r="M166" s="74"/>
      <c r="N166" s="74"/>
      <c r="O166" s="74"/>
      <c r="P166" s="30"/>
      <c r="Q166" s="30"/>
      <c r="R166" s="30"/>
      <c r="S166" s="30"/>
      <c r="T166" s="74"/>
      <c r="U166" s="74"/>
      <c r="V166" s="74"/>
      <c r="W166" s="47"/>
      <c r="X166" s="30"/>
      <c r="Y166" s="30"/>
      <c r="Z166" s="30"/>
      <c r="AA166" s="30"/>
      <c r="AB166" s="47"/>
      <c r="AC166" s="47"/>
      <c r="AD166" s="47"/>
      <c r="AE166" s="47"/>
      <c r="AF166" s="47"/>
      <c r="AG166" s="47"/>
      <c r="AH166" s="30"/>
      <c r="AI166" s="30"/>
      <c r="AJ166" s="47"/>
      <c r="AK166" s="47"/>
      <c r="AL166" s="30"/>
      <c r="AM166" s="30"/>
      <c r="AN166" s="47"/>
      <c r="AO166" s="30"/>
      <c r="AP166" s="47"/>
      <c r="AQ166" s="30"/>
      <c r="AR166" s="30"/>
      <c r="AS166" s="47"/>
      <c r="AT166" s="47"/>
      <c r="AU166" s="47"/>
      <c r="AV166" s="30"/>
      <c r="AW166" s="30"/>
      <c r="AX166" s="47"/>
      <c r="AY166" s="30"/>
      <c r="AZ166" s="47"/>
      <c r="BA166" s="30"/>
      <c r="BB166" s="47"/>
      <c r="BC166" s="30"/>
      <c r="BD166" s="47"/>
      <c r="BE166" s="47"/>
      <c r="BF166" s="30"/>
      <c r="BG166" s="30"/>
      <c r="BK166" s="30"/>
      <c r="BN166" s="30"/>
      <c r="BO166" s="30"/>
      <c r="BQ166" s="51"/>
      <c r="BR166" s="30"/>
      <c r="BT166" s="30"/>
      <c r="BV166" s="30"/>
      <c r="BY166" s="30"/>
      <c r="BZ166" s="30"/>
      <c r="CC166" s="30"/>
      <c r="CD166" s="30"/>
      <c r="CF166" s="30"/>
      <c r="CI166" s="30"/>
      <c r="CJ166" s="30"/>
      <c r="CM166" s="30"/>
      <c r="CQ166" s="30"/>
      <c r="CT166" s="30"/>
      <c r="CW166" s="30"/>
      <c r="DA166" s="30"/>
      <c r="DD166" s="30"/>
    </row>
    <row r="167" spans="1:108" s="47" customFormat="1" x14ac:dyDescent="0.3">
      <c r="A167" s="107"/>
      <c r="B167" s="47">
        <v>1</v>
      </c>
      <c r="C167" s="31" t="s">
        <v>43</v>
      </c>
      <c r="D167" s="48">
        <v>1.5662799999999999</v>
      </c>
      <c r="E167" s="30" t="s">
        <v>105</v>
      </c>
      <c r="F167" s="65">
        <f>D171/D170</f>
        <v>3</v>
      </c>
      <c r="G167" s="30" t="s">
        <v>105</v>
      </c>
      <c r="H167" s="74"/>
      <c r="I167" s="30"/>
      <c r="J167" s="30"/>
      <c r="K167" s="30"/>
      <c r="L167" s="74"/>
      <c r="M167" s="74"/>
      <c r="N167" s="74"/>
      <c r="O167" s="74"/>
      <c r="P167" s="30"/>
      <c r="Q167" s="30"/>
      <c r="R167" s="30"/>
      <c r="S167" s="30"/>
      <c r="T167" s="74"/>
      <c r="U167" s="74"/>
      <c r="V167" s="74"/>
      <c r="X167" s="30"/>
      <c r="Y167" s="30"/>
      <c r="Z167" s="30"/>
      <c r="AA167" s="30"/>
      <c r="AH167" s="30"/>
      <c r="AI167" s="30"/>
      <c r="AL167" s="30"/>
      <c r="AM167" s="30"/>
      <c r="AO167" s="30"/>
      <c r="AQ167" s="30"/>
      <c r="AR167" s="30"/>
      <c r="AV167" s="30"/>
      <c r="AW167" s="30"/>
      <c r="AY167" s="30"/>
      <c r="BA167" s="30"/>
      <c r="BC167" s="30"/>
      <c r="BF167" s="30"/>
      <c r="BG167" s="30"/>
      <c r="BK167" s="30"/>
      <c r="BN167" s="30"/>
      <c r="BO167" s="30"/>
      <c r="BR167" s="30"/>
      <c r="BT167" s="30"/>
      <c r="BV167" s="30"/>
      <c r="BY167" s="30"/>
      <c r="BZ167" s="30"/>
      <c r="CC167" s="30"/>
      <c r="CD167" s="30"/>
      <c r="CF167" s="30"/>
      <c r="CI167" s="30"/>
      <c r="CJ167" s="30"/>
      <c r="CM167" s="30"/>
      <c r="CQ167" s="30"/>
      <c r="CT167" s="30"/>
      <c r="CW167" s="30"/>
      <c r="DA167" s="30"/>
      <c r="DD167" s="30"/>
    </row>
    <row r="168" spans="1:108" s="47" customFormat="1" x14ac:dyDescent="0.3">
      <c r="A168" s="107"/>
      <c r="B168" s="47">
        <v>1</v>
      </c>
      <c r="C168" s="31" t="s">
        <v>26</v>
      </c>
      <c r="D168" s="48">
        <v>560</v>
      </c>
      <c r="E168" s="30" t="s">
        <v>100</v>
      </c>
      <c r="F168" s="74"/>
      <c r="G168" s="74"/>
      <c r="H168" s="74"/>
      <c r="I168" s="30"/>
      <c r="J168" s="30"/>
      <c r="K168" s="30"/>
      <c r="L168" s="74"/>
      <c r="M168" s="74"/>
      <c r="N168" s="74"/>
      <c r="O168" s="74"/>
      <c r="P168" s="30"/>
      <c r="Q168" s="30"/>
      <c r="R168" s="30"/>
      <c r="S168" s="30"/>
      <c r="T168" s="74"/>
      <c r="U168" s="74"/>
      <c r="V168" s="74"/>
      <c r="X168" s="30"/>
      <c r="Y168" s="30"/>
      <c r="Z168" s="30"/>
      <c r="AA168" s="30"/>
      <c r="AH168" s="30"/>
      <c r="AI168" s="30"/>
      <c r="AL168" s="30"/>
      <c r="AM168" s="30"/>
      <c r="AO168" s="30"/>
      <c r="AQ168" s="30"/>
      <c r="AR168" s="30"/>
      <c r="AV168" s="30"/>
      <c r="AW168" s="30"/>
      <c r="AY168" s="30"/>
      <c r="BA168" s="30"/>
      <c r="BC168" s="30"/>
      <c r="BF168" s="30"/>
      <c r="BG168" s="30"/>
      <c r="BK168" s="30"/>
      <c r="BN168" s="30"/>
      <c r="BO168" s="30"/>
      <c r="BR168" s="30"/>
      <c r="BT168" s="30"/>
      <c r="BV168" s="30"/>
      <c r="BY168" s="30"/>
      <c r="BZ168" s="30"/>
      <c r="CC168" s="30"/>
      <c r="CD168" s="30"/>
      <c r="CF168" s="30"/>
      <c r="CI168" s="30"/>
      <c r="CJ168" s="30"/>
      <c r="CM168" s="30"/>
      <c r="CQ168" s="30"/>
      <c r="CT168" s="30"/>
      <c r="CW168" s="30"/>
      <c r="DA168" s="30"/>
      <c r="DD168" s="30"/>
    </row>
    <row r="169" spans="1:108" s="47" customFormat="1" x14ac:dyDescent="0.3">
      <c r="A169" s="107" t="s">
        <v>86</v>
      </c>
      <c r="B169" s="47">
        <v>1</v>
      </c>
      <c r="C169" s="30" t="s">
        <v>46</v>
      </c>
      <c r="D169" s="74">
        <v>80</v>
      </c>
      <c r="E169" s="30" t="s">
        <v>100</v>
      </c>
      <c r="F169" s="75">
        <f>D173/D102</f>
        <v>1.0161290322580644E-2</v>
      </c>
      <c r="G169" s="34" t="s">
        <v>31</v>
      </c>
      <c r="H169" s="74"/>
      <c r="I169" s="30"/>
      <c r="J169" s="30"/>
      <c r="K169" s="30"/>
      <c r="L169" s="74"/>
      <c r="M169" s="74"/>
      <c r="N169" s="74"/>
      <c r="O169" s="74"/>
      <c r="P169" s="30"/>
      <c r="Q169" s="30"/>
      <c r="R169" s="30"/>
      <c r="S169" s="30"/>
      <c r="T169" s="74"/>
      <c r="U169" s="74"/>
      <c r="V169" s="74"/>
      <c r="X169" s="30"/>
      <c r="Y169" s="30"/>
      <c r="Z169" s="30"/>
      <c r="AA169" s="30"/>
      <c r="AH169" s="30"/>
      <c r="AI169" s="30"/>
      <c r="AL169" s="30"/>
      <c r="AM169" s="30"/>
      <c r="AO169" s="30"/>
      <c r="AQ169" s="30"/>
      <c r="AR169" s="30"/>
      <c r="AV169" s="30"/>
      <c r="AW169" s="30"/>
      <c r="AY169" s="30"/>
      <c r="BA169" s="30"/>
      <c r="BC169" s="30"/>
      <c r="BF169" s="30"/>
      <c r="BG169" s="30"/>
      <c r="BK169" s="30"/>
      <c r="BN169" s="30"/>
      <c r="BO169" s="30"/>
      <c r="BR169" s="30"/>
      <c r="BT169" s="30"/>
      <c r="BV169" s="30"/>
      <c r="BY169" s="30"/>
      <c r="BZ169" s="30"/>
      <c r="CC169" s="30"/>
      <c r="CD169" s="30"/>
      <c r="CF169" s="30"/>
      <c r="CI169" s="30"/>
      <c r="CJ169" s="30"/>
      <c r="CM169" s="30"/>
      <c r="CQ169" s="30"/>
      <c r="CT169" s="30"/>
      <c r="CW169" s="30"/>
      <c r="DA169" s="30"/>
      <c r="DD169" s="30"/>
    </row>
    <row r="170" spans="1:108" s="47" customFormat="1" x14ac:dyDescent="0.3">
      <c r="A170" s="107"/>
      <c r="B170" s="47">
        <v>1</v>
      </c>
      <c r="C170" s="30" t="s">
        <v>105</v>
      </c>
      <c r="D170" s="74">
        <v>112</v>
      </c>
      <c r="E170" s="30" t="s">
        <v>100</v>
      </c>
      <c r="F170" s="74"/>
      <c r="G170" s="74"/>
      <c r="H170" s="74"/>
      <c r="I170" s="30"/>
      <c r="J170" s="30"/>
      <c r="K170" s="30"/>
      <c r="L170" s="74"/>
      <c r="M170" s="74"/>
      <c r="N170" s="74"/>
      <c r="O170" s="74"/>
      <c r="P170" s="30"/>
      <c r="Q170" s="30"/>
      <c r="R170" s="30"/>
      <c r="S170" s="30"/>
      <c r="T170" s="74"/>
      <c r="U170" s="74"/>
      <c r="V170" s="74"/>
      <c r="X170" s="30"/>
      <c r="Y170" s="30"/>
      <c r="Z170" s="30"/>
      <c r="AA170" s="30"/>
      <c r="AH170" s="30"/>
      <c r="AI170" s="30"/>
      <c r="AL170" s="30"/>
      <c r="AM170" s="30"/>
      <c r="AO170" s="30"/>
      <c r="AQ170" s="30"/>
      <c r="AR170" s="30"/>
      <c r="AV170" s="30"/>
      <c r="AW170" s="30"/>
      <c r="AY170" s="30"/>
      <c r="BA170" s="30"/>
      <c r="BC170" s="30"/>
      <c r="BF170" s="30"/>
      <c r="BG170" s="30"/>
      <c r="BK170" s="30"/>
      <c r="BN170" s="30"/>
      <c r="BO170" s="30"/>
      <c r="BR170" s="30"/>
      <c r="BT170" s="30"/>
      <c r="BV170" s="30"/>
      <c r="BY170" s="30"/>
      <c r="BZ170" s="30"/>
      <c r="CC170" s="30"/>
      <c r="CD170" s="30"/>
      <c r="CF170" s="30"/>
      <c r="CI170" s="30"/>
      <c r="CJ170" s="30"/>
      <c r="CM170" s="30"/>
      <c r="CQ170" s="30"/>
      <c r="CT170" s="30"/>
      <c r="CW170" s="30"/>
      <c r="DA170" s="30"/>
      <c r="DD170" s="30"/>
    </row>
    <row r="171" spans="1:108" s="47" customFormat="1" x14ac:dyDescent="0.3">
      <c r="A171" s="73" t="s">
        <v>127</v>
      </c>
      <c r="B171" s="47">
        <v>1</v>
      </c>
      <c r="C171" s="31" t="s">
        <v>46</v>
      </c>
      <c r="D171" s="48">
        <v>336</v>
      </c>
      <c r="E171" s="30" t="s">
        <v>100</v>
      </c>
      <c r="F171" s="74"/>
      <c r="G171" s="74"/>
      <c r="H171" s="74"/>
      <c r="I171" s="30"/>
      <c r="J171" s="30"/>
      <c r="K171" s="30"/>
      <c r="L171" s="74"/>
      <c r="M171" s="74"/>
      <c r="N171" s="74"/>
      <c r="O171" s="74"/>
      <c r="P171" s="30"/>
      <c r="Q171" s="30"/>
      <c r="R171" s="30"/>
      <c r="S171" s="30"/>
      <c r="T171" s="74"/>
      <c r="U171" s="74"/>
      <c r="V171" s="74"/>
      <c r="X171" s="30"/>
      <c r="Y171" s="30"/>
      <c r="Z171" s="30"/>
      <c r="AA171" s="30"/>
      <c r="AH171" s="30"/>
      <c r="AI171" s="30"/>
      <c r="AL171" s="30"/>
      <c r="AM171" s="30"/>
      <c r="AO171" s="30"/>
      <c r="AQ171" s="30"/>
      <c r="AR171" s="30"/>
      <c r="AV171" s="30"/>
      <c r="AW171" s="30"/>
      <c r="AY171" s="30"/>
      <c r="BA171" s="30"/>
      <c r="BC171" s="30"/>
      <c r="BF171" s="30"/>
      <c r="BG171" s="30"/>
      <c r="BK171" s="30"/>
      <c r="BN171" s="30"/>
      <c r="BO171" s="30"/>
      <c r="BR171" s="30"/>
      <c r="BT171" s="30"/>
      <c r="BV171" s="30"/>
      <c r="BY171" s="30"/>
      <c r="BZ171" s="30"/>
      <c r="CC171" s="30"/>
      <c r="CD171" s="30"/>
      <c r="CF171" s="30"/>
      <c r="CI171" s="30"/>
      <c r="CJ171" s="30"/>
      <c r="CM171" s="30"/>
      <c r="CQ171" s="30"/>
      <c r="CT171" s="30"/>
      <c r="CW171" s="30"/>
      <c r="DA171" s="30"/>
      <c r="DD171" s="30"/>
    </row>
    <row r="172" spans="1:108" s="47" customFormat="1" x14ac:dyDescent="0.3">
      <c r="A172" s="47" t="s">
        <v>128</v>
      </c>
      <c r="B172" s="47">
        <v>1</v>
      </c>
      <c r="C172" s="31" t="s">
        <v>129</v>
      </c>
      <c r="D172" s="48">
        <v>9</v>
      </c>
      <c r="E172" s="30" t="s">
        <v>18</v>
      </c>
      <c r="F172" s="75">
        <f>D176/D102</f>
        <v>7.4999999999999997E-2</v>
      </c>
      <c r="G172" s="34" t="s">
        <v>31</v>
      </c>
      <c r="H172" s="74"/>
      <c r="I172" s="30"/>
      <c r="J172" s="30"/>
      <c r="K172" s="30"/>
      <c r="L172" s="74"/>
      <c r="M172" s="74"/>
      <c r="N172" s="74"/>
      <c r="O172" s="74"/>
      <c r="P172" s="30"/>
      <c r="Q172" s="30"/>
      <c r="R172" s="30"/>
      <c r="S172" s="30"/>
      <c r="T172" s="74"/>
      <c r="U172" s="74"/>
      <c r="V172" s="74"/>
      <c r="X172" s="30"/>
      <c r="Y172" s="30"/>
      <c r="Z172" s="30"/>
      <c r="AA172" s="30"/>
      <c r="AH172" s="30"/>
      <c r="AI172" s="30"/>
      <c r="AL172" s="30"/>
      <c r="AM172" s="30"/>
      <c r="AO172" s="30"/>
      <c r="AQ172" s="30"/>
      <c r="AR172" s="30"/>
      <c r="AV172" s="30"/>
      <c r="AW172" s="30"/>
      <c r="AY172" s="30"/>
      <c r="BA172" s="30"/>
      <c r="BC172" s="30"/>
      <c r="BF172" s="30"/>
      <c r="BG172" s="30"/>
      <c r="BK172" s="30"/>
      <c r="BN172" s="30"/>
      <c r="BO172" s="30"/>
      <c r="BR172" s="30"/>
      <c r="BT172" s="30"/>
      <c r="BV172" s="30"/>
      <c r="BY172" s="30"/>
      <c r="BZ172" s="30"/>
      <c r="CC172" s="30"/>
      <c r="CD172" s="30"/>
      <c r="CF172" s="30"/>
      <c r="CI172" s="30"/>
      <c r="CJ172" s="30"/>
      <c r="CM172" s="30"/>
      <c r="CQ172" s="30"/>
      <c r="CT172" s="30"/>
      <c r="CW172" s="30"/>
      <c r="DA172" s="30"/>
      <c r="DD172" s="30"/>
    </row>
    <row r="173" spans="1:108" s="47" customFormat="1" x14ac:dyDescent="0.3">
      <c r="A173" s="47" t="s">
        <v>87</v>
      </c>
      <c r="B173" s="47">
        <v>1</v>
      </c>
      <c r="C173" s="31" t="s">
        <v>43</v>
      </c>
      <c r="D173" s="48">
        <f>756/3720</f>
        <v>0.20322580645161289</v>
      </c>
      <c r="E173" s="30" t="s">
        <v>105</v>
      </c>
      <c r="F173" s="65">
        <f>D177/D110</f>
        <v>1.3671875</v>
      </c>
      <c r="G173" s="30" t="s">
        <v>105</v>
      </c>
      <c r="H173" s="51"/>
      <c r="I173" s="63"/>
      <c r="J173" s="63"/>
      <c r="K173" s="30"/>
      <c r="L173" s="63"/>
      <c r="M173" s="51"/>
      <c r="N173" s="51"/>
      <c r="O173" s="51"/>
      <c r="P173" s="63"/>
      <c r="Q173" s="63"/>
      <c r="R173" s="63"/>
      <c r="S173" s="30"/>
      <c r="T173" s="63"/>
      <c r="U173" s="63"/>
      <c r="V173" s="63"/>
      <c r="W173" s="63"/>
      <c r="X173" s="63"/>
      <c r="Y173" s="63"/>
      <c r="Z173" s="63"/>
      <c r="AA173" s="30"/>
      <c r="AB173" s="63"/>
      <c r="AC173" s="63"/>
      <c r="AD173" s="63"/>
      <c r="AE173" s="63"/>
      <c r="AF173" s="63"/>
      <c r="AG173" s="63"/>
      <c r="AH173" s="30"/>
      <c r="AI173" s="63"/>
      <c r="AJ173" s="63"/>
      <c r="AK173" s="63"/>
      <c r="AL173" s="30"/>
      <c r="AM173" s="63"/>
      <c r="AO173" s="30"/>
      <c r="AP173" s="63"/>
      <c r="AQ173" s="63"/>
      <c r="AR173" s="30"/>
      <c r="AS173" s="63"/>
      <c r="AT173" s="51"/>
      <c r="AU173" s="51"/>
      <c r="AV173" s="30"/>
      <c r="AW173" s="63"/>
      <c r="AX173" s="63"/>
      <c r="AY173" s="30"/>
      <c r="AZ173" s="63"/>
      <c r="BA173" s="63"/>
      <c r="BB173" s="63"/>
      <c r="BC173" s="30"/>
      <c r="BD173" s="63"/>
      <c r="BE173" s="63"/>
      <c r="BF173" s="63"/>
      <c r="BG173" s="30"/>
      <c r="BK173" s="30"/>
      <c r="BN173" s="30"/>
      <c r="BO173" s="30"/>
      <c r="BR173" s="30"/>
      <c r="BT173" s="30"/>
      <c r="BV173" s="30"/>
      <c r="BY173" s="30"/>
      <c r="BZ173" s="30"/>
      <c r="CC173" s="30"/>
      <c r="CD173" s="30"/>
      <c r="CF173" s="30"/>
      <c r="CI173" s="30"/>
      <c r="CJ173" s="30"/>
      <c r="CM173" s="30"/>
      <c r="CQ173" s="30"/>
      <c r="CT173" s="30"/>
      <c r="CW173" s="30"/>
      <c r="DA173" s="30"/>
      <c r="DD173" s="30"/>
    </row>
    <row r="174" spans="1:108" s="47" customFormat="1" x14ac:dyDescent="0.3">
      <c r="A174" s="47" t="s">
        <v>9</v>
      </c>
      <c r="B174" s="47">
        <v>1</v>
      </c>
      <c r="C174" s="31" t="s">
        <v>111</v>
      </c>
      <c r="D174" s="48">
        <f>600/400</f>
        <v>1.5</v>
      </c>
      <c r="E174" s="30" t="s">
        <v>105</v>
      </c>
      <c r="F174" s="65">
        <f>F175</f>
        <v>3.0446428571428572</v>
      </c>
      <c r="G174" s="30" t="s">
        <v>105</v>
      </c>
      <c r="I174" s="63"/>
      <c r="J174" s="63"/>
      <c r="K174" s="30"/>
      <c r="P174" s="63"/>
      <c r="Q174" s="63"/>
      <c r="R174" s="63"/>
      <c r="S174" s="30"/>
      <c r="X174" s="63"/>
      <c r="Y174" s="63"/>
      <c r="Z174" s="63"/>
      <c r="AA174" s="30"/>
      <c r="AH174" s="30"/>
      <c r="AI174" s="63"/>
      <c r="AL174" s="30"/>
      <c r="AM174" s="63"/>
      <c r="AO174" s="30"/>
      <c r="AQ174" s="63"/>
      <c r="AR174" s="30"/>
      <c r="AV174" s="30"/>
      <c r="AW174" s="63"/>
      <c r="AY174" s="30"/>
      <c r="BA174" s="63"/>
      <c r="BC174" s="30"/>
      <c r="BF174" s="63"/>
      <c r="BG174" s="30"/>
      <c r="BK174" s="30"/>
      <c r="BN174" s="30"/>
      <c r="BO174" s="30"/>
      <c r="BR174" s="30"/>
      <c r="BT174" s="30"/>
      <c r="BV174" s="30"/>
      <c r="BY174" s="30"/>
      <c r="BZ174" s="30"/>
      <c r="CC174" s="30"/>
      <c r="CD174" s="30"/>
      <c r="CF174" s="30"/>
      <c r="CI174" s="30"/>
      <c r="CJ174" s="30"/>
      <c r="CM174" s="30"/>
      <c r="CQ174" s="30"/>
      <c r="CT174" s="30"/>
      <c r="CW174" s="30"/>
      <c r="DA174" s="30"/>
      <c r="DD174" s="30"/>
    </row>
    <row r="175" spans="1:108" s="63" customFormat="1" x14ac:dyDescent="0.3">
      <c r="A175" s="47" t="s">
        <v>130</v>
      </c>
      <c r="B175" s="47">
        <v>1</v>
      </c>
      <c r="C175" s="31" t="s">
        <v>46</v>
      </c>
      <c r="D175" s="48">
        <f>600/400</f>
        <v>1.5</v>
      </c>
      <c r="E175" s="30" t="s">
        <v>105</v>
      </c>
      <c r="F175" s="65">
        <f>D179/D110</f>
        <v>3.0446428571428572</v>
      </c>
      <c r="G175" s="30" t="s">
        <v>105</v>
      </c>
      <c r="H175" s="47"/>
      <c r="K175" s="30"/>
      <c r="L175" s="47"/>
      <c r="M175" s="47"/>
      <c r="N175" s="47"/>
      <c r="O175" s="47"/>
      <c r="S175" s="30"/>
      <c r="T175" s="47"/>
      <c r="U175" s="47"/>
      <c r="V175" s="47"/>
      <c r="W175" s="47"/>
      <c r="AA175" s="30"/>
      <c r="AB175" s="47"/>
      <c r="AC175" s="47"/>
      <c r="AD175" s="47"/>
      <c r="AE175" s="47"/>
      <c r="AF175" s="47"/>
      <c r="AG175" s="47"/>
      <c r="AH175" s="30"/>
      <c r="AJ175" s="47"/>
      <c r="AK175" s="47"/>
      <c r="AL175" s="30"/>
      <c r="AN175" s="47"/>
      <c r="AO175" s="30"/>
      <c r="AP175" s="47"/>
      <c r="AR175" s="30"/>
      <c r="AS175" s="47"/>
      <c r="AT175" s="47"/>
      <c r="AU175" s="47"/>
      <c r="AV175" s="30"/>
      <c r="AX175" s="47"/>
      <c r="AY175" s="30"/>
      <c r="AZ175" s="47"/>
      <c r="BB175" s="47"/>
      <c r="BC175" s="30"/>
      <c r="BD175" s="47"/>
      <c r="BE175" s="47"/>
      <c r="BG175" s="30"/>
      <c r="BK175" s="30"/>
      <c r="BO175" s="30"/>
      <c r="BQ175" s="51"/>
      <c r="BR175" s="30"/>
      <c r="BV175" s="30"/>
      <c r="BY175" s="30"/>
      <c r="CC175" s="30"/>
      <c r="CF175" s="30"/>
      <c r="CI175" s="30"/>
    </row>
    <row r="176" spans="1:108" s="47" customFormat="1" x14ac:dyDescent="0.3">
      <c r="A176" s="47" t="s">
        <v>37</v>
      </c>
      <c r="B176" s="47">
        <v>1</v>
      </c>
      <c r="C176" s="31" t="s">
        <v>43</v>
      </c>
      <c r="D176" s="48">
        <f>3600/2400</f>
        <v>1.5</v>
      </c>
      <c r="E176" s="30" t="s">
        <v>105</v>
      </c>
      <c r="F176" s="65">
        <f>D180/D110</f>
        <v>2.0982142857142859E-2</v>
      </c>
      <c r="G176" s="30" t="s">
        <v>105</v>
      </c>
      <c r="I176" s="63"/>
      <c r="J176" s="63"/>
      <c r="K176" s="30"/>
      <c r="P176" s="63"/>
      <c r="Q176" s="63"/>
      <c r="R176" s="63"/>
      <c r="S176" s="30"/>
      <c r="X176" s="63"/>
      <c r="Y176" s="63"/>
      <c r="Z176" s="63"/>
      <c r="AA176" s="30"/>
      <c r="AH176" s="30"/>
      <c r="AI176" s="63"/>
      <c r="AL176" s="30"/>
      <c r="AM176" s="63"/>
      <c r="AO176" s="30"/>
      <c r="AQ176" s="63"/>
      <c r="AR176" s="30"/>
      <c r="AV176" s="30"/>
      <c r="AW176" s="63"/>
      <c r="AY176" s="30"/>
      <c r="BA176" s="63"/>
      <c r="BC176" s="30"/>
      <c r="BF176" s="63"/>
      <c r="BG176" s="30"/>
      <c r="BK176" s="30"/>
      <c r="BN176" s="63"/>
      <c r="BO176" s="30"/>
      <c r="BR176" s="30"/>
      <c r="BT176" s="63"/>
      <c r="BV176" s="30"/>
      <c r="BY176" s="30"/>
      <c r="BZ176" s="63"/>
      <c r="CC176" s="30"/>
      <c r="CD176" s="63"/>
      <c r="CF176" s="30"/>
      <c r="CI176" s="30"/>
      <c r="CJ176" s="63"/>
      <c r="CM176" s="63"/>
      <c r="CQ176" s="63"/>
      <c r="CT176" s="63"/>
      <c r="CW176" s="63"/>
      <c r="DA176" s="63"/>
      <c r="DD176" s="63"/>
    </row>
    <row r="177" spans="1:108" s="47" customFormat="1" x14ac:dyDescent="0.3">
      <c r="A177" s="47" t="s">
        <v>25</v>
      </c>
      <c r="B177" s="47">
        <v>1</v>
      </c>
      <c r="C177" s="31" t="s">
        <v>43</v>
      </c>
      <c r="D177" s="63">
        <v>153.125</v>
      </c>
      <c r="E177" s="30" t="s">
        <v>100</v>
      </c>
      <c r="F177" s="65">
        <f>D181/D110</f>
        <v>5.7142857142857144</v>
      </c>
      <c r="G177" s="30" t="s">
        <v>105</v>
      </c>
      <c r="H177" s="76"/>
      <c r="I177" s="63"/>
      <c r="J177" s="63"/>
      <c r="K177" s="30"/>
      <c r="L177" s="77"/>
      <c r="M177" s="76"/>
      <c r="N177" s="76"/>
      <c r="O177" s="76"/>
      <c r="P177" s="63"/>
      <c r="Q177" s="63"/>
      <c r="R177" s="63"/>
      <c r="S177" s="30"/>
      <c r="T177" s="77"/>
      <c r="U177" s="76"/>
      <c r="V177" s="76"/>
      <c r="W177" s="76"/>
      <c r="X177" s="63"/>
      <c r="Y177" s="63"/>
      <c r="Z177" s="63"/>
      <c r="AA177" s="30"/>
      <c r="AB177" s="76"/>
      <c r="AC177" s="77"/>
      <c r="AD177" s="77"/>
      <c r="AE177" s="76"/>
      <c r="AF177" s="76"/>
      <c r="AG177" s="76"/>
      <c r="AH177" s="30"/>
      <c r="AI177" s="63"/>
      <c r="AJ177" s="76"/>
      <c r="AK177" s="76"/>
      <c r="AL177" s="30"/>
      <c r="AM177" s="63"/>
      <c r="AN177" s="77"/>
      <c r="AO177" s="30"/>
      <c r="AP177" s="76"/>
      <c r="AQ177" s="63"/>
      <c r="AR177" s="30"/>
      <c r="AS177" s="78"/>
      <c r="AT177" s="76"/>
      <c r="AU177" s="79"/>
      <c r="AV177" s="30"/>
      <c r="AW177" s="63"/>
      <c r="AX177" s="76"/>
      <c r="AY177" s="30"/>
      <c r="AZ177" s="77"/>
      <c r="BA177" s="63"/>
      <c r="BB177" s="76"/>
      <c r="BC177" s="30"/>
      <c r="BD177" s="76"/>
      <c r="BE177" s="76"/>
      <c r="BF177" s="63"/>
      <c r="BG177" s="30"/>
      <c r="BK177" s="30"/>
      <c r="BN177" s="63"/>
      <c r="BO177" s="30"/>
      <c r="BR177" s="30"/>
      <c r="BT177" s="63"/>
      <c r="BV177" s="30"/>
      <c r="BY177" s="30"/>
      <c r="BZ177" s="63"/>
      <c r="CC177" s="30"/>
      <c r="CD177" s="63"/>
      <c r="CF177" s="30"/>
      <c r="CI177" s="30"/>
      <c r="CJ177" s="63"/>
      <c r="CM177" s="63"/>
      <c r="CQ177" s="63"/>
      <c r="CT177" s="63"/>
      <c r="CW177" s="63"/>
      <c r="DA177" s="63"/>
      <c r="DD177" s="63"/>
    </row>
    <row r="178" spans="1:108" s="47" customFormat="1" x14ac:dyDescent="0.3">
      <c r="A178" s="107" t="s">
        <v>33</v>
      </c>
      <c r="B178" s="47">
        <v>1</v>
      </c>
      <c r="C178" s="30" t="s">
        <v>28</v>
      </c>
      <c r="D178" s="48">
        <v>1</v>
      </c>
      <c r="E178" s="30" t="s">
        <v>46</v>
      </c>
      <c r="F178" s="65">
        <f>D182/D110</f>
        <v>1.75</v>
      </c>
      <c r="G178" s="30" t="s">
        <v>105</v>
      </c>
      <c r="H178" s="76"/>
      <c r="I178" s="63"/>
      <c r="J178" s="63"/>
      <c r="K178" s="30"/>
      <c r="L178" s="76"/>
      <c r="M178" s="79"/>
      <c r="N178" s="79"/>
      <c r="O178" s="76"/>
      <c r="P178" s="63"/>
      <c r="Q178" s="63"/>
      <c r="R178" s="63"/>
      <c r="S178" s="30"/>
      <c r="T178" s="76"/>
      <c r="U178" s="79"/>
      <c r="V178" s="79"/>
      <c r="W178" s="76"/>
      <c r="X178" s="63"/>
      <c r="Y178" s="63"/>
      <c r="Z178" s="63"/>
      <c r="AA178" s="30"/>
      <c r="AB178" s="76"/>
      <c r="AC178" s="76"/>
      <c r="AD178" s="76"/>
      <c r="AE178" s="79"/>
      <c r="AF178" s="79"/>
      <c r="AG178" s="79"/>
      <c r="AH178" s="30"/>
      <c r="AI178" s="63"/>
      <c r="AJ178" s="76"/>
      <c r="AK178" s="76"/>
      <c r="AL178" s="30"/>
      <c r="AM178" s="63"/>
      <c r="AN178" s="76"/>
      <c r="AO178" s="30"/>
      <c r="AP178" s="79"/>
      <c r="AQ178" s="63"/>
      <c r="AR178" s="30"/>
      <c r="AS178" s="76"/>
      <c r="AT178" s="80"/>
      <c r="AU178" s="76"/>
      <c r="AV178" s="30"/>
      <c r="AW178" s="63"/>
      <c r="AX178" s="79"/>
      <c r="AY178" s="30"/>
      <c r="AZ178" s="76"/>
      <c r="BA178" s="63"/>
      <c r="BB178" s="79"/>
      <c r="BC178" s="30"/>
      <c r="BD178" s="76"/>
      <c r="BE178" s="76"/>
      <c r="BF178" s="63"/>
      <c r="BG178" s="30"/>
      <c r="BK178" s="30"/>
      <c r="BN178" s="63"/>
      <c r="BO178" s="30"/>
      <c r="BR178" s="30"/>
      <c r="BT178" s="63"/>
      <c r="BV178" s="30"/>
      <c r="BY178" s="30"/>
      <c r="BZ178" s="63"/>
      <c r="CC178" s="30"/>
      <c r="CD178" s="63"/>
      <c r="CF178" s="30"/>
      <c r="CI178" s="30"/>
      <c r="CJ178" s="63"/>
      <c r="CM178" s="63"/>
      <c r="CQ178" s="63"/>
      <c r="CT178" s="63"/>
      <c r="CW178" s="63"/>
      <c r="DA178" s="63"/>
      <c r="DD178" s="63"/>
    </row>
    <row r="179" spans="1:108" s="80" customFormat="1" x14ac:dyDescent="0.3">
      <c r="A179" s="107"/>
      <c r="B179" s="47">
        <v>1</v>
      </c>
      <c r="C179" s="30" t="s">
        <v>46</v>
      </c>
      <c r="D179" s="48">
        <f>(355+327)/2</f>
        <v>341</v>
      </c>
      <c r="E179" s="30" t="s">
        <v>100</v>
      </c>
      <c r="F179" s="65">
        <f>D183/D110</f>
        <v>2.5</v>
      </c>
      <c r="G179" s="30" t="s">
        <v>105</v>
      </c>
      <c r="H179" s="63"/>
      <c r="I179" s="63"/>
      <c r="J179" s="63"/>
      <c r="K179" s="30"/>
      <c r="L179" s="63"/>
      <c r="M179" s="63"/>
      <c r="N179" s="63"/>
      <c r="O179" s="63"/>
      <c r="P179" s="63"/>
      <c r="Q179" s="63"/>
      <c r="R179" s="63"/>
      <c r="S179" s="30"/>
      <c r="T179" s="63"/>
      <c r="U179" s="63"/>
      <c r="V179" s="63"/>
      <c r="W179" s="63"/>
      <c r="X179" s="63"/>
      <c r="Y179" s="63"/>
      <c r="Z179" s="63"/>
      <c r="AA179" s="30"/>
      <c r="AB179" s="63"/>
      <c r="AC179" s="63"/>
      <c r="AD179" s="63"/>
      <c r="AE179" s="63"/>
      <c r="AF179" s="63"/>
      <c r="AG179" s="63"/>
      <c r="AH179" s="30"/>
      <c r="AI179" s="63"/>
      <c r="AJ179" s="63"/>
      <c r="AK179" s="63"/>
      <c r="AL179" s="30"/>
      <c r="AM179" s="63"/>
      <c r="AN179" s="63"/>
      <c r="AO179" s="30"/>
      <c r="AP179" s="63"/>
      <c r="AQ179" s="63"/>
      <c r="AR179" s="30"/>
      <c r="AS179" s="63"/>
      <c r="AT179" s="63"/>
      <c r="AU179" s="63"/>
      <c r="AV179" s="30"/>
      <c r="AW179" s="63"/>
      <c r="AX179" s="63"/>
      <c r="AY179" s="30"/>
      <c r="AZ179" s="63"/>
      <c r="BA179" s="63"/>
      <c r="BB179" s="63"/>
      <c r="BC179" s="30"/>
      <c r="BD179" s="63"/>
      <c r="BE179" s="63"/>
      <c r="BF179" s="63"/>
      <c r="BG179" s="30"/>
      <c r="BH179" s="77"/>
      <c r="BI179" s="76"/>
      <c r="BJ179" s="76"/>
      <c r="BK179" s="30"/>
      <c r="BL179" s="77"/>
      <c r="BM179" s="76"/>
      <c r="BN179" s="63"/>
      <c r="BO179" s="30"/>
      <c r="BP179" s="77"/>
      <c r="BQ179" s="76"/>
      <c r="BR179" s="30"/>
      <c r="BS179" s="77"/>
      <c r="BT179" s="63"/>
      <c r="BU179" s="76"/>
      <c r="BV179" s="30"/>
      <c r="BW179" s="79"/>
      <c r="BX179" s="76"/>
      <c r="BY179" s="30"/>
      <c r="BZ179" s="63"/>
      <c r="CC179" s="30"/>
      <c r="CD179" s="63"/>
      <c r="CF179" s="30"/>
      <c r="CI179" s="30"/>
      <c r="CJ179" s="63"/>
      <c r="CM179" s="63"/>
      <c r="CQ179" s="63"/>
      <c r="CT179" s="63"/>
      <c r="CW179" s="63"/>
      <c r="DA179" s="63"/>
      <c r="DD179" s="63"/>
    </row>
    <row r="180" spans="1:108" s="80" customFormat="1" x14ac:dyDescent="0.3">
      <c r="A180" s="107"/>
      <c r="B180" s="47">
        <v>1</v>
      </c>
      <c r="C180" s="31" t="s">
        <v>19</v>
      </c>
      <c r="D180" s="48">
        <f>(2.2+2.5)/2</f>
        <v>2.35</v>
      </c>
      <c r="E180" s="30" t="s">
        <v>100</v>
      </c>
      <c r="F180" s="65">
        <f>D184/D110</f>
        <v>1</v>
      </c>
      <c r="G180" s="30" t="s">
        <v>105</v>
      </c>
      <c r="H180" s="63"/>
      <c r="I180" s="63"/>
      <c r="J180" s="63"/>
      <c r="K180" s="30"/>
      <c r="L180" s="63"/>
      <c r="M180" s="63"/>
      <c r="N180" s="63"/>
      <c r="O180" s="63"/>
      <c r="P180" s="63"/>
      <c r="Q180" s="63"/>
      <c r="R180" s="63"/>
      <c r="S180" s="30"/>
      <c r="T180" s="63"/>
      <c r="U180" s="63"/>
      <c r="V180" s="63"/>
      <c r="W180" s="63"/>
      <c r="X180" s="63"/>
      <c r="Y180" s="63"/>
      <c r="Z180" s="63"/>
      <c r="AA180" s="30"/>
      <c r="AB180" s="63"/>
      <c r="AC180" s="63"/>
      <c r="AD180" s="63"/>
      <c r="AE180" s="63"/>
      <c r="AF180" s="63"/>
      <c r="AG180" s="63"/>
      <c r="AH180" s="30"/>
      <c r="AI180" s="63"/>
      <c r="AJ180" s="63"/>
      <c r="AK180" s="63"/>
      <c r="AL180" s="30"/>
      <c r="AM180" s="63"/>
      <c r="AN180" s="63"/>
      <c r="AO180" s="30"/>
      <c r="AP180" s="63"/>
      <c r="AQ180" s="63"/>
      <c r="AR180" s="30"/>
      <c r="AS180" s="63"/>
      <c r="AT180" s="63"/>
      <c r="AU180" s="63"/>
      <c r="AV180" s="30"/>
      <c r="AW180" s="63"/>
      <c r="AX180" s="63"/>
      <c r="AY180" s="30"/>
      <c r="AZ180" s="63"/>
      <c r="BA180" s="63"/>
      <c r="BB180" s="63"/>
      <c r="BC180" s="30"/>
      <c r="BD180" s="63"/>
      <c r="BE180" s="63"/>
      <c r="BF180" s="63"/>
      <c r="BG180" s="30"/>
      <c r="BH180" s="76"/>
      <c r="BI180" s="79"/>
      <c r="BJ180" s="79"/>
      <c r="BK180" s="30"/>
      <c r="BL180" s="76"/>
      <c r="BM180" s="79"/>
      <c r="BN180" s="63"/>
      <c r="BO180" s="30"/>
      <c r="BP180" s="76"/>
      <c r="BQ180" s="77"/>
      <c r="BR180" s="30"/>
      <c r="BS180" s="76"/>
      <c r="BT180" s="63"/>
      <c r="BU180" s="79"/>
      <c r="BV180" s="30"/>
      <c r="BW180" s="76"/>
      <c r="BX180" s="79"/>
      <c r="BY180" s="30"/>
      <c r="BZ180" s="63"/>
      <c r="CA180" s="76"/>
      <c r="CC180" s="30"/>
      <c r="CD180" s="63"/>
      <c r="CF180" s="30"/>
      <c r="CI180" s="30"/>
      <c r="CJ180" s="63"/>
      <c r="CM180" s="63"/>
      <c r="CQ180" s="63"/>
      <c r="CT180" s="63"/>
      <c r="CW180" s="63"/>
      <c r="DA180" s="63"/>
      <c r="DD180" s="63"/>
    </row>
    <row r="181" spans="1:108" s="63" customFormat="1" ht="13.8" customHeight="1" x14ac:dyDescent="0.3">
      <c r="A181" s="47" t="s">
        <v>95</v>
      </c>
      <c r="B181" s="47">
        <v>1</v>
      </c>
      <c r="C181" s="31" t="s">
        <v>28</v>
      </c>
      <c r="D181" s="48">
        <v>640</v>
      </c>
      <c r="E181" s="30" t="s">
        <v>100</v>
      </c>
      <c r="F181" s="65">
        <f>D185/D102</f>
        <v>3.3756500000000002E-2</v>
      </c>
      <c r="G181" s="30" t="s">
        <v>31</v>
      </c>
      <c r="K181" s="30"/>
      <c r="S181" s="30"/>
      <c r="AA181" s="30"/>
      <c r="AH181" s="30"/>
      <c r="AL181" s="30"/>
      <c r="AO181" s="30"/>
      <c r="AR181" s="30"/>
      <c r="AV181" s="30"/>
      <c r="AY181" s="30"/>
      <c r="BC181" s="30"/>
      <c r="BG181" s="30"/>
      <c r="BK181" s="30"/>
      <c r="BO181" s="30"/>
      <c r="BR181" s="30"/>
      <c r="BV181" s="30"/>
      <c r="BY181" s="30"/>
      <c r="CC181" s="30"/>
      <c r="CF181" s="30"/>
      <c r="CI181" s="30"/>
    </row>
    <row r="182" spans="1:108" s="63" customFormat="1" x14ac:dyDescent="0.3">
      <c r="A182" s="107" t="s">
        <v>5</v>
      </c>
      <c r="B182" s="47">
        <v>1</v>
      </c>
      <c r="C182" s="31" t="s">
        <v>21</v>
      </c>
      <c r="D182" s="48">
        <v>196</v>
      </c>
      <c r="E182" s="30" t="s">
        <v>100</v>
      </c>
      <c r="F182" s="65"/>
      <c r="G182" s="30"/>
      <c r="K182" s="30"/>
      <c r="S182" s="30"/>
      <c r="AA182" s="30"/>
      <c r="AH182" s="30"/>
      <c r="AL182" s="30"/>
      <c r="AO182" s="30"/>
      <c r="AR182" s="30"/>
      <c r="AV182" s="30"/>
      <c r="AY182" s="30"/>
      <c r="BC182" s="30"/>
      <c r="BG182" s="30"/>
      <c r="BK182" s="30"/>
      <c r="BO182" s="30"/>
      <c r="BR182" s="30"/>
      <c r="BV182" s="30"/>
      <c r="BY182" s="30"/>
      <c r="CC182" s="30"/>
      <c r="CF182" s="30"/>
      <c r="CI182" s="30"/>
    </row>
    <row r="183" spans="1:108" s="63" customFormat="1" x14ac:dyDescent="0.3">
      <c r="A183" s="107"/>
      <c r="B183" s="47">
        <v>1</v>
      </c>
      <c r="C183" s="31" t="s">
        <v>131</v>
      </c>
      <c r="D183" s="48">
        <v>280</v>
      </c>
      <c r="E183" s="30" t="s">
        <v>100</v>
      </c>
      <c r="F183" s="65">
        <f>D187/D110</f>
        <v>6.6666607142857144</v>
      </c>
      <c r="G183" s="30" t="s">
        <v>105</v>
      </c>
      <c r="K183" s="30"/>
      <c r="S183" s="30"/>
      <c r="AA183" s="30"/>
      <c r="AH183" s="30"/>
      <c r="AL183" s="30"/>
      <c r="AO183" s="30"/>
      <c r="AR183" s="30"/>
      <c r="AV183" s="30"/>
      <c r="AY183" s="30"/>
      <c r="BC183" s="30"/>
      <c r="BG183" s="30"/>
      <c r="BK183" s="30"/>
      <c r="BO183" s="30"/>
      <c r="BR183" s="30"/>
      <c r="BV183" s="30"/>
      <c r="BY183" s="30"/>
      <c r="CC183" s="30"/>
      <c r="CF183" s="30"/>
      <c r="CI183" s="30"/>
    </row>
    <row r="184" spans="1:108" s="63" customFormat="1" x14ac:dyDescent="0.3">
      <c r="A184" s="68" t="s">
        <v>23</v>
      </c>
      <c r="B184" s="47">
        <v>1</v>
      </c>
      <c r="C184" s="31" t="s">
        <v>111</v>
      </c>
      <c r="D184" s="48">
        <v>112</v>
      </c>
      <c r="E184" s="30" t="s">
        <v>100</v>
      </c>
      <c r="F184" s="65">
        <f>D188/D110</f>
        <v>2.2321428571428572</v>
      </c>
      <c r="G184" s="30" t="s">
        <v>105</v>
      </c>
      <c r="K184" s="30"/>
      <c r="S184" s="30"/>
      <c r="AA184" s="30"/>
      <c r="AH184" s="30"/>
      <c r="AL184" s="30"/>
      <c r="AO184" s="30"/>
      <c r="AR184" s="30"/>
      <c r="AV184" s="30"/>
      <c r="AY184" s="30"/>
      <c r="BC184" s="30"/>
      <c r="BG184" s="30"/>
      <c r="BK184" s="30"/>
      <c r="BO184" s="30"/>
      <c r="BR184" s="30"/>
      <c r="BV184" s="30"/>
      <c r="BY184" s="30"/>
      <c r="CC184" s="30"/>
      <c r="CF184" s="30"/>
      <c r="CI184" s="30"/>
    </row>
    <row r="185" spans="1:108" s="63" customFormat="1" x14ac:dyDescent="0.3">
      <c r="A185" s="68" t="s">
        <v>83</v>
      </c>
      <c r="B185" s="47">
        <v>1</v>
      </c>
      <c r="C185" s="31" t="s">
        <v>46</v>
      </c>
      <c r="D185" s="48">
        <v>0.67513000000000001</v>
      </c>
      <c r="E185" s="30" t="s">
        <v>105</v>
      </c>
      <c r="F185" s="65">
        <f>D189/D110</f>
        <v>1</v>
      </c>
      <c r="G185" s="30" t="s">
        <v>105</v>
      </c>
      <c r="K185" s="30"/>
      <c r="S185" s="30"/>
      <c r="AA185" s="30"/>
      <c r="AH185" s="30"/>
      <c r="AL185" s="30"/>
      <c r="AO185" s="30"/>
      <c r="AR185" s="30"/>
      <c r="AV185" s="30"/>
      <c r="AY185" s="30"/>
      <c r="BC185" s="30"/>
      <c r="BG185" s="30"/>
      <c r="BK185" s="30"/>
      <c r="BO185" s="30"/>
      <c r="BR185" s="30"/>
      <c r="BV185" s="30"/>
      <c r="BY185" s="30"/>
      <c r="CC185" s="30"/>
      <c r="CF185" s="30"/>
      <c r="CI185" s="30"/>
    </row>
    <row r="186" spans="1:108" s="63" customFormat="1" x14ac:dyDescent="0.3">
      <c r="A186" s="72" t="s">
        <v>85</v>
      </c>
      <c r="B186" s="47">
        <v>1</v>
      </c>
      <c r="C186" s="31" t="s">
        <v>125</v>
      </c>
      <c r="D186" s="48">
        <v>2.39975</v>
      </c>
      <c r="E186" s="30" t="s">
        <v>105</v>
      </c>
      <c r="F186" s="65">
        <f>D190/D110</f>
        <v>2.0267857142857144</v>
      </c>
      <c r="G186" s="30" t="s">
        <v>105</v>
      </c>
      <c r="K186" s="30"/>
      <c r="S186" s="30"/>
      <c r="AA186" s="30"/>
      <c r="AH186" s="30"/>
      <c r="AL186" s="30"/>
      <c r="AO186" s="30"/>
      <c r="AR186" s="30"/>
      <c r="AV186" s="30"/>
      <c r="AY186" s="30"/>
      <c r="BC186" s="30"/>
      <c r="BG186" s="30"/>
      <c r="BK186" s="30"/>
      <c r="BO186" s="30"/>
      <c r="BR186" s="30"/>
      <c r="BV186" s="30"/>
      <c r="BY186" s="30"/>
      <c r="CC186" s="30"/>
      <c r="CF186" s="30"/>
      <c r="CI186" s="30"/>
    </row>
    <row r="187" spans="1:108" s="63" customFormat="1" x14ac:dyDescent="0.3">
      <c r="A187" s="68" t="s">
        <v>84</v>
      </c>
      <c r="B187" s="47">
        <v>1</v>
      </c>
      <c r="C187" s="31" t="s">
        <v>43</v>
      </c>
      <c r="D187" s="48">
        <v>746.66600000000005</v>
      </c>
      <c r="E187" s="30" t="s">
        <v>100</v>
      </c>
      <c r="F187" s="48">
        <f>D191/D110</f>
        <v>6.6666696428571433</v>
      </c>
      <c r="G187" s="30" t="s">
        <v>105</v>
      </c>
      <c r="H187" s="47"/>
      <c r="K187" s="51"/>
      <c r="L187" s="47"/>
      <c r="M187" s="47"/>
      <c r="N187" s="47"/>
      <c r="O187" s="47"/>
      <c r="S187" s="51"/>
      <c r="AA187" s="51"/>
      <c r="AH187" s="51"/>
      <c r="AL187" s="51"/>
      <c r="AO187" s="51"/>
      <c r="AR187" s="51"/>
      <c r="AV187" s="51"/>
      <c r="AY187" s="51"/>
      <c r="BC187" s="51"/>
      <c r="BG187" s="30"/>
      <c r="BK187" s="30"/>
      <c r="BO187" s="30"/>
      <c r="BR187" s="30"/>
      <c r="BV187" s="30"/>
      <c r="BY187" s="30"/>
      <c r="CC187" s="30"/>
      <c r="CF187" s="30"/>
      <c r="CI187" s="30"/>
    </row>
    <row r="188" spans="1:108" s="63" customFormat="1" x14ac:dyDescent="0.3">
      <c r="A188" s="68" t="s">
        <v>132</v>
      </c>
      <c r="B188" s="47">
        <v>1</v>
      </c>
      <c r="C188" s="31" t="s">
        <v>46</v>
      </c>
      <c r="D188" s="48">
        <v>250</v>
      </c>
      <c r="E188" s="30" t="s">
        <v>100</v>
      </c>
      <c r="F188" s="48">
        <f>D192*F186</f>
        <v>1.5218525892857144</v>
      </c>
      <c r="G188" s="30" t="s">
        <v>105</v>
      </c>
      <c r="H188" s="47"/>
      <c r="K188" s="51"/>
      <c r="L188" s="47"/>
      <c r="M188" s="47"/>
      <c r="N188" s="47"/>
      <c r="O188" s="47"/>
      <c r="S188" s="51"/>
      <c r="AA188" s="51"/>
      <c r="AH188" s="51"/>
      <c r="AL188" s="51"/>
      <c r="AO188" s="51"/>
      <c r="AR188" s="51"/>
      <c r="AV188" s="51"/>
      <c r="AY188" s="51"/>
      <c r="BC188" s="51"/>
      <c r="BG188" s="30"/>
      <c r="BK188" s="30"/>
      <c r="BO188" s="30"/>
      <c r="BR188" s="30"/>
      <c r="BV188" s="30"/>
      <c r="BY188" s="30"/>
      <c r="CC188" s="30"/>
      <c r="CF188" s="30"/>
      <c r="CI188" s="30"/>
    </row>
    <row r="189" spans="1:108" s="63" customFormat="1" x14ac:dyDescent="0.3">
      <c r="A189" s="68" t="s">
        <v>23</v>
      </c>
      <c r="B189" s="47">
        <v>1</v>
      </c>
      <c r="C189" s="31" t="s">
        <v>111</v>
      </c>
      <c r="D189" s="48">
        <v>112</v>
      </c>
      <c r="E189" s="30" t="s">
        <v>100</v>
      </c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/>
      <c r="BB189" s="59"/>
      <c r="BC189" s="59"/>
      <c r="BD189" s="59"/>
      <c r="BE189" s="59"/>
      <c r="BF189" s="59"/>
      <c r="BG189" s="51"/>
      <c r="BK189" s="51"/>
      <c r="BO189" s="51"/>
      <c r="BR189" s="51"/>
      <c r="BV189" s="51"/>
      <c r="BY189" s="51"/>
      <c r="CC189" s="51"/>
      <c r="CF189" s="51"/>
      <c r="CI189" s="51"/>
    </row>
    <row r="190" spans="1:108" s="63" customFormat="1" x14ac:dyDescent="0.3">
      <c r="A190" s="108" t="s">
        <v>133</v>
      </c>
      <c r="B190" s="47">
        <v>1</v>
      </c>
      <c r="C190" s="31" t="s">
        <v>46</v>
      </c>
      <c r="D190" s="48">
        <v>227</v>
      </c>
      <c r="E190" s="30" t="s">
        <v>100</v>
      </c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1"/>
      <c r="BK190" s="51"/>
      <c r="BO190" s="51"/>
      <c r="BR190" s="51"/>
      <c r="BV190" s="51"/>
      <c r="BY190" s="51"/>
      <c r="CC190" s="51"/>
      <c r="CF190" s="51"/>
      <c r="CI190" s="51"/>
    </row>
    <row r="191" spans="1:108" ht="18" customHeight="1" x14ac:dyDescent="0.3">
      <c r="A191" s="108"/>
      <c r="B191" s="47">
        <v>1</v>
      </c>
      <c r="C191" s="30" t="s">
        <v>125</v>
      </c>
      <c r="D191" s="63">
        <v>746.66700000000003</v>
      </c>
      <c r="E191" s="30" t="s">
        <v>100</v>
      </c>
    </row>
    <row r="192" spans="1:108" x14ac:dyDescent="0.3">
      <c r="A192" s="108"/>
      <c r="B192" s="47">
        <v>1</v>
      </c>
      <c r="C192" s="30" t="s">
        <v>43</v>
      </c>
      <c r="D192" s="48">
        <v>0.75087000000000004</v>
      </c>
      <c r="E192" s="30" t="s">
        <v>32</v>
      </c>
      <c r="F192" s="48">
        <v>240</v>
      </c>
      <c r="G192" s="30" t="s">
        <v>15</v>
      </c>
    </row>
    <row r="196" spans="1:5" x14ac:dyDescent="0.3">
      <c r="A196" s="91" t="s">
        <v>454</v>
      </c>
      <c r="B196" s="47">
        <v>1</v>
      </c>
      <c r="C196" s="30" t="s">
        <v>171</v>
      </c>
      <c r="D196" s="48">
        <v>20</v>
      </c>
      <c r="E196" s="36" t="s">
        <v>14</v>
      </c>
    </row>
    <row r="197" spans="1:5" x14ac:dyDescent="0.3">
      <c r="A197" s="46" t="s">
        <v>455</v>
      </c>
      <c r="B197" s="47">
        <v>1</v>
      </c>
      <c r="C197" s="30" t="s">
        <v>171</v>
      </c>
      <c r="D197" s="48">
        <v>110</v>
      </c>
      <c r="E197" s="30" t="s">
        <v>456</v>
      </c>
    </row>
  </sheetData>
  <mergeCells count="32">
    <mergeCell ref="I2:K2"/>
    <mergeCell ref="E2:G2"/>
    <mergeCell ref="AF2:AH2"/>
    <mergeCell ref="AC2:AE2"/>
    <mergeCell ref="Y2:AA2"/>
    <mergeCell ref="U2:W2"/>
    <mergeCell ref="Q2:S2"/>
    <mergeCell ref="AI2:AK2"/>
    <mergeCell ref="A149:A150"/>
    <mergeCell ref="B97:B98"/>
    <mergeCell ref="C97:C98"/>
    <mergeCell ref="D97:D98"/>
    <mergeCell ref="A126:A127"/>
    <mergeCell ref="A129:A130"/>
    <mergeCell ref="A143:A144"/>
    <mergeCell ref="A145:A146"/>
    <mergeCell ref="A147:A148"/>
    <mergeCell ref="E97:E98"/>
    <mergeCell ref="B111:B112"/>
    <mergeCell ref="C111:C112"/>
    <mergeCell ref="D111:D112"/>
    <mergeCell ref="E111:E112"/>
    <mergeCell ref="M2:O2"/>
    <mergeCell ref="A178:A180"/>
    <mergeCell ref="A182:A183"/>
    <mergeCell ref="A190:A192"/>
    <mergeCell ref="A151:A152"/>
    <mergeCell ref="A153:A155"/>
    <mergeCell ref="A156:A158"/>
    <mergeCell ref="A163:A164"/>
    <mergeCell ref="A166:A168"/>
    <mergeCell ref="A169:A170"/>
  </mergeCells>
  <pageMargins left="0.75" right="0.75" top="1" bottom="1" header="0.5" footer="0.5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2:CY184"/>
  <sheetViews>
    <sheetView topLeftCell="A2" zoomScale="70" zoomScaleNormal="70" workbookViewId="0">
      <pane xSplit="1" ySplit="2" topLeftCell="Q4" activePane="bottomRight" state="frozenSplit"/>
      <selection pane="topRight" activeCell="A2" sqref="A2"/>
      <selection pane="bottomLeft" activeCell="A2" sqref="A2"/>
      <selection pane="bottomRight" activeCell="U5" sqref="U5"/>
    </sheetView>
  </sheetViews>
  <sheetFormatPr defaultRowHeight="14.4" x14ac:dyDescent="0.3"/>
  <cols>
    <col min="1" max="1" width="39.6640625" style="38" customWidth="1"/>
    <col min="2" max="2" width="17.44140625" style="38" customWidth="1"/>
    <col min="3" max="5" width="11.21875" style="38" customWidth="1"/>
    <col min="6" max="36" width="11.21875" style="59" customWidth="1"/>
    <col min="37" max="16384" width="8.88671875" style="59"/>
  </cols>
  <sheetData>
    <row r="2" spans="1:40" x14ac:dyDescent="0.3">
      <c r="A2" s="83"/>
      <c r="B2" s="83"/>
      <c r="C2" s="83"/>
      <c r="D2" s="113" t="s">
        <v>503</v>
      </c>
      <c r="E2" s="113"/>
      <c r="F2" s="113" t="s">
        <v>500</v>
      </c>
      <c r="G2" s="113"/>
      <c r="H2" s="113" t="s">
        <v>497</v>
      </c>
      <c r="I2" s="113"/>
      <c r="J2" s="113" t="s">
        <v>498</v>
      </c>
      <c r="K2" s="113"/>
      <c r="L2" s="113" t="s">
        <v>501</v>
      </c>
      <c r="M2" s="113"/>
      <c r="N2" s="113" t="s">
        <v>496</v>
      </c>
      <c r="O2" s="113"/>
      <c r="P2" s="113" t="s">
        <v>481</v>
      </c>
      <c r="Q2" s="113"/>
      <c r="R2" s="113" t="s">
        <v>459</v>
      </c>
      <c r="S2" s="113"/>
      <c r="T2" s="106" t="s">
        <v>666</v>
      </c>
      <c r="U2" s="106"/>
      <c r="V2" s="106" t="s">
        <v>430</v>
      </c>
      <c r="W2" s="106"/>
      <c r="X2" s="106" t="s">
        <v>431</v>
      </c>
      <c r="Y2" s="106"/>
      <c r="Z2" s="106" t="s">
        <v>429</v>
      </c>
      <c r="AA2" s="106"/>
      <c r="AB2" s="106" t="s">
        <v>423</v>
      </c>
      <c r="AC2" s="106"/>
      <c r="AD2" s="106" t="s">
        <v>422</v>
      </c>
      <c r="AE2" s="106"/>
      <c r="AF2" s="106" t="s">
        <v>417</v>
      </c>
      <c r="AG2" s="106"/>
      <c r="AH2" s="106" t="s">
        <v>411</v>
      </c>
      <c r="AI2" s="106"/>
      <c r="AJ2" s="106"/>
      <c r="AK2" s="106"/>
      <c r="AL2" s="106"/>
      <c r="AM2" s="106"/>
      <c r="AN2" s="38"/>
    </row>
    <row r="3" spans="1:40" s="54" customFormat="1" ht="28.8" customHeight="1" x14ac:dyDescent="0.3">
      <c r="A3" s="55" t="s">
        <v>0</v>
      </c>
      <c r="B3" s="95" t="s">
        <v>80</v>
      </c>
      <c r="C3" s="95" t="s">
        <v>98</v>
      </c>
      <c r="D3" s="84" t="s">
        <v>98</v>
      </c>
      <c r="E3" s="84" t="s">
        <v>166</v>
      </c>
      <c r="F3" s="84" t="s">
        <v>98</v>
      </c>
      <c r="G3" s="84" t="s">
        <v>166</v>
      </c>
      <c r="H3" s="84" t="s">
        <v>98</v>
      </c>
      <c r="I3" s="84" t="s">
        <v>166</v>
      </c>
      <c r="J3" s="84" t="s">
        <v>98</v>
      </c>
      <c r="K3" s="84" t="s">
        <v>166</v>
      </c>
      <c r="L3" s="84" t="s">
        <v>98</v>
      </c>
      <c r="M3" s="84" t="s">
        <v>166</v>
      </c>
      <c r="N3" s="84" t="s">
        <v>98</v>
      </c>
      <c r="O3" s="84" t="s">
        <v>166</v>
      </c>
      <c r="P3" s="84" t="s">
        <v>98</v>
      </c>
      <c r="Q3" s="84" t="s">
        <v>166</v>
      </c>
      <c r="R3" s="84" t="s">
        <v>98</v>
      </c>
      <c r="S3" s="84" t="s">
        <v>166</v>
      </c>
      <c r="T3" s="53" t="s">
        <v>98</v>
      </c>
      <c r="U3" s="53" t="s">
        <v>166</v>
      </c>
      <c r="V3" s="53" t="s">
        <v>98</v>
      </c>
      <c r="W3" s="53" t="s">
        <v>166</v>
      </c>
      <c r="X3" s="53" t="s">
        <v>98</v>
      </c>
      <c r="Y3" s="53" t="s">
        <v>166</v>
      </c>
      <c r="Z3" s="53" t="s">
        <v>98</v>
      </c>
      <c r="AA3" s="53" t="s">
        <v>166</v>
      </c>
      <c r="AB3" s="53" t="s">
        <v>98</v>
      </c>
      <c r="AC3" s="53" t="s">
        <v>166</v>
      </c>
      <c r="AD3" s="53" t="s">
        <v>98</v>
      </c>
      <c r="AE3" s="53" t="s">
        <v>166</v>
      </c>
      <c r="AF3" s="53" t="s">
        <v>98</v>
      </c>
      <c r="AG3" s="53" t="s">
        <v>166</v>
      </c>
      <c r="AH3" s="53" t="s">
        <v>98</v>
      </c>
      <c r="AI3" s="53" t="s">
        <v>166</v>
      </c>
      <c r="AJ3" s="53"/>
      <c r="AK3" s="53"/>
      <c r="AL3" s="53"/>
      <c r="AM3" s="53"/>
      <c r="AN3" s="53"/>
    </row>
    <row r="4" spans="1:40" x14ac:dyDescent="0.3">
      <c r="A4" s="38" t="s">
        <v>412</v>
      </c>
      <c r="C4" s="38" t="s">
        <v>416</v>
      </c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 t="s">
        <v>416</v>
      </c>
      <c r="AI4" s="58">
        <f>(0+2)/2+((18+10)/2)/$D$81+((0+0)/2)/$F$81</f>
        <v>1.7</v>
      </c>
      <c r="AJ4" s="57"/>
      <c r="AK4" s="57"/>
      <c r="AL4" s="57"/>
    </row>
    <row r="5" spans="1:40" x14ac:dyDescent="0.3">
      <c r="A5" s="38" t="s">
        <v>148</v>
      </c>
      <c r="C5" s="38" t="s">
        <v>527</v>
      </c>
      <c r="D5" s="38" t="s">
        <v>424</v>
      </c>
      <c r="E5" s="58">
        <f>(1+1)/2+((10+12)/2)/$D$81</f>
        <v>1.55</v>
      </c>
      <c r="F5" s="38" t="s">
        <v>424</v>
      </c>
      <c r="G5" s="58">
        <f>(2+2)/2+((0+5)/2)/$D$81</f>
        <v>2.125</v>
      </c>
      <c r="H5" s="38" t="s">
        <v>424</v>
      </c>
      <c r="I5" s="58">
        <f>(2+2)/2+((0+2)/2)/$D$81</f>
        <v>2.0499999999999998</v>
      </c>
      <c r="J5" s="38" t="s">
        <v>424</v>
      </c>
      <c r="K5" s="58">
        <f>1+(11)/$D$81</f>
        <v>1.55</v>
      </c>
      <c r="L5" s="38" t="s">
        <v>424</v>
      </c>
      <c r="M5" s="58">
        <f>(1+1)/2+((6+10)/2)/$D$81</f>
        <v>1.4</v>
      </c>
      <c r="N5" s="38" t="s">
        <v>424</v>
      </c>
      <c r="O5" s="58">
        <f>((21+24)/2)/$D$81</f>
        <v>1.125</v>
      </c>
      <c r="P5" s="38" t="s">
        <v>424</v>
      </c>
      <c r="Q5" s="58">
        <f>((22+23)/2)/$D$81</f>
        <v>1.125</v>
      </c>
      <c r="R5" s="38"/>
      <c r="S5" s="38"/>
      <c r="T5" s="38" t="s">
        <v>424</v>
      </c>
      <c r="U5" s="58">
        <f>((16+17)/2)/$D$81</f>
        <v>0.82499999999999996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58"/>
      <c r="AJ5" s="57"/>
      <c r="AK5" s="57"/>
      <c r="AL5" s="57"/>
    </row>
    <row r="6" spans="1:40" x14ac:dyDescent="0.3">
      <c r="A6" s="38" t="s">
        <v>413</v>
      </c>
      <c r="C6" s="38" t="s">
        <v>416</v>
      </c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 t="s">
        <v>416</v>
      </c>
      <c r="AI6" s="58">
        <f>(0+0)/2+((4+8)/2)/$D$81</f>
        <v>0.3</v>
      </c>
      <c r="AJ6" s="57"/>
      <c r="AK6" s="57"/>
      <c r="AL6" s="57"/>
    </row>
    <row r="7" spans="1:40" x14ac:dyDescent="0.3">
      <c r="A7" s="38" t="s">
        <v>414</v>
      </c>
      <c r="C7" s="38" t="s">
        <v>416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 t="s">
        <v>416</v>
      </c>
      <c r="AI7" s="58">
        <f>(0+0)/2+((8+18)/2)/$D$81</f>
        <v>0.65</v>
      </c>
      <c r="AJ7" s="38"/>
      <c r="AK7" s="57"/>
      <c r="AL7" s="57"/>
    </row>
    <row r="8" spans="1:40" x14ac:dyDescent="0.3">
      <c r="A8" s="38" t="s">
        <v>651</v>
      </c>
      <c r="C8" s="38" t="s">
        <v>416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 t="s">
        <v>416</v>
      </c>
      <c r="AI8" s="58">
        <f>1+10/$D$81</f>
        <v>1.5</v>
      </c>
      <c r="AJ8" s="57"/>
      <c r="AK8" s="57"/>
      <c r="AL8" s="57"/>
    </row>
    <row r="9" spans="1:40" x14ac:dyDescent="0.3">
      <c r="A9" s="38" t="s">
        <v>650</v>
      </c>
      <c r="C9" s="38" t="s">
        <v>416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 t="s">
        <v>416</v>
      </c>
      <c r="AI9" s="58">
        <f>(2+2)/2+((0+10)/2)/$D$81</f>
        <v>2.25</v>
      </c>
      <c r="AJ9" s="57"/>
      <c r="AK9" s="57"/>
      <c r="AL9" s="57"/>
    </row>
    <row r="10" spans="1:40" x14ac:dyDescent="0.3">
      <c r="A10" s="38" t="s">
        <v>652</v>
      </c>
      <c r="C10" s="38" t="s">
        <v>416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 t="s">
        <v>416</v>
      </c>
      <c r="AI10" s="58">
        <f>(1+2)/2+((0+10)/2)/$D$81</f>
        <v>1.75</v>
      </c>
      <c r="AJ10" s="57"/>
      <c r="AK10" s="57"/>
      <c r="AL10" s="57"/>
    </row>
    <row r="11" spans="1:40" x14ac:dyDescent="0.3">
      <c r="A11" s="38" t="s">
        <v>415</v>
      </c>
      <c r="C11" s="38" t="s">
        <v>416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 t="s">
        <v>416</v>
      </c>
      <c r="AI11" s="58">
        <f>10/$D$81</f>
        <v>0.5</v>
      </c>
      <c r="AJ11" s="57"/>
      <c r="AK11" s="57"/>
      <c r="AL11" s="57"/>
    </row>
    <row r="12" spans="1:40" x14ac:dyDescent="0.3">
      <c r="A12" s="38" t="s">
        <v>547</v>
      </c>
      <c r="B12" s="38" t="s">
        <v>529</v>
      </c>
      <c r="C12" s="38" t="s">
        <v>563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 t="s">
        <v>418</v>
      </c>
      <c r="AA12" s="85">
        <f>(47+67)/2/$F$81</f>
        <v>0.23749999999999999</v>
      </c>
      <c r="AB12" s="38"/>
      <c r="AC12" s="38"/>
      <c r="AD12" s="38" t="s">
        <v>418</v>
      </c>
      <c r="AE12" s="85">
        <f>38/$F$81</f>
        <v>0.15833333333333333</v>
      </c>
      <c r="AF12" s="38" t="s">
        <v>418</v>
      </c>
      <c r="AG12" s="85">
        <f>52/$F$81</f>
        <v>0.21666666666666667</v>
      </c>
      <c r="AH12" s="57"/>
      <c r="AI12" s="57"/>
      <c r="AJ12" s="57"/>
    </row>
    <row r="13" spans="1:40" x14ac:dyDescent="0.3">
      <c r="A13" s="38" t="s">
        <v>547</v>
      </c>
      <c r="B13" s="38" t="s">
        <v>530</v>
      </c>
      <c r="C13" s="38" t="s">
        <v>563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 t="s">
        <v>418</v>
      </c>
      <c r="AG13" s="85">
        <f>(65+75)/2/$F$81</f>
        <v>0.29166666666666669</v>
      </c>
      <c r="AH13" s="57"/>
      <c r="AI13" s="57"/>
      <c r="AJ13" s="57"/>
    </row>
    <row r="14" spans="1:40" x14ac:dyDescent="0.3">
      <c r="A14" s="38" t="s">
        <v>548</v>
      </c>
      <c r="B14" s="38" t="s">
        <v>531</v>
      </c>
      <c r="C14" s="38" t="s">
        <v>564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 t="s">
        <v>419</v>
      </c>
      <c r="AG14" s="85">
        <f>2/$D$81+ 68/$F$81</f>
        <v>0.3833333333333333</v>
      </c>
      <c r="AH14" s="57"/>
      <c r="AI14" s="57"/>
      <c r="AJ14" s="57"/>
    </row>
    <row r="15" spans="1:40" x14ac:dyDescent="0.3">
      <c r="A15" s="38" t="s">
        <v>36</v>
      </c>
      <c r="B15" s="38" t="s">
        <v>531</v>
      </c>
      <c r="C15" s="38" t="s">
        <v>527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 t="s">
        <v>424</v>
      </c>
      <c r="AC15" s="58">
        <f>(2+9/$D$81+6/$F$81)</f>
        <v>2.4750000000000001</v>
      </c>
      <c r="AD15" s="57"/>
      <c r="AE15" s="57"/>
      <c r="AF15" s="57"/>
    </row>
    <row r="16" spans="1:40" x14ac:dyDescent="0.3">
      <c r="A16" s="38" t="s">
        <v>36</v>
      </c>
      <c r="B16" s="38" t="s">
        <v>532</v>
      </c>
      <c r="C16" s="38" t="s">
        <v>527</v>
      </c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 t="s">
        <v>424</v>
      </c>
      <c r="AC16" s="58">
        <f>((39+25)/2+6.75)/$D$83</f>
        <v>1.5468750000000002</v>
      </c>
      <c r="AD16" s="57"/>
      <c r="AE16" s="57"/>
      <c r="AF16" s="57"/>
    </row>
    <row r="17" spans="1:32" x14ac:dyDescent="0.3">
      <c r="A17" s="38" t="s">
        <v>36</v>
      </c>
      <c r="B17" s="38" t="s">
        <v>533</v>
      </c>
      <c r="C17" s="38" t="s">
        <v>527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 t="s">
        <v>424</v>
      </c>
      <c r="AC17" s="58">
        <f>(45)/$D$83</f>
        <v>1.7963709677419357</v>
      </c>
      <c r="AD17" s="57"/>
      <c r="AE17" s="57"/>
      <c r="AF17" s="57"/>
    </row>
    <row r="18" spans="1:32" x14ac:dyDescent="0.3">
      <c r="A18" s="38" t="s">
        <v>36</v>
      </c>
      <c r="B18" s="38" t="s">
        <v>534</v>
      </c>
      <c r="C18" s="38" t="s">
        <v>527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 t="s">
        <v>424</v>
      </c>
      <c r="AC18" s="58">
        <f>((44+35)/2)/$D$83</f>
        <v>1.5768145161290323</v>
      </c>
      <c r="AD18" s="57"/>
      <c r="AE18" s="57"/>
      <c r="AF18" s="57"/>
    </row>
    <row r="19" spans="1:32" x14ac:dyDescent="0.3">
      <c r="A19" s="38" t="s">
        <v>435</v>
      </c>
      <c r="C19" s="38" t="s">
        <v>574</v>
      </c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 t="s">
        <v>421</v>
      </c>
      <c r="Y19" s="38">
        <f>(((32+40)/2)/$D$82)/100</f>
        <v>1.4312408062656544E-2</v>
      </c>
      <c r="Z19" s="38"/>
      <c r="AA19" s="38"/>
      <c r="AB19" s="38"/>
      <c r="AC19" s="58"/>
      <c r="AD19" s="57"/>
      <c r="AE19" s="57"/>
      <c r="AF19" s="57"/>
    </row>
    <row r="20" spans="1:32" x14ac:dyDescent="0.3">
      <c r="A20" s="38" t="s">
        <v>434</v>
      </c>
      <c r="C20" s="38" t="s">
        <v>574</v>
      </c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 t="s">
        <v>421</v>
      </c>
      <c r="Y20" s="38">
        <f>(((32+40)/2)/$D$82)/100</f>
        <v>1.4312408062656544E-2</v>
      </c>
      <c r="Z20" s="38"/>
      <c r="AA20" s="38"/>
      <c r="AB20" s="38"/>
      <c r="AC20" s="58"/>
      <c r="AD20" s="57"/>
      <c r="AE20" s="57"/>
      <c r="AF20" s="57"/>
    </row>
    <row r="21" spans="1:32" x14ac:dyDescent="0.3">
      <c r="A21" s="38" t="s">
        <v>437</v>
      </c>
      <c r="C21" s="38" t="s">
        <v>574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 t="s">
        <v>421</v>
      </c>
      <c r="Y21" s="86">
        <f>(1/$D$81)</f>
        <v>0.05</v>
      </c>
      <c r="Z21" s="38"/>
      <c r="AA21" s="38"/>
      <c r="AB21" s="38"/>
      <c r="AC21" s="58"/>
      <c r="AD21" s="57"/>
      <c r="AE21" s="57"/>
      <c r="AF21" s="57"/>
    </row>
    <row r="22" spans="1:32" x14ac:dyDescent="0.3">
      <c r="A22" s="38" t="s">
        <v>438</v>
      </c>
      <c r="C22" s="38" t="s">
        <v>574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 t="s">
        <v>421</v>
      </c>
      <c r="Y22" s="38">
        <f>(((20+22)/2)/$D$82)/100</f>
        <v>8.3489047032163158E-3</v>
      </c>
      <c r="Z22" s="38"/>
      <c r="AA22" s="38"/>
      <c r="AB22" s="38"/>
      <c r="AC22" s="58"/>
      <c r="AD22" s="57"/>
      <c r="AE22" s="57"/>
      <c r="AF22" s="57"/>
    </row>
    <row r="23" spans="1:32" x14ac:dyDescent="0.3">
      <c r="A23" s="38" t="s">
        <v>439</v>
      </c>
      <c r="C23" s="38" t="s">
        <v>574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 t="s">
        <v>421</v>
      </c>
      <c r="Y23" s="38">
        <f>((20)/$D$82)/100</f>
        <v>7.9513378125869675E-3</v>
      </c>
      <c r="Z23" s="38"/>
      <c r="AA23" s="38"/>
      <c r="AB23" s="38"/>
      <c r="AC23" s="58"/>
      <c r="AD23" s="57"/>
      <c r="AE23" s="57"/>
      <c r="AF23" s="57"/>
    </row>
    <row r="24" spans="1:32" x14ac:dyDescent="0.3">
      <c r="A24" s="38" t="s">
        <v>440</v>
      </c>
      <c r="C24" s="38" t="s">
        <v>574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 t="s">
        <v>421</v>
      </c>
      <c r="Y24" s="38">
        <f>((21)/$D$82)/100</f>
        <v>8.3489047032163158E-3</v>
      </c>
      <c r="Z24" s="38"/>
      <c r="AA24" s="38"/>
      <c r="AB24" s="38"/>
      <c r="AC24" s="58"/>
      <c r="AD24" s="57"/>
      <c r="AE24" s="57"/>
      <c r="AF24" s="57"/>
    </row>
    <row r="25" spans="1:32" x14ac:dyDescent="0.3">
      <c r="A25" s="87" t="s">
        <v>653</v>
      </c>
      <c r="B25" s="87"/>
      <c r="C25" s="87" t="s">
        <v>565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 t="s">
        <v>466</v>
      </c>
      <c r="Q25" s="58">
        <f>(((21+46)/2)/$D$84)/10</f>
        <v>3.0454545454545456E-2</v>
      </c>
      <c r="R25" s="87" t="s">
        <v>466</v>
      </c>
      <c r="S25" s="58">
        <f>(((19.5+47)/2)/$D$85)/10</f>
        <v>2.8663793103448278E-2</v>
      </c>
      <c r="T25" s="38"/>
      <c r="U25" s="38"/>
      <c r="V25" s="58"/>
      <c r="W25" s="58"/>
      <c r="Y25" s="38"/>
      <c r="Z25" s="38"/>
      <c r="AA25" s="38"/>
      <c r="AB25" s="38"/>
      <c r="AC25" s="58"/>
      <c r="AD25" s="57"/>
      <c r="AE25" s="57"/>
      <c r="AF25" s="57"/>
    </row>
    <row r="26" spans="1:32" x14ac:dyDescent="0.3">
      <c r="A26" s="87" t="s">
        <v>654</v>
      </c>
      <c r="B26" s="87"/>
      <c r="C26" s="87" t="s">
        <v>565</v>
      </c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 t="s">
        <v>466</v>
      </c>
      <c r="Q26" s="58">
        <f>(((37.5+56))/2/$D$84)/10</f>
        <v>4.2499999999999996E-2</v>
      </c>
      <c r="R26" s="87" t="s">
        <v>466</v>
      </c>
      <c r="S26" s="58">
        <f>(((36+57.5))/2/$D$85)/10</f>
        <v>4.0301724137931032E-2</v>
      </c>
      <c r="T26" s="38"/>
      <c r="U26" s="38"/>
      <c r="V26" s="58"/>
      <c r="W26" s="58"/>
      <c r="Y26" s="38"/>
      <c r="Z26" s="38"/>
      <c r="AA26" s="38"/>
      <c r="AB26" s="38"/>
      <c r="AC26" s="58"/>
      <c r="AD26" s="57"/>
      <c r="AE26" s="57"/>
      <c r="AF26" s="57"/>
    </row>
    <row r="27" spans="1:32" x14ac:dyDescent="0.3">
      <c r="A27" s="87" t="s">
        <v>655</v>
      </c>
      <c r="B27" s="87"/>
      <c r="C27" s="87" t="s">
        <v>565</v>
      </c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 t="s">
        <v>466</v>
      </c>
      <c r="Q27" s="58">
        <f>(((47+69))/2/$D$84)/10</f>
        <v>5.272727272727272E-2</v>
      </c>
      <c r="R27" s="87" t="s">
        <v>466</v>
      </c>
      <c r="S27" s="58">
        <f>(((45+68))/2/$D$85)/10</f>
        <v>4.8706896551724138E-2</v>
      </c>
      <c r="T27" s="38"/>
      <c r="U27" s="38"/>
      <c r="V27" s="58"/>
      <c r="W27" s="58"/>
      <c r="X27" s="38"/>
      <c r="Y27" s="38"/>
      <c r="Z27" s="38"/>
      <c r="AA27" s="38"/>
      <c r="AB27" s="38"/>
      <c r="AC27" s="58"/>
      <c r="AD27" s="57"/>
      <c r="AE27" s="57"/>
      <c r="AF27" s="57"/>
    </row>
    <row r="28" spans="1:32" x14ac:dyDescent="0.3">
      <c r="A28" s="87" t="s">
        <v>656</v>
      </c>
      <c r="B28" s="87"/>
      <c r="C28" s="87" t="s">
        <v>565</v>
      </c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 t="s">
        <v>466</v>
      </c>
      <c r="Q28" s="58">
        <f>(((42+86))/2/$D$84)/10</f>
        <v>5.8181818181818182E-2</v>
      </c>
      <c r="R28" s="87" t="s">
        <v>466</v>
      </c>
      <c r="S28" s="58">
        <f>(((48+68))/2/$D$85)/10</f>
        <v>0.05</v>
      </c>
      <c r="T28" s="38"/>
      <c r="U28" s="38"/>
      <c r="V28" s="58"/>
      <c r="W28" s="58"/>
      <c r="X28" s="38"/>
      <c r="Y28" s="38"/>
      <c r="Z28" s="38"/>
      <c r="AA28" s="38"/>
      <c r="AB28" s="38"/>
      <c r="AC28" s="58"/>
      <c r="AD28" s="57"/>
      <c r="AE28" s="57"/>
      <c r="AF28" s="57"/>
    </row>
    <row r="29" spans="1:32" x14ac:dyDescent="0.3">
      <c r="A29" s="87" t="s">
        <v>488</v>
      </c>
      <c r="B29" s="87" t="s">
        <v>529</v>
      </c>
      <c r="C29" s="87" t="s">
        <v>566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58"/>
      <c r="R29" s="87"/>
      <c r="S29" s="58"/>
      <c r="T29" s="38"/>
      <c r="U29" s="38"/>
      <c r="V29" s="87" t="s">
        <v>169</v>
      </c>
      <c r="W29" s="58">
        <f>(3/$D$81+11.5/$F$81)/10</f>
        <v>1.9791666666666666E-2</v>
      </c>
      <c r="X29" s="38"/>
      <c r="Y29" s="38"/>
      <c r="Z29" s="38"/>
      <c r="AA29" s="38"/>
      <c r="AB29" s="38"/>
      <c r="AC29" s="58"/>
      <c r="AD29" s="57"/>
      <c r="AE29" s="57"/>
      <c r="AF29" s="57"/>
    </row>
    <row r="30" spans="1:32" x14ac:dyDescent="0.3">
      <c r="A30" s="87" t="s">
        <v>490</v>
      </c>
      <c r="B30" s="87" t="s">
        <v>529</v>
      </c>
      <c r="C30" s="87" t="s">
        <v>566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58"/>
      <c r="R30" s="87"/>
      <c r="S30" s="58"/>
      <c r="T30" s="38"/>
      <c r="U30" s="38"/>
      <c r="V30" s="87" t="s">
        <v>169</v>
      </c>
      <c r="W30" s="58">
        <f>(4/$D$81+10/$F$81)/10</f>
        <v>2.4166666666666666E-2</v>
      </c>
      <c r="X30" s="38"/>
      <c r="Y30" s="38"/>
      <c r="Z30" s="38"/>
      <c r="AA30" s="38"/>
      <c r="AB30" s="38"/>
      <c r="AC30" s="58"/>
      <c r="AD30" s="57"/>
      <c r="AE30" s="57"/>
      <c r="AF30" s="57"/>
    </row>
    <row r="31" spans="1:32" x14ac:dyDescent="0.3">
      <c r="A31" s="87" t="s">
        <v>489</v>
      </c>
      <c r="B31" s="87" t="s">
        <v>529</v>
      </c>
      <c r="C31" s="87" t="s">
        <v>566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58"/>
      <c r="R31" s="87"/>
      <c r="S31" s="58"/>
      <c r="T31" s="38"/>
      <c r="U31" s="38"/>
      <c r="V31" s="87" t="s">
        <v>169</v>
      </c>
      <c r="W31" s="58">
        <f>(5/$D$81+5/$F$81)/10</f>
        <v>2.7083333333333331E-2</v>
      </c>
      <c r="X31" s="38"/>
      <c r="Y31" s="38"/>
      <c r="Z31" s="38"/>
      <c r="AA31" s="38"/>
      <c r="AB31" s="38"/>
      <c r="AC31" s="58"/>
      <c r="AD31" s="57"/>
      <c r="AE31" s="57"/>
      <c r="AF31" s="57"/>
    </row>
    <row r="32" spans="1:32" x14ac:dyDescent="0.3">
      <c r="A32" s="87" t="s">
        <v>488</v>
      </c>
      <c r="B32" s="87" t="s">
        <v>535</v>
      </c>
      <c r="C32" s="87" t="s">
        <v>566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58"/>
      <c r="R32" s="87"/>
      <c r="S32" s="58"/>
      <c r="T32" s="38"/>
      <c r="U32" s="38"/>
      <c r="V32" s="87" t="s">
        <v>169</v>
      </c>
      <c r="W32" s="58">
        <f>(3/$D$81+5.5/$F$81)/10</f>
        <v>1.7291666666666667E-2</v>
      </c>
      <c r="X32" s="38"/>
      <c r="Y32" s="38"/>
      <c r="Z32" s="38"/>
      <c r="AA32" s="38"/>
      <c r="AB32" s="38"/>
      <c r="AC32" s="58"/>
      <c r="AD32" s="57"/>
      <c r="AE32" s="57"/>
      <c r="AF32" s="57"/>
    </row>
    <row r="33" spans="1:32" x14ac:dyDescent="0.3">
      <c r="A33" s="87" t="s">
        <v>490</v>
      </c>
      <c r="B33" s="87" t="s">
        <v>535</v>
      </c>
      <c r="C33" s="87" t="s">
        <v>566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58"/>
      <c r="R33" s="87"/>
      <c r="S33" s="58"/>
      <c r="T33" s="38"/>
      <c r="U33" s="38"/>
      <c r="V33" s="87" t="s">
        <v>169</v>
      </c>
      <c r="W33" s="58">
        <f>(5/$D$81+0/$F$81)/10</f>
        <v>2.5000000000000001E-2</v>
      </c>
      <c r="X33" s="38"/>
      <c r="Y33" s="38"/>
      <c r="Z33" s="38"/>
      <c r="AA33" s="38"/>
      <c r="AB33" s="38"/>
      <c r="AC33" s="58"/>
      <c r="AD33" s="57"/>
      <c r="AE33" s="57"/>
      <c r="AF33" s="57"/>
    </row>
    <row r="34" spans="1:32" x14ac:dyDescent="0.3">
      <c r="A34" s="87" t="s">
        <v>489</v>
      </c>
      <c r="B34" s="87" t="s">
        <v>535</v>
      </c>
      <c r="C34" s="87" t="s">
        <v>566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58"/>
      <c r="R34" s="87"/>
      <c r="S34" s="58"/>
      <c r="T34" s="38"/>
      <c r="U34" s="38"/>
      <c r="V34" s="87" t="s">
        <v>169</v>
      </c>
      <c r="W34" s="58">
        <f>(3/$D$81+11.5/$F$81)/10</f>
        <v>1.9791666666666666E-2</v>
      </c>
      <c r="X34" s="38"/>
      <c r="Y34" s="38"/>
      <c r="Z34" s="38"/>
      <c r="AA34" s="38"/>
      <c r="AB34" s="38"/>
      <c r="AC34" s="58"/>
      <c r="AD34" s="57"/>
      <c r="AE34" s="57"/>
      <c r="AF34" s="57"/>
    </row>
    <row r="35" spans="1:32" x14ac:dyDescent="0.3">
      <c r="A35" s="87" t="s">
        <v>504</v>
      </c>
      <c r="B35" s="87"/>
      <c r="C35" s="87" t="s">
        <v>567</v>
      </c>
      <c r="D35" s="87" t="s">
        <v>505</v>
      </c>
      <c r="E35" s="87">
        <f>((1+1)/2/$D$81+((9+6)/2/$F$81))</f>
        <v>8.1250000000000003E-2</v>
      </c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58"/>
      <c r="R35" s="87"/>
      <c r="S35" s="58"/>
      <c r="T35" s="38"/>
      <c r="U35" s="38"/>
      <c r="V35" s="87"/>
      <c r="W35" s="58"/>
      <c r="X35" s="38"/>
      <c r="Y35" s="38"/>
      <c r="Z35" s="38"/>
      <c r="AA35" s="38"/>
      <c r="AB35" s="38"/>
      <c r="AC35" s="58"/>
      <c r="AD35" s="57"/>
      <c r="AE35" s="57"/>
      <c r="AF35" s="57"/>
    </row>
    <row r="36" spans="1:32" x14ac:dyDescent="0.3">
      <c r="A36" s="87" t="s">
        <v>467</v>
      </c>
      <c r="B36" s="87"/>
      <c r="C36" s="87" t="s">
        <v>566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 t="s">
        <v>169</v>
      </c>
      <c r="Q36" s="58">
        <f>3.75/120</f>
        <v>3.125E-2</v>
      </c>
      <c r="R36" s="87" t="s">
        <v>169</v>
      </c>
      <c r="S36" s="58">
        <f>((3.75+6.125))/2/$D$85</f>
        <v>4.2564655172413791E-2</v>
      </c>
      <c r="T36" s="38"/>
      <c r="U36" s="38"/>
      <c r="V36" s="58"/>
      <c r="W36" s="58"/>
      <c r="X36" s="38"/>
      <c r="Y36" s="38"/>
      <c r="Z36" s="38"/>
      <c r="AA36" s="38"/>
      <c r="AB36" s="38"/>
      <c r="AC36" s="58"/>
      <c r="AD36" s="57"/>
      <c r="AE36" s="57"/>
      <c r="AF36" s="57"/>
    </row>
    <row r="37" spans="1:32" x14ac:dyDescent="0.3">
      <c r="A37" s="87" t="s">
        <v>468</v>
      </c>
      <c r="B37" s="87"/>
      <c r="C37" s="87" t="s">
        <v>566</v>
      </c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 t="s">
        <v>169</v>
      </c>
      <c r="Q37" s="58">
        <f>6.25/120</f>
        <v>5.2083333333333336E-2</v>
      </c>
      <c r="R37" s="87" t="s">
        <v>169</v>
      </c>
      <c r="S37" s="58">
        <f>((3.5+4.5))/2/$D$85</f>
        <v>3.4482758620689655E-2</v>
      </c>
      <c r="T37" s="38"/>
      <c r="U37" s="38"/>
      <c r="V37" s="58"/>
      <c r="W37" s="58"/>
      <c r="X37" s="38"/>
      <c r="Y37" s="38"/>
      <c r="Z37" s="38"/>
      <c r="AA37" s="38"/>
      <c r="AB37" s="38"/>
      <c r="AC37" s="58"/>
      <c r="AD37" s="57"/>
      <c r="AE37" s="57"/>
      <c r="AF37" s="57"/>
    </row>
    <row r="38" spans="1:32" x14ac:dyDescent="0.3">
      <c r="A38" s="87" t="s">
        <v>469</v>
      </c>
      <c r="B38" s="87"/>
      <c r="C38" s="87" t="s">
        <v>566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 t="s">
        <v>169</v>
      </c>
      <c r="Q38" s="58">
        <f>6.5/120</f>
        <v>5.4166666666666669E-2</v>
      </c>
      <c r="R38" s="87" t="s">
        <v>169</v>
      </c>
      <c r="S38" s="58">
        <f>((3.5+5.5))/2/$D$85</f>
        <v>3.8793103448275863E-2</v>
      </c>
      <c r="T38" s="38"/>
      <c r="U38" s="38"/>
      <c r="V38" s="58"/>
      <c r="W38" s="58"/>
      <c r="X38" s="38"/>
      <c r="Y38" s="38"/>
      <c r="Z38" s="38"/>
      <c r="AA38" s="38"/>
      <c r="AB38" s="38"/>
      <c r="AC38" s="58"/>
      <c r="AD38" s="57"/>
      <c r="AE38" s="57"/>
      <c r="AF38" s="57"/>
    </row>
    <row r="39" spans="1:32" x14ac:dyDescent="0.3">
      <c r="A39" s="87" t="s">
        <v>470</v>
      </c>
      <c r="B39" s="87"/>
      <c r="C39" s="87" t="s">
        <v>568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 t="s">
        <v>471</v>
      </c>
      <c r="Q39" s="58">
        <f>(((36+40))/2/$D$85)/3</f>
        <v>0.10919540229885057</v>
      </c>
      <c r="R39" s="87" t="s">
        <v>471</v>
      </c>
      <c r="S39" s="58">
        <f>(((37+34.5))/2/$D$85)/3</f>
        <v>0.10272988505747127</v>
      </c>
      <c r="T39" s="38"/>
      <c r="U39" s="38"/>
      <c r="V39" s="58"/>
      <c r="W39" s="58"/>
      <c r="X39" s="38"/>
      <c r="Y39" s="38"/>
      <c r="Z39" s="38"/>
      <c r="AA39" s="38"/>
      <c r="AB39" s="38"/>
      <c r="AC39" s="58"/>
      <c r="AD39" s="57"/>
      <c r="AE39" s="57"/>
      <c r="AF39" s="57"/>
    </row>
    <row r="40" spans="1:32" x14ac:dyDescent="0.3">
      <c r="A40" s="87" t="s">
        <v>472</v>
      </c>
      <c r="B40" s="87"/>
      <c r="C40" s="87" t="s">
        <v>568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 t="s">
        <v>471</v>
      </c>
      <c r="Q40" s="58">
        <f>(((34+35))/2/$D$85)/3</f>
        <v>9.9137931034482762E-2</v>
      </c>
      <c r="R40" s="87" t="s">
        <v>471</v>
      </c>
      <c r="S40" s="58">
        <f>(((36+33))/2/$D$85)/3</f>
        <v>9.9137931034482762E-2</v>
      </c>
      <c r="T40" s="38"/>
      <c r="U40" s="38"/>
      <c r="V40" s="58"/>
      <c r="W40" s="58"/>
      <c r="X40" s="38"/>
      <c r="Y40" s="38"/>
      <c r="Z40" s="38"/>
      <c r="AA40" s="38"/>
      <c r="AB40" s="38"/>
      <c r="AC40" s="58"/>
      <c r="AD40" s="57"/>
      <c r="AE40" s="57"/>
      <c r="AF40" s="57"/>
    </row>
    <row r="41" spans="1:32" x14ac:dyDescent="0.3">
      <c r="A41" s="87" t="s">
        <v>472</v>
      </c>
      <c r="B41" s="87"/>
      <c r="C41" s="87" t="s">
        <v>568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 t="s">
        <v>471</v>
      </c>
      <c r="Q41" s="58">
        <f>(((44+47))/2/$D$85)/3</f>
        <v>0.1307471264367816</v>
      </c>
      <c r="R41" s="87" t="s">
        <v>471</v>
      </c>
      <c r="S41" s="58">
        <f>(((48+42))/2/$D$85)/3</f>
        <v>0.12931034482758622</v>
      </c>
      <c r="T41" s="38"/>
      <c r="U41" s="38"/>
      <c r="V41" s="58"/>
      <c r="W41" s="58"/>
      <c r="X41" s="38"/>
      <c r="Y41" s="38"/>
      <c r="Z41" s="38"/>
      <c r="AA41" s="38"/>
      <c r="AB41" s="38"/>
      <c r="AC41" s="58"/>
      <c r="AD41" s="57"/>
      <c r="AE41" s="57"/>
      <c r="AF41" s="57"/>
    </row>
    <row r="42" spans="1:32" x14ac:dyDescent="0.3">
      <c r="A42" s="87" t="s">
        <v>487</v>
      </c>
      <c r="B42" s="87"/>
      <c r="C42" s="87" t="s">
        <v>563</v>
      </c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 t="s">
        <v>418</v>
      </c>
      <c r="Q42" s="58">
        <f>((3+5)/2)/120</f>
        <v>3.3333333333333333E-2</v>
      </c>
      <c r="R42" s="87"/>
      <c r="S42" s="58"/>
      <c r="T42" s="38"/>
      <c r="U42" s="38"/>
      <c r="V42" s="58"/>
      <c r="W42" s="58"/>
      <c r="X42" s="38"/>
      <c r="Y42" s="38"/>
      <c r="Z42" s="38"/>
      <c r="AA42" s="38"/>
      <c r="AB42" s="38"/>
      <c r="AC42" s="58"/>
      <c r="AD42" s="57"/>
      <c r="AE42" s="57"/>
      <c r="AF42" s="57"/>
    </row>
    <row r="43" spans="1:32" x14ac:dyDescent="0.3">
      <c r="A43" s="87" t="s">
        <v>657</v>
      </c>
      <c r="B43" s="87" t="s">
        <v>542</v>
      </c>
      <c r="C43" s="87" t="s">
        <v>569</v>
      </c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58"/>
      <c r="R43" s="87" t="s">
        <v>473</v>
      </c>
      <c r="S43" s="58">
        <f>(((7+8))/2/$D$84)/2</f>
        <v>3.4090909090909088E-2</v>
      </c>
      <c r="T43" s="38"/>
      <c r="U43" s="38"/>
      <c r="V43" s="58"/>
      <c r="W43" s="58"/>
      <c r="X43" s="38"/>
      <c r="Y43" s="38"/>
      <c r="Z43" s="38"/>
      <c r="AA43" s="38"/>
      <c r="AB43" s="38"/>
      <c r="AC43" s="58"/>
      <c r="AD43" s="57"/>
      <c r="AE43" s="57"/>
      <c r="AF43" s="57"/>
    </row>
    <row r="44" spans="1:32" x14ac:dyDescent="0.3">
      <c r="A44" s="87" t="s">
        <v>549</v>
      </c>
      <c r="B44" s="87" t="s">
        <v>535</v>
      </c>
      <c r="C44" s="87" t="s">
        <v>569</v>
      </c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58"/>
      <c r="R44" s="87" t="s">
        <v>473</v>
      </c>
      <c r="S44" s="58">
        <f>(4.5/$D$84)</f>
        <v>4.0909090909090909E-2</v>
      </c>
      <c r="T44" s="38"/>
      <c r="U44" s="38"/>
      <c r="V44" s="58"/>
      <c r="W44" s="58"/>
      <c r="X44" s="38"/>
      <c r="Y44" s="38"/>
      <c r="Z44" s="38"/>
      <c r="AA44" s="38"/>
      <c r="AB44" s="38"/>
      <c r="AC44" s="58"/>
      <c r="AD44" s="57"/>
      <c r="AE44" s="57"/>
      <c r="AF44" s="57"/>
    </row>
    <row r="45" spans="1:32" x14ac:dyDescent="0.3">
      <c r="A45" s="87" t="s">
        <v>657</v>
      </c>
      <c r="B45" s="87" t="s">
        <v>543</v>
      </c>
      <c r="C45" s="87" t="s">
        <v>569</v>
      </c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 t="s">
        <v>473</v>
      </c>
      <c r="Q45" s="58">
        <f>((2+4.5)/2/121)</f>
        <v>2.6859504132231406E-2</v>
      </c>
      <c r="R45" s="87"/>
      <c r="S45" s="58"/>
      <c r="T45" s="38"/>
      <c r="U45" s="38"/>
      <c r="V45" s="58"/>
      <c r="W45" s="58"/>
      <c r="X45" s="38"/>
      <c r="Y45" s="38"/>
      <c r="Z45" s="38"/>
      <c r="AA45" s="38"/>
      <c r="AB45" s="38"/>
      <c r="AC45" s="58"/>
      <c r="AD45" s="57"/>
      <c r="AE45" s="57"/>
      <c r="AF45" s="57"/>
    </row>
    <row r="46" spans="1:32" x14ac:dyDescent="0.3">
      <c r="A46" s="87" t="s">
        <v>96</v>
      </c>
      <c r="B46" s="87" t="s">
        <v>535</v>
      </c>
      <c r="C46" s="87" t="s">
        <v>566</v>
      </c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58"/>
      <c r="R46" s="87" t="s">
        <v>169</v>
      </c>
      <c r="S46" s="58">
        <f>(((37+42))/2/$D$84)/124</f>
        <v>2.8958944281524926E-3</v>
      </c>
      <c r="T46" s="38"/>
      <c r="U46" s="38"/>
      <c r="V46" s="58"/>
      <c r="W46" s="58"/>
      <c r="X46" s="38"/>
      <c r="Y46" s="38"/>
      <c r="Z46" s="38"/>
      <c r="AA46" s="38"/>
      <c r="AB46" s="38"/>
      <c r="AC46" s="58"/>
      <c r="AD46" s="57"/>
      <c r="AE46" s="57"/>
      <c r="AF46" s="57"/>
    </row>
    <row r="47" spans="1:32" x14ac:dyDescent="0.3">
      <c r="A47" s="87" t="s">
        <v>96</v>
      </c>
      <c r="B47" s="87" t="s">
        <v>544</v>
      </c>
      <c r="C47" s="87" t="s">
        <v>566</v>
      </c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58"/>
      <c r="R47" s="87" t="s">
        <v>169</v>
      </c>
      <c r="S47" s="58">
        <f>(((35+39))/2/$D$84)/124</f>
        <v>2.7126099706744869E-3</v>
      </c>
      <c r="T47" s="38"/>
      <c r="U47" s="38"/>
      <c r="V47" s="58"/>
      <c r="W47" s="58"/>
      <c r="X47" s="38"/>
      <c r="Y47" s="38"/>
      <c r="Z47" s="38"/>
      <c r="AA47" s="38"/>
      <c r="AB47" s="38"/>
      <c r="AC47" s="58"/>
      <c r="AD47" s="57"/>
      <c r="AE47" s="57"/>
      <c r="AF47" s="57"/>
    </row>
    <row r="48" spans="1:32" x14ac:dyDescent="0.3">
      <c r="A48" s="87" t="s">
        <v>96</v>
      </c>
      <c r="B48" s="87" t="s">
        <v>545</v>
      </c>
      <c r="C48" s="87" t="s">
        <v>566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58"/>
      <c r="R48" s="87" t="s">
        <v>169</v>
      </c>
      <c r="S48" s="58">
        <f>(((55+60))/2/$D$84)/124</f>
        <v>4.2155425219941346E-3</v>
      </c>
      <c r="T48" s="38"/>
      <c r="U48" s="38"/>
      <c r="V48" s="58"/>
      <c r="W48" s="58"/>
      <c r="X48" s="38"/>
      <c r="Y48" s="38"/>
      <c r="Z48" s="38"/>
      <c r="AA48" s="38"/>
      <c r="AB48" s="38"/>
      <c r="AC48" s="58"/>
      <c r="AD48" s="57"/>
      <c r="AE48" s="57"/>
      <c r="AF48" s="57"/>
    </row>
    <row r="49" spans="1:32" x14ac:dyDescent="0.3">
      <c r="A49" s="87" t="s">
        <v>150</v>
      </c>
      <c r="B49" s="87"/>
      <c r="C49" s="87" t="s">
        <v>566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58"/>
      <c r="R49" s="87" t="s">
        <v>169</v>
      </c>
      <c r="S49" s="58">
        <f>(((52+72))/2/$D$84)/124</f>
        <v>4.5454545454545452E-3</v>
      </c>
      <c r="T49" s="38"/>
      <c r="U49" s="38"/>
      <c r="V49" s="58"/>
      <c r="W49" s="58"/>
      <c r="X49" s="38"/>
      <c r="Y49" s="38"/>
      <c r="Z49" s="38"/>
      <c r="AA49" s="38"/>
      <c r="AB49" s="38"/>
      <c r="AC49" s="58"/>
      <c r="AD49" s="57"/>
      <c r="AE49" s="57"/>
      <c r="AF49" s="57"/>
    </row>
    <row r="50" spans="1:32" x14ac:dyDescent="0.3">
      <c r="A50" s="87" t="s">
        <v>491</v>
      </c>
      <c r="B50" s="87"/>
      <c r="C50" s="87" t="s">
        <v>566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58"/>
      <c r="R50" s="87"/>
      <c r="S50" s="58"/>
      <c r="T50" s="38"/>
      <c r="U50" s="38"/>
      <c r="V50" s="87" t="s">
        <v>169</v>
      </c>
      <c r="W50" s="58">
        <f>5/$D$81/$D$92</f>
        <v>2.232142857142857E-3</v>
      </c>
      <c r="X50" s="38"/>
      <c r="Y50" s="38"/>
      <c r="Z50" s="38"/>
      <c r="AA50" s="38"/>
      <c r="AB50" s="38"/>
      <c r="AC50" s="58"/>
      <c r="AD50" s="57"/>
      <c r="AE50" s="57"/>
      <c r="AF50" s="57"/>
    </row>
    <row r="51" spans="1:32" x14ac:dyDescent="0.3">
      <c r="A51" s="87" t="s">
        <v>474</v>
      </c>
      <c r="B51" s="87"/>
      <c r="C51" s="87" t="s">
        <v>566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 t="s">
        <v>169</v>
      </c>
      <c r="Q51" s="58">
        <f>(128/$D$84)/88</f>
        <v>1.3223140495867768E-2</v>
      </c>
      <c r="R51" s="87" t="s">
        <v>169</v>
      </c>
      <c r="S51" s="58">
        <f>(((110+115))/2/$D$84)/124</f>
        <v>8.2478005865102635E-3</v>
      </c>
      <c r="T51" s="38"/>
      <c r="U51" s="38"/>
      <c r="V51" s="58"/>
      <c r="W51" s="58"/>
      <c r="X51" s="38"/>
      <c r="Y51" s="38"/>
      <c r="Z51" s="38"/>
      <c r="AA51" s="38"/>
      <c r="AB51" s="38"/>
      <c r="AC51" s="58"/>
      <c r="AD51" s="57"/>
      <c r="AE51" s="57"/>
      <c r="AF51" s="57"/>
    </row>
    <row r="52" spans="1:32" x14ac:dyDescent="0.3">
      <c r="A52" s="87" t="s">
        <v>475</v>
      </c>
      <c r="B52" s="87"/>
      <c r="C52" s="87" t="s">
        <v>566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 t="s">
        <v>169</v>
      </c>
      <c r="Q52" s="58">
        <f>(113/$D$84)/88</f>
        <v>1.1673553719008266E-2</v>
      </c>
      <c r="R52" s="87" t="s">
        <v>169</v>
      </c>
      <c r="S52" s="58">
        <f>(((105+90))/2/$D$84)/124</f>
        <v>7.1480938416422285E-3</v>
      </c>
      <c r="T52" s="38"/>
      <c r="U52" s="38"/>
      <c r="V52" s="58"/>
      <c r="W52" s="58"/>
      <c r="X52" s="38"/>
      <c r="Y52" s="38"/>
      <c r="Z52" s="38"/>
      <c r="AA52" s="38"/>
      <c r="AB52" s="38"/>
      <c r="AC52" s="58"/>
      <c r="AD52" s="57"/>
      <c r="AE52" s="57"/>
      <c r="AF52" s="57"/>
    </row>
    <row r="53" spans="1:32" x14ac:dyDescent="0.3">
      <c r="A53" s="87" t="s">
        <v>3</v>
      </c>
      <c r="B53" s="87"/>
      <c r="C53" s="87" t="s">
        <v>566</v>
      </c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 t="s">
        <v>169</v>
      </c>
      <c r="Q53" s="58">
        <f>(((8.75+9.5))/2/$D$84)/$D$104</f>
        <v>2.9333290471904336E-2</v>
      </c>
      <c r="R53" s="87" t="s">
        <v>169</v>
      </c>
      <c r="S53" s="58">
        <f>(((14+12.5))/2/$D$84)/$D$104</f>
        <v>4.2593545068792593E-2</v>
      </c>
      <c r="T53" s="38"/>
      <c r="U53" s="38"/>
      <c r="V53" s="58"/>
      <c r="W53" s="58"/>
      <c r="X53" s="38"/>
      <c r="Y53" s="38"/>
      <c r="Z53" s="38"/>
      <c r="AA53" s="38"/>
      <c r="AB53" s="38"/>
      <c r="AC53" s="58"/>
      <c r="AD53" s="57"/>
      <c r="AE53" s="57"/>
      <c r="AF53" s="57"/>
    </row>
    <row r="54" spans="1:32" x14ac:dyDescent="0.3">
      <c r="A54" s="87" t="s">
        <v>476</v>
      </c>
      <c r="B54" s="87"/>
      <c r="C54" s="87" t="s">
        <v>566</v>
      </c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 t="s">
        <v>169</v>
      </c>
      <c r="Q54" s="58">
        <f>(((690+770))/2/$D$84)/124.4</f>
        <v>5.3346974568839522E-2</v>
      </c>
      <c r="R54" s="87" t="s">
        <v>169</v>
      </c>
      <c r="S54" s="58">
        <f>(((650+1300))/2/$D$84)/124</f>
        <v>7.1480938416422279E-2</v>
      </c>
      <c r="T54" s="38"/>
      <c r="U54" s="38"/>
      <c r="V54" s="58"/>
      <c r="W54" s="58"/>
      <c r="X54" s="38"/>
      <c r="Y54" s="38"/>
      <c r="Z54" s="38"/>
      <c r="AA54" s="38"/>
      <c r="AB54" s="38"/>
      <c r="AC54" s="58"/>
      <c r="AD54" s="57"/>
      <c r="AE54" s="57"/>
      <c r="AF54" s="57"/>
    </row>
    <row r="55" spans="1:32" x14ac:dyDescent="0.3">
      <c r="A55" s="87" t="s">
        <v>477</v>
      </c>
      <c r="B55" s="87"/>
      <c r="C55" s="87" t="s">
        <v>570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58"/>
      <c r="R55" s="87" t="s">
        <v>478</v>
      </c>
      <c r="S55" s="58">
        <f>(((140+180))/2/$D$84)/2</f>
        <v>0.72727272727272729</v>
      </c>
      <c r="T55" s="38"/>
      <c r="U55" s="38"/>
      <c r="V55" s="58"/>
      <c r="W55" s="58"/>
      <c r="X55" s="38"/>
      <c r="Y55" s="38"/>
      <c r="Z55" s="38"/>
      <c r="AA55" s="38"/>
      <c r="AB55" s="38"/>
      <c r="AC55" s="58"/>
      <c r="AD55" s="57"/>
      <c r="AE55" s="57"/>
      <c r="AF55" s="57"/>
    </row>
    <row r="56" spans="1:32" x14ac:dyDescent="0.3">
      <c r="A56" s="87" t="s">
        <v>93</v>
      </c>
      <c r="B56" s="87"/>
      <c r="C56" s="87" t="s">
        <v>570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 t="s">
        <v>478</v>
      </c>
      <c r="Q56" s="58">
        <f>(((12+17))/2/$F$86)/2</f>
        <v>0.28740188694204394</v>
      </c>
      <c r="R56" s="87" t="s">
        <v>478</v>
      </c>
      <c r="S56" s="58">
        <f>(((12.5+16))/2/$F$85)/2</f>
        <v>0.28156045745176922</v>
      </c>
      <c r="T56" s="38"/>
      <c r="U56" s="38"/>
      <c r="V56" s="58"/>
      <c r="W56" s="58"/>
      <c r="X56" s="38"/>
      <c r="Y56" s="38"/>
      <c r="Z56" s="38"/>
      <c r="AA56" s="38"/>
      <c r="AB56" s="38"/>
      <c r="AC56" s="58"/>
      <c r="AD56" s="57"/>
      <c r="AE56" s="57"/>
      <c r="AF56" s="57"/>
    </row>
    <row r="57" spans="1:32" x14ac:dyDescent="0.3">
      <c r="A57" s="87" t="s">
        <v>4</v>
      </c>
      <c r="B57" s="87"/>
      <c r="C57" s="87" t="s">
        <v>566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 t="s">
        <v>169</v>
      </c>
      <c r="Q57" s="58">
        <f>(((5.8+11))/2/$D$84)/$D$104</f>
        <v>2.7002700270027005E-2</v>
      </c>
      <c r="R57" s="87" t="s">
        <v>169</v>
      </c>
      <c r="S57" s="58">
        <f>(((12.5+14.8))/2/100)/$D$104</f>
        <v>4.8267326732673276E-2</v>
      </c>
      <c r="T57" s="38"/>
      <c r="U57" s="38"/>
      <c r="V57" s="58"/>
      <c r="W57" s="58"/>
      <c r="X57" s="38"/>
      <c r="Y57" s="38"/>
      <c r="Z57" s="38"/>
      <c r="AA57" s="38"/>
      <c r="AB57" s="38"/>
      <c r="AC57" s="58"/>
      <c r="AD57" s="57"/>
      <c r="AE57" s="57"/>
      <c r="AF57" s="57"/>
    </row>
    <row r="58" spans="1:32" x14ac:dyDescent="0.3">
      <c r="A58" s="87" t="s">
        <v>546</v>
      </c>
      <c r="B58" s="87" t="s">
        <v>536</v>
      </c>
      <c r="C58" s="87" t="s">
        <v>566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 t="s">
        <v>169</v>
      </c>
      <c r="Q58" s="58">
        <f>(((147+106))/2/113)/124.4</f>
        <v>8.9989471587513872E-3</v>
      </c>
      <c r="R58" s="87" t="s">
        <v>169</v>
      </c>
      <c r="S58" s="58">
        <f>(((142+127))/2/113)/124</f>
        <v>9.5989152155295451E-3</v>
      </c>
      <c r="T58" s="38"/>
      <c r="U58" s="38"/>
      <c r="V58" s="58"/>
      <c r="W58" s="58"/>
      <c r="X58" s="38"/>
      <c r="Y58" s="38"/>
      <c r="Z58" s="38"/>
      <c r="AA58" s="38"/>
      <c r="AB58" s="38"/>
      <c r="AC58" s="58"/>
      <c r="AD58" s="57"/>
      <c r="AE58" s="57"/>
      <c r="AF58" s="57"/>
    </row>
    <row r="59" spans="1:32" x14ac:dyDescent="0.3">
      <c r="A59" s="87" t="s">
        <v>10</v>
      </c>
      <c r="B59" s="87" t="s">
        <v>532</v>
      </c>
      <c r="C59" s="87" t="s">
        <v>566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 t="s">
        <v>169</v>
      </c>
      <c r="Q59" s="58">
        <f>(((150+207))/2/113)/124.4</f>
        <v>1.2698119113336936E-2</v>
      </c>
      <c r="R59" s="87" t="s">
        <v>169</v>
      </c>
      <c r="S59" s="58">
        <f>(((142+136))/2/113)/124</f>
        <v>9.920068512703396E-3</v>
      </c>
      <c r="T59" s="38"/>
      <c r="U59" s="38"/>
      <c r="V59" s="58"/>
      <c r="W59" s="58"/>
      <c r="X59" s="38"/>
      <c r="Y59" s="38"/>
      <c r="Z59" s="38"/>
      <c r="AA59" s="38"/>
      <c r="AB59" s="38"/>
      <c r="AC59" s="58"/>
      <c r="AD59" s="57"/>
      <c r="AE59" s="57"/>
      <c r="AF59" s="57"/>
    </row>
    <row r="60" spans="1:32" x14ac:dyDescent="0.3">
      <c r="A60" s="87" t="s">
        <v>10</v>
      </c>
      <c r="B60" s="87" t="s">
        <v>534</v>
      </c>
      <c r="C60" s="87" t="s">
        <v>566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 t="s">
        <v>169</v>
      </c>
      <c r="Q60" s="58">
        <f>(((100+122))/2/113)/124.4</f>
        <v>7.8963093645960779E-3</v>
      </c>
      <c r="R60" s="87"/>
      <c r="S60" s="58"/>
      <c r="T60" s="38"/>
      <c r="U60" s="38"/>
      <c r="V60" s="58"/>
      <c r="W60" s="58"/>
      <c r="X60" s="38"/>
      <c r="Y60" s="38"/>
      <c r="Z60" s="38"/>
      <c r="AA60" s="38"/>
      <c r="AB60" s="38"/>
      <c r="AC60" s="58"/>
      <c r="AD60" s="57"/>
      <c r="AE60" s="57"/>
      <c r="AF60" s="57"/>
    </row>
    <row r="61" spans="1:32" x14ac:dyDescent="0.3">
      <c r="A61" s="87" t="s">
        <v>10</v>
      </c>
      <c r="B61" s="87" t="s">
        <v>537</v>
      </c>
      <c r="C61" s="87" t="s">
        <v>566</v>
      </c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 t="s">
        <v>169</v>
      </c>
      <c r="Q61" s="58">
        <f>(((122+158))/2/113)/124.4</f>
        <v>9.9593091084995578E-3</v>
      </c>
      <c r="R61" s="87"/>
      <c r="S61" s="58"/>
      <c r="T61" s="38"/>
      <c r="U61" s="38"/>
      <c r="V61" s="58"/>
      <c r="W61" s="58"/>
      <c r="X61" s="38"/>
      <c r="Y61" s="38"/>
      <c r="Z61" s="38"/>
      <c r="AA61" s="38"/>
      <c r="AB61" s="38"/>
      <c r="AC61" s="58"/>
      <c r="AD61" s="57"/>
      <c r="AE61" s="57"/>
      <c r="AF61" s="57"/>
    </row>
    <row r="62" spans="1:32" x14ac:dyDescent="0.3">
      <c r="A62" s="87" t="s">
        <v>8</v>
      </c>
      <c r="B62" s="87" t="s">
        <v>538</v>
      </c>
      <c r="C62" s="87" t="s">
        <v>566</v>
      </c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 t="s">
        <v>169</v>
      </c>
      <c r="Q62" s="58">
        <f>(((100+125))/2/$D$84)/$F$116</f>
        <v>6.087662337662338E-3</v>
      </c>
      <c r="R62" s="87" t="s">
        <v>169</v>
      </c>
      <c r="S62" s="58">
        <f>(((120+108))/2/$D$84)/$F$116</f>
        <v>6.1688311688311692E-3</v>
      </c>
      <c r="T62" s="38"/>
      <c r="U62" s="38"/>
      <c r="V62" s="58"/>
      <c r="W62" s="58"/>
      <c r="X62" s="38"/>
      <c r="Y62" s="38"/>
      <c r="Z62" s="38"/>
      <c r="AA62" s="38"/>
      <c r="AB62" s="38"/>
      <c r="AC62" s="58"/>
      <c r="AD62" s="57"/>
      <c r="AE62" s="57"/>
      <c r="AF62" s="57"/>
    </row>
    <row r="63" spans="1:32" x14ac:dyDescent="0.3">
      <c r="A63" s="87" t="s">
        <v>8</v>
      </c>
      <c r="B63" s="87" t="s">
        <v>529</v>
      </c>
      <c r="C63" s="87" t="s">
        <v>566</v>
      </c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 t="s">
        <v>169</v>
      </c>
      <c r="Q63" s="58">
        <f>(((((36.5+43.5))/2)/$F$86)/$F$116)</f>
        <v>9.4384856138602282E-3</v>
      </c>
      <c r="R63" s="87"/>
      <c r="S63" s="58"/>
      <c r="T63" s="38"/>
      <c r="U63" s="38"/>
      <c r="V63" s="58"/>
      <c r="W63" s="58"/>
      <c r="X63" s="38"/>
      <c r="Y63" s="38"/>
      <c r="Z63" s="38"/>
      <c r="AA63" s="38"/>
      <c r="AB63" s="38"/>
      <c r="AC63" s="58"/>
      <c r="AD63" s="57"/>
      <c r="AE63" s="57"/>
      <c r="AF63" s="57"/>
    </row>
    <row r="64" spans="1:32" x14ac:dyDescent="0.3">
      <c r="A64" s="87" t="s">
        <v>479</v>
      </c>
      <c r="B64" s="87"/>
      <c r="C64" s="87" t="s">
        <v>566</v>
      </c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 t="s">
        <v>169</v>
      </c>
      <c r="Q64" s="58">
        <f>12/$D$84/$D$104</f>
        <v>3.8575286100038575E-2</v>
      </c>
      <c r="R64" s="87" t="s">
        <v>169</v>
      </c>
      <c r="S64" s="58">
        <f>(((18+9))/2/$D$85)/$D$104</f>
        <v>4.1152514266204948E-2</v>
      </c>
      <c r="T64" s="38"/>
      <c r="U64" s="38"/>
      <c r="V64" s="58"/>
      <c r="W64" s="58"/>
      <c r="X64" s="38"/>
      <c r="Y64" s="38"/>
      <c r="Z64" s="38"/>
      <c r="AA64" s="38"/>
      <c r="AB64" s="38"/>
      <c r="AC64" s="58"/>
      <c r="AD64" s="57"/>
      <c r="AE64" s="57"/>
      <c r="AF64" s="57"/>
    </row>
    <row r="65" spans="1:32" x14ac:dyDescent="0.3">
      <c r="A65" s="87" t="s">
        <v>480</v>
      </c>
      <c r="B65" s="87"/>
      <c r="C65" s="87" t="s">
        <v>566</v>
      </c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 t="s">
        <v>169</v>
      </c>
      <c r="Q65" s="58">
        <f>40/$D$84/$D$104</f>
        <v>0.12858428700012858</v>
      </c>
      <c r="R65" s="87" t="s">
        <v>169</v>
      </c>
      <c r="S65" s="58">
        <f>(((35+18))/2/$D$85)/$D$104</f>
        <v>8.078086133736527E-2</v>
      </c>
      <c r="T65" s="38"/>
      <c r="U65" s="38"/>
      <c r="V65" s="58"/>
      <c r="W65" s="58"/>
      <c r="X65" s="38"/>
      <c r="Y65" s="38"/>
      <c r="Z65" s="38"/>
      <c r="AA65" s="38"/>
      <c r="AB65" s="38"/>
      <c r="AC65" s="58"/>
      <c r="AD65" s="57"/>
      <c r="AE65" s="57"/>
      <c r="AF65" s="57"/>
    </row>
    <row r="66" spans="1:32" x14ac:dyDescent="0.3">
      <c r="A66" s="87" t="s">
        <v>6</v>
      </c>
      <c r="B66" s="87" t="s">
        <v>539</v>
      </c>
      <c r="C66" s="87" t="s">
        <v>566</v>
      </c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 t="s">
        <v>169</v>
      </c>
      <c r="Q66" s="58">
        <f>40/$D$84/$D$104</f>
        <v>0.12858428700012858</v>
      </c>
      <c r="R66" s="87" t="s">
        <v>169</v>
      </c>
      <c r="S66" s="58">
        <f>(((25+43))/2/$D$84)/$D$104</f>
        <v>0.1092966439501093</v>
      </c>
      <c r="T66" s="38"/>
      <c r="U66" s="38"/>
      <c r="V66" s="58"/>
      <c r="W66" s="58"/>
      <c r="X66" s="38"/>
      <c r="Y66" s="38"/>
      <c r="Z66" s="38"/>
      <c r="AA66" s="38"/>
      <c r="AB66" s="38"/>
      <c r="AC66" s="58"/>
      <c r="AD66" s="57"/>
      <c r="AE66" s="57"/>
      <c r="AF66" s="57"/>
    </row>
    <row r="67" spans="1:32" x14ac:dyDescent="0.3">
      <c r="A67" s="87" t="s">
        <v>6</v>
      </c>
      <c r="B67" s="87" t="s">
        <v>540</v>
      </c>
      <c r="C67" s="87" t="s">
        <v>566</v>
      </c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58"/>
      <c r="R67" s="87" t="s">
        <v>169</v>
      </c>
      <c r="S67" s="58">
        <f>(((35+60))/2/$D$84)/$D$104</f>
        <v>0.15269384081265269</v>
      </c>
      <c r="T67" s="38"/>
      <c r="U67" s="38"/>
      <c r="V67" s="58"/>
      <c r="W67" s="58"/>
      <c r="X67" s="38"/>
      <c r="Y67" s="38"/>
      <c r="Z67" s="38"/>
      <c r="AA67" s="38"/>
      <c r="AB67" s="38"/>
      <c r="AC67" s="58"/>
      <c r="AD67" s="57"/>
      <c r="AE67" s="57"/>
      <c r="AF67" s="57"/>
    </row>
    <row r="68" spans="1:32" x14ac:dyDescent="0.3">
      <c r="A68" s="87" t="s">
        <v>6</v>
      </c>
      <c r="B68" s="87" t="s">
        <v>541</v>
      </c>
      <c r="C68" s="87" t="s">
        <v>566</v>
      </c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 t="s">
        <v>169</v>
      </c>
      <c r="Q68" s="58">
        <f>140/$D$84/$D$104</f>
        <v>0.45004500450045004</v>
      </c>
      <c r="R68" s="87" t="s">
        <v>169</v>
      </c>
      <c r="S68" s="58">
        <f>(((70+100))/2/$D$84)/$D$104</f>
        <v>0.27324160987527324</v>
      </c>
      <c r="T68" s="38"/>
      <c r="U68" s="38"/>
      <c r="V68" s="58"/>
      <c r="W68" s="58"/>
      <c r="X68" s="38"/>
      <c r="Y68" s="38"/>
      <c r="Z68" s="38"/>
      <c r="AA68" s="38"/>
      <c r="AB68" s="38"/>
      <c r="AC68" s="58"/>
      <c r="AD68" s="57"/>
      <c r="AE68" s="57"/>
      <c r="AF68" s="57"/>
    </row>
    <row r="69" spans="1:32" x14ac:dyDescent="0.3">
      <c r="F69" s="38"/>
      <c r="G69" s="38"/>
      <c r="H69" s="38"/>
      <c r="I69" s="38"/>
      <c r="J69" s="38"/>
      <c r="K69" s="38"/>
      <c r="L69" s="58"/>
      <c r="M69" s="57"/>
      <c r="N69" s="57"/>
      <c r="O69" s="57"/>
    </row>
    <row r="70" spans="1:32" x14ac:dyDescent="0.3">
      <c r="F70" s="38"/>
      <c r="G70" s="38"/>
      <c r="H70" s="38"/>
      <c r="I70" s="38"/>
      <c r="J70" s="38"/>
      <c r="K70" s="38"/>
      <c r="L70" s="58"/>
      <c r="M70" s="57"/>
      <c r="N70" s="57"/>
      <c r="O70" s="57"/>
    </row>
    <row r="71" spans="1:32" x14ac:dyDescent="0.3">
      <c r="F71" s="38"/>
      <c r="G71" s="38"/>
      <c r="H71" s="38"/>
      <c r="I71" s="38"/>
      <c r="J71" s="38"/>
      <c r="K71" s="38"/>
      <c r="L71" s="58"/>
      <c r="M71" s="57"/>
      <c r="N71" s="57"/>
      <c r="O71" s="57"/>
    </row>
    <row r="72" spans="1:32" x14ac:dyDescent="0.3">
      <c r="F72" s="38"/>
      <c r="G72" s="38"/>
      <c r="H72" s="38"/>
      <c r="I72" s="38"/>
      <c r="J72" s="38"/>
      <c r="K72" s="38"/>
      <c r="L72" s="58"/>
      <c r="M72" s="57"/>
      <c r="N72" s="57"/>
      <c r="O72" s="57"/>
    </row>
    <row r="73" spans="1:32" x14ac:dyDescent="0.3">
      <c r="F73" s="38"/>
      <c r="G73" s="38"/>
      <c r="H73" s="38"/>
      <c r="I73" s="38"/>
      <c r="J73" s="38"/>
      <c r="K73" s="38"/>
      <c r="L73" s="58"/>
      <c r="M73" s="57"/>
      <c r="N73" s="57"/>
      <c r="O73" s="57"/>
    </row>
    <row r="74" spans="1:32" x14ac:dyDescent="0.3">
      <c r="F74" s="38"/>
      <c r="G74" s="38"/>
      <c r="H74" s="38"/>
      <c r="I74" s="38"/>
      <c r="J74" s="38"/>
      <c r="K74" s="38"/>
      <c r="L74" s="58"/>
      <c r="M74" s="57"/>
      <c r="N74" s="57"/>
      <c r="O74" s="57"/>
    </row>
    <row r="75" spans="1:32" x14ac:dyDescent="0.3">
      <c r="F75" s="38"/>
      <c r="G75" s="38"/>
      <c r="H75" s="38"/>
      <c r="I75" s="38"/>
      <c r="J75" s="38"/>
      <c r="K75" s="38"/>
      <c r="L75" s="58"/>
      <c r="M75" s="57"/>
      <c r="N75" s="57"/>
      <c r="O75" s="57"/>
    </row>
    <row r="76" spans="1:32" x14ac:dyDescent="0.3">
      <c r="F76" s="38"/>
      <c r="G76" s="38"/>
      <c r="H76" s="38"/>
      <c r="I76" s="38"/>
      <c r="J76" s="38"/>
      <c r="K76" s="38"/>
      <c r="L76" s="58"/>
      <c r="M76" s="57"/>
      <c r="N76" s="57"/>
      <c r="O76" s="57"/>
    </row>
    <row r="77" spans="1:32" x14ac:dyDescent="0.3">
      <c r="F77" s="38"/>
      <c r="G77" s="38"/>
      <c r="H77" s="38"/>
      <c r="I77" s="38"/>
      <c r="J77" s="38"/>
      <c r="K77" s="38"/>
      <c r="L77" s="58"/>
      <c r="M77" s="57"/>
      <c r="N77" s="57"/>
      <c r="O77" s="57"/>
    </row>
    <row r="78" spans="1:32" x14ac:dyDescent="0.3">
      <c r="F78" s="38"/>
      <c r="G78" s="38"/>
      <c r="H78" s="58"/>
      <c r="I78" s="57"/>
      <c r="J78" s="57"/>
      <c r="K78" s="57"/>
    </row>
    <row r="79" spans="1:32" x14ac:dyDescent="0.3">
      <c r="A79" s="35" t="s">
        <v>170</v>
      </c>
      <c r="E79" s="58"/>
    </row>
    <row r="80" spans="1:32" x14ac:dyDescent="0.3">
      <c r="E80" s="58"/>
    </row>
    <row r="81" spans="1:103" x14ac:dyDescent="0.3">
      <c r="B81" s="47">
        <v>1</v>
      </c>
      <c r="C81" s="30" t="s">
        <v>171</v>
      </c>
      <c r="D81" s="48">
        <v>20</v>
      </c>
      <c r="E81" s="36" t="s">
        <v>14</v>
      </c>
      <c r="F81" s="48">
        <v>240</v>
      </c>
      <c r="G81" s="30" t="s">
        <v>15</v>
      </c>
    </row>
    <row r="82" spans="1:103" x14ac:dyDescent="0.3">
      <c r="A82" s="38" t="s">
        <v>436</v>
      </c>
      <c r="B82" s="47">
        <v>1</v>
      </c>
      <c r="C82" s="30" t="s">
        <v>171</v>
      </c>
      <c r="D82" s="48">
        <v>25.152999999999999</v>
      </c>
      <c r="E82" s="36" t="s">
        <v>426</v>
      </c>
      <c r="F82" s="48"/>
      <c r="G82" s="30"/>
    </row>
    <row r="83" spans="1:103" x14ac:dyDescent="0.3">
      <c r="A83" s="38" t="s">
        <v>425</v>
      </c>
      <c r="B83" s="47">
        <v>1</v>
      </c>
      <c r="C83" s="30" t="s">
        <v>171</v>
      </c>
      <c r="D83" s="48">
        <f>62/AC15</f>
        <v>25.050505050505048</v>
      </c>
      <c r="E83" s="36" t="s">
        <v>426</v>
      </c>
      <c r="F83" s="57"/>
    </row>
    <row r="84" spans="1:103" x14ac:dyDescent="0.3">
      <c r="A84" s="46" t="s">
        <v>455</v>
      </c>
      <c r="B84" s="47">
        <v>1</v>
      </c>
      <c r="C84" s="30" t="s">
        <v>171</v>
      </c>
      <c r="D84" s="48">
        <v>110</v>
      </c>
      <c r="E84" s="30" t="s">
        <v>456</v>
      </c>
      <c r="F84" s="82"/>
      <c r="G84" s="49"/>
    </row>
    <row r="85" spans="1:103" x14ac:dyDescent="0.3">
      <c r="A85" s="46" t="s">
        <v>460</v>
      </c>
      <c r="B85" s="47">
        <v>1</v>
      </c>
      <c r="C85" s="30" t="s">
        <v>171</v>
      </c>
      <c r="D85" s="48">
        <v>116</v>
      </c>
      <c r="E85" s="30" t="s">
        <v>456</v>
      </c>
      <c r="F85" s="48">
        <v>25.305399999999999</v>
      </c>
      <c r="G85" s="88" t="s">
        <v>461</v>
      </c>
    </row>
    <row r="86" spans="1:103" x14ac:dyDescent="0.3">
      <c r="A86" s="46" t="s">
        <v>462</v>
      </c>
      <c r="B86" s="47">
        <v>1</v>
      </c>
      <c r="C86" s="30" t="s">
        <v>171</v>
      </c>
      <c r="D86" s="48">
        <v>112</v>
      </c>
      <c r="E86" s="30" t="s">
        <v>456</v>
      </c>
      <c r="F86" s="48">
        <v>25.225999999999999</v>
      </c>
      <c r="G86" s="82"/>
    </row>
    <row r="87" spans="1:103" x14ac:dyDescent="0.3">
      <c r="C87" s="57"/>
      <c r="D87" s="57"/>
      <c r="E87" s="57"/>
      <c r="F87" s="57"/>
    </row>
    <row r="88" spans="1:103" s="63" customFormat="1" x14ac:dyDescent="0.3">
      <c r="A88" s="29" t="s">
        <v>99</v>
      </c>
      <c r="B88" s="47"/>
      <c r="F88" s="30"/>
      <c r="G88" s="47"/>
      <c r="L88" s="30"/>
      <c r="O88" s="47"/>
      <c r="P88" s="47"/>
      <c r="R88" s="30"/>
      <c r="X88" s="30"/>
      <c r="AD88" s="30"/>
      <c r="AH88" s="30"/>
      <c r="AJ88" s="47"/>
      <c r="AM88" s="30"/>
      <c r="AR88" s="30"/>
      <c r="AV88" s="30"/>
      <c r="BB88" s="30"/>
      <c r="BD88" s="30"/>
      <c r="BG88" s="47"/>
      <c r="BJ88" s="30"/>
      <c r="BO88" s="30"/>
      <c r="BU88" s="30"/>
      <c r="BY88" s="30"/>
      <c r="CE88" s="30"/>
      <c r="CH88" s="30"/>
      <c r="CL88" s="30"/>
      <c r="CO88" s="30"/>
      <c r="CR88" s="30"/>
      <c r="CV88" s="30"/>
      <c r="CY88" s="30"/>
    </row>
    <row r="89" spans="1:103" s="47" customFormat="1" x14ac:dyDescent="0.3">
      <c r="A89" s="47" t="s">
        <v>55</v>
      </c>
      <c r="B89" s="47">
        <v>1</v>
      </c>
      <c r="C89" s="30" t="s">
        <v>26</v>
      </c>
      <c r="D89" s="65">
        <v>108</v>
      </c>
      <c r="E89" s="30" t="s">
        <v>100</v>
      </c>
      <c r="F89" s="48">
        <f>D89/F99</f>
        <v>4.8214285714285716E-2</v>
      </c>
      <c r="G89" s="31" t="s">
        <v>31</v>
      </c>
      <c r="H89" s="65"/>
      <c r="I89" s="30"/>
      <c r="J89" s="30"/>
      <c r="K89" s="30"/>
      <c r="M89" s="66"/>
      <c r="O89" s="30"/>
      <c r="P89" s="30"/>
      <c r="Q89" s="30"/>
      <c r="S89" s="65"/>
      <c r="T89" s="30"/>
      <c r="U89" s="30"/>
      <c r="V89" s="39"/>
      <c r="W89" s="30"/>
      <c r="X89" s="51"/>
      <c r="Z89" s="65"/>
      <c r="AA89" s="65"/>
      <c r="AB89" s="30"/>
      <c r="AC89" s="30"/>
      <c r="AF89" s="30"/>
      <c r="AG89" s="30"/>
      <c r="AI89" s="30"/>
      <c r="AJ89" s="65"/>
      <c r="AK89" s="30"/>
      <c r="AL89" s="30"/>
      <c r="AP89" s="30"/>
      <c r="AQ89" s="30"/>
      <c r="AS89" s="30"/>
      <c r="AT89" s="65"/>
      <c r="AU89" s="30"/>
      <c r="AW89" s="30"/>
      <c r="AY89" s="65"/>
      <c r="AZ89" s="30"/>
      <c r="BA89" s="30"/>
      <c r="BE89" s="30"/>
      <c r="BG89" s="65"/>
      <c r="BH89" s="30"/>
      <c r="BI89" s="30"/>
      <c r="BL89" s="30"/>
      <c r="BM89" s="65"/>
      <c r="BN89" s="30"/>
      <c r="BP89" s="30"/>
      <c r="BR89" s="65"/>
      <c r="BS89" s="30"/>
      <c r="BT89" s="30"/>
      <c r="BW89" s="30"/>
      <c r="BX89" s="30"/>
      <c r="BZ89" s="30"/>
      <c r="CA89" s="65"/>
      <c r="CC89" s="30"/>
      <c r="CD89" s="30"/>
      <c r="CF89" s="65"/>
      <c r="CG89" s="30"/>
      <c r="CK89" s="30"/>
      <c r="CN89" s="30"/>
      <c r="CQ89" s="30"/>
      <c r="CU89" s="30"/>
      <c r="CX89" s="30"/>
    </row>
    <row r="90" spans="1:103" s="47" customFormat="1" x14ac:dyDescent="0.3">
      <c r="A90" s="47" t="s">
        <v>55</v>
      </c>
      <c r="B90" s="47">
        <v>1</v>
      </c>
      <c r="C90" s="30" t="s">
        <v>101</v>
      </c>
      <c r="D90" s="65">
        <v>32.5</v>
      </c>
      <c r="E90" s="30" t="s">
        <v>100</v>
      </c>
      <c r="H90" s="65"/>
      <c r="I90" s="30"/>
      <c r="J90" s="30"/>
      <c r="K90" s="30"/>
      <c r="O90" s="30"/>
      <c r="P90" s="30"/>
      <c r="Q90" s="30"/>
      <c r="R90" s="63"/>
      <c r="S90" s="65"/>
      <c r="T90" s="30"/>
      <c r="U90" s="30"/>
      <c r="W90" s="30"/>
      <c r="X90" s="51"/>
      <c r="Z90" s="65"/>
      <c r="AA90" s="65"/>
      <c r="AB90" s="30"/>
      <c r="AC90" s="30"/>
      <c r="AF90" s="30"/>
      <c r="AG90" s="30"/>
      <c r="AI90" s="30"/>
      <c r="AJ90" s="65"/>
      <c r="AK90" s="30"/>
      <c r="AL90" s="30"/>
      <c r="AP90" s="30"/>
      <c r="AQ90" s="30"/>
      <c r="AS90" s="30"/>
      <c r="AT90" s="65"/>
      <c r="AU90" s="30"/>
      <c r="AW90" s="30"/>
      <c r="AY90" s="65"/>
      <c r="AZ90" s="30"/>
      <c r="BA90" s="30"/>
      <c r="BE90" s="30"/>
      <c r="BG90" s="65"/>
      <c r="BH90" s="30"/>
      <c r="BI90" s="30"/>
      <c r="BL90" s="30"/>
      <c r="BM90" s="65"/>
      <c r="BN90" s="30"/>
      <c r="BP90" s="30"/>
      <c r="BR90" s="65"/>
      <c r="BS90" s="30"/>
      <c r="BT90" s="30"/>
      <c r="BW90" s="30"/>
      <c r="BX90" s="30"/>
      <c r="BZ90" s="30"/>
      <c r="CA90" s="65"/>
      <c r="CC90" s="30"/>
      <c r="CD90" s="30"/>
      <c r="CF90" s="65"/>
      <c r="CG90" s="30"/>
      <c r="CK90" s="30"/>
      <c r="CN90" s="30"/>
      <c r="CQ90" s="30"/>
      <c r="CU90" s="30"/>
      <c r="CX90" s="30"/>
    </row>
    <row r="91" spans="1:103" s="63" customFormat="1" x14ac:dyDescent="0.3">
      <c r="A91" s="47"/>
      <c r="B91" s="47">
        <v>1</v>
      </c>
      <c r="C91" s="30" t="s">
        <v>102</v>
      </c>
      <c r="D91" s="65">
        <v>6.5</v>
      </c>
      <c r="E91" s="31" t="s">
        <v>100</v>
      </c>
      <c r="F91" s="47"/>
      <c r="G91" s="30"/>
      <c r="H91" s="65"/>
      <c r="I91" s="30"/>
      <c r="J91" s="30"/>
      <c r="K91" s="31"/>
      <c r="L91" s="30"/>
      <c r="M91" s="65"/>
      <c r="N91" s="30"/>
      <c r="O91" s="30"/>
      <c r="P91" s="30"/>
      <c r="Q91" s="31"/>
      <c r="S91" s="65"/>
      <c r="T91" s="30"/>
      <c r="U91" s="31"/>
      <c r="W91" s="30"/>
      <c r="Z91" s="65"/>
      <c r="AA91" s="65"/>
      <c r="AB91" s="31"/>
      <c r="AC91" s="30"/>
      <c r="AE91" s="51"/>
      <c r="AF91" s="31"/>
      <c r="AG91" s="30"/>
      <c r="AI91" s="31"/>
      <c r="AJ91" s="65"/>
      <c r="AK91" s="30"/>
      <c r="AL91" s="31"/>
      <c r="AP91" s="31"/>
      <c r="AQ91" s="30"/>
      <c r="AS91" s="31"/>
      <c r="AT91" s="65"/>
      <c r="AU91" s="30"/>
      <c r="AW91" s="31"/>
      <c r="AY91" s="65"/>
      <c r="AZ91" s="30"/>
      <c r="BA91" s="31"/>
      <c r="BE91" s="31"/>
      <c r="BG91" s="65"/>
      <c r="BH91" s="30"/>
      <c r="BI91" s="31"/>
      <c r="BL91" s="31"/>
      <c r="BM91" s="65"/>
      <c r="BN91" s="30"/>
      <c r="BP91" s="31"/>
      <c r="BR91" s="65"/>
      <c r="BS91" s="31"/>
      <c r="BT91" s="30"/>
      <c r="BW91" s="31"/>
      <c r="BX91" s="30"/>
      <c r="BZ91" s="31"/>
      <c r="CA91" s="65"/>
      <c r="CC91" s="31"/>
      <c r="CD91" s="30"/>
      <c r="CF91" s="65"/>
      <c r="CG91" s="30"/>
      <c r="CK91" s="30"/>
      <c r="CN91" s="30"/>
      <c r="CQ91" s="30"/>
      <c r="CU91" s="30"/>
      <c r="CX91" s="30"/>
    </row>
    <row r="92" spans="1:103" s="63" customFormat="1" x14ac:dyDescent="0.3">
      <c r="A92" s="47"/>
      <c r="B92" s="47">
        <v>1</v>
      </c>
      <c r="C92" s="30" t="s">
        <v>17</v>
      </c>
      <c r="D92" s="65">
        <v>112</v>
      </c>
      <c r="E92" s="30" t="s">
        <v>56</v>
      </c>
      <c r="F92" s="47"/>
      <c r="G92" s="30"/>
      <c r="H92" s="65"/>
      <c r="I92" s="30"/>
      <c r="J92" s="30"/>
      <c r="K92" s="30"/>
      <c r="L92" s="30"/>
      <c r="M92" s="65"/>
      <c r="N92" s="30"/>
      <c r="O92" s="30"/>
      <c r="P92" s="30"/>
      <c r="Q92" s="30"/>
      <c r="S92" s="65"/>
      <c r="T92" s="30"/>
      <c r="U92" s="30"/>
      <c r="W92" s="30"/>
      <c r="Z92" s="65"/>
      <c r="AA92" s="65"/>
      <c r="AB92" s="30"/>
      <c r="AC92" s="30"/>
      <c r="AE92" s="51"/>
      <c r="AF92" s="30"/>
      <c r="AG92" s="30"/>
      <c r="AI92" s="30"/>
      <c r="AJ92" s="65"/>
      <c r="AK92" s="30"/>
      <c r="AL92" s="30"/>
      <c r="AP92" s="30"/>
      <c r="AQ92" s="30"/>
      <c r="AS92" s="30"/>
      <c r="AT92" s="65"/>
      <c r="AU92" s="30"/>
      <c r="AW92" s="30"/>
      <c r="AY92" s="65"/>
      <c r="AZ92" s="30"/>
      <c r="BA92" s="30"/>
      <c r="BE92" s="30"/>
      <c r="BG92" s="65"/>
      <c r="BH92" s="30"/>
      <c r="BI92" s="30"/>
      <c r="BL92" s="30"/>
      <c r="BM92" s="65"/>
      <c r="BN92" s="30"/>
      <c r="BP92" s="30"/>
      <c r="BR92" s="65"/>
      <c r="BS92" s="30"/>
      <c r="BT92" s="30"/>
      <c r="BW92" s="30"/>
      <c r="BX92" s="30"/>
      <c r="BZ92" s="30"/>
      <c r="CA92" s="65"/>
      <c r="CC92" s="30"/>
      <c r="CD92" s="30"/>
      <c r="CF92" s="65"/>
      <c r="CG92" s="30"/>
      <c r="CK92" s="30"/>
      <c r="CN92" s="30"/>
      <c r="CQ92" s="30"/>
      <c r="CU92" s="30"/>
      <c r="CX92" s="30"/>
    </row>
    <row r="93" spans="1:103" s="63" customFormat="1" x14ac:dyDescent="0.3">
      <c r="A93" s="47"/>
      <c r="B93" s="47">
        <v>1</v>
      </c>
      <c r="C93" s="30" t="s">
        <v>17</v>
      </c>
      <c r="D93" s="65">
        <f>D92/D91</f>
        <v>17.23076923076923</v>
      </c>
      <c r="E93" s="30" t="s">
        <v>102</v>
      </c>
      <c r="F93" s="47"/>
      <c r="G93" s="65"/>
      <c r="H93" s="65"/>
      <c r="I93" s="30"/>
      <c r="J93" s="30"/>
      <c r="K93" s="30"/>
      <c r="L93" s="65"/>
      <c r="N93" s="65"/>
      <c r="O93" s="30"/>
      <c r="P93" s="30"/>
      <c r="Q93" s="30"/>
      <c r="S93" s="65"/>
      <c r="T93" s="30"/>
      <c r="U93" s="30"/>
      <c r="V93" s="65"/>
      <c r="W93" s="30"/>
      <c r="Z93" s="65"/>
      <c r="AA93" s="65"/>
      <c r="AB93" s="30"/>
      <c r="AC93" s="30"/>
      <c r="AD93" s="51"/>
      <c r="AE93" s="47"/>
      <c r="AF93" s="30"/>
      <c r="AG93" s="30"/>
      <c r="AI93" s="30"/>
      <c r="AJ93" s="65"/>
      <c r="AK93" s="30"/>
      <c r="AL93" s="30"/>
      <c r="AP93" s="30"/>
      <c r="AQ93" s="30"/>
      <c r="AS93" s="30"/>
      <c r="AT93" s="65"/>
      <c r="AU93" s="30"/>
      <c r="AW93" s="30"/>
      <c r="AY93" s="65"/>
      <c r="AZ93" s="30"/>
      <c r="BA93" s="30"/>
      <c r="BC93" s="51"/>
      <c r="BE93" s="30"/>
      <c r="BG93" s="65"/>
      <c r="BH93" s="30"/>
      <c r="BI93" s="30"/>
      <c r="BL93" s="30"/>
      <c r="BM93" s="65"/>
      <c r="BN93" s="30"/>
      <c r="BP93" s="30"/>
      <c r="BR93" s="65"/>
      <c r="BS93" s="30"/>
      <c r="BT93" s="30"/>
      <c r="BW93" s="30"/>
      <c r="BX93" s="30"/>
      <c r="BZ93" s="30"/>
      <c r="CA93" s="65"/>
      <c r="CC93" s="30"/>
      <c r="CD93" s="30"/>
      <c r="CF93" s="65"/>
      <c r="CG93" s="30"/>
      <c r="CK93" s="30"/>
      <c r="CN93" s="30"/>
      <c r="CQ93" s="30"/>
      <c r="CU93" s="30"/>
      <c r="CX93" s="30"/>
    </row>
    <row r="94" spans="1:103" s="47" customFormat="1" ht="15" customHeight="1" x14ac:dyDescent="0.3">
      <c r="B94" s="109">
        <v>1</v>
      </c>
      <c r="C94" s="110" t="s">
        <v>103</v>
      </c>
      <c r="D94" s="111">
        <v>130</v>
      </c>
      <c r="E94" s="112" t="s">
        <v>100</v>
      </c>
      <c r="F94" s="32"/>
      <c r="G94" s="63"/>
      <c r="H94" s="67"/>
      <c r="I94" s="30"/>
      <c r="J94" s="30"/>
      <c r="K94" s="45"/>
      <c r="L94" s="63"/>
      <c r="M94" s="63"/>
      <c r="N94" s="63"/>
      <c r="O94" s="30"/>
      <c r="P94" s="30"/>
      <c r="Q94" s="45"/>
      <c r="R94" s="63"/>
      <c r="S94" s="67"/>
      <c r="T94" s="30"/>
      <c r="U94" s="45"/>
      <c r="V94" s="63"/>
      <c r="W94" s="30"/>
      <c r="X94" s="63"/>
      <c r="Y94" s="63"/>
      <c r="Z94" s="67"/>
      <c r="AA94" s="67"/>
      <c r="AB94" s="45"/>
      <c r="AC94" s="30"/>
      <c r="AD94" s="63"/>
      <c r="AF94" s="45"/>
      <c r="AG94" s="30"/>
      <c r="AI94" s="45"/>
      <c r="AJ94" s="67"/>
      <c r="AK94" s="30"/>
      <c r="AL94" s="45"/>
      <c r="AP94" s="45"/>
      <c r="AQ94" s="30"/>
      <c r="AS94" s="45"/>
      <c r="AT94" s="67"/>
      <c r="AU94" s="30"/>
      <c r="AW94" s="45"/>
      <c r="AY94" s="67"/>
      <c r="AZ94" s="30"/>
      <c r="BA94" s="45"/>
      <c r="BE94" s="45"/>
      <c r="BG94" s="67"/>
      <c r="BH94" s="30"/>
      <c r="BI94" s="45"/>
      <c r="BL94" s="45"/>
      <c r="BM94" s="67"/>
      <c r="BN94" s="30"/>
      <c r="BP94" s="45"/>
      <c r="BR94" s="67"/>
      <c r="BS94" s="45"/>
      <c r="BT94" s="30"/>
      <c r="BW94" s="45"/>
      <c r="BX94" s="30"/>
      <c r="BZ94" s="45"/>
      <c r="CA94" s="67"/>
      <c r="CC94" s="45"/>
      <c r="CD94" s="30"/>
      <c r="CF94" s="67"/>
      <c r="CG94" s="30"/>
      <c r="CK94" s="30"/>
      <c r="CN94" s="30"/>
      <c r="CQ94" s="30"/>
      <c r="CU94" s="30"/>
      <c r="CX94" s="30"/>
    </row>
    <row r="95" spans="1:103" s="47" customFormat="1" ht="28.8" customHeight="1" x14ac:dyDescent="0.3">
      <c r="B95" s="109"/>
      <c r="C95" s="110"/>
      <c r="D95" s="111"/>
      <c r="E95" s="112"/>
      <c r="H95" s="67"/>
      <c r="I95" s="63"/>
      <c r="J95" s="63"/>
      <c r="K95" s="45"/>
      <c r="O95" s="63"/>
      <c r="P95" s="63"/>
      <c r="Q95" s="45"/>
      <c r="S95" s="67"/>
      <c r="T95" s="63"/>
      <c r="U95" s="45"/>
      <c r="W95" s="63"/>
      <c r="Z95" s="67"/>
      <c r="AA95" s="67"/>
      <c r="AB95" s="45"/>
      <c r="AC95" s="63"/>
      <c r="AF95" s="45"/>
      <c r="AG95" s="63"/>
      <c r="AI95" s="45"/>
      <c r="AJ95" s="67"/>
      <c r="AK95" s="63"/>
      <c r="AL95" s="45"/>
      <c r="AP95" s="45"/>
      <c r="AQ95" s="63"/>
      <c r="AS95" s="45"/>
      <c r="AT95" s="67"/>
      <c r="AU95" s="63"/>
      <c r="AW95" s="45"/>
      <c r="AY95" s="67"/>
      <c r="AZ95" s="63"/>
      <c r="BA95" s="45"/>
      <c r="BE95" s="45"/>
      <c r="BG95" s="67"/>
      <c r="BH95" s="63"/>
      <c r="BI95" s="45"/>
      <c r="BL95" s="45"/>
      <c r="BM95" s="67"/>
      <c r="BN95" s="63"/>
      <c r="BP95" s="45"/>
      <c r="BR95" s="67"/>
      <c r="BS95" s="45"/>
      <c r="BT95" s="63"/>
      <c r="BW95" s="45"/>
      <c r="BX95" s="63"/>
      <c r="BZ95" s="45"/>
      <c r="CA95" s="67"/>
      <c r="CC95" s="45"/>
      <c r="CD95" s="63"/>
      <c r="CF95" s="67"/>
      <c r="CG95" s="63"/>
      <c r="CK95" s="63"/>
      <c r="CN95" s="63"/>
      <c r="CQ95" s="63"/>
      <c r="CU95" s="63"/>
      <c r="CX95" s="63"/>
    </row>
    <row r="96" spans="1:103" s="47" customFormat="1" x14ac:dyDescent="0.3">
      <c r="B96" s="68">
        <v>1</v>
      </c>
      <c r="C96" s="30" t="s">
        <v>104</v>
      </c>
      <c r="D96" s="65">
        <v>260</v>
      </c>
      <c r="E96" s="30" t="s">
        <v>100</v>
      </c>
      <c r="H96" s="65"/>
      <c r="I96" s="30"/>
      <c r="J96" s="30"/>
      <c r="K96" s="30"/>
      <c r="O96" s="30"/>
      <c r="P96" s="30"/>
      <c r="Q96" s="30"/>
      <c r="S96" s="65"/>
      <c r="T96" s="30"/>
      <c r="U96" s="30"/>
      <c r="W96" s="30"/>
      <c r="Z96" s="65"/>
      <c r="AA96" s="65"/>
      <c r="AB96" s="30"/>
      <c r="AC96" s="30"/>
      <c r="AF96" s="30"/>
      <c r="AG96" s="30"/>
      <c r="AI96" s="30"/>
      <c r="AJ96" s="65"/>
      <c r="AK96" s="30"/>
      <c r="AL96" s="30"/>
      <c r="AP96" s="30"/>
      <c r="AQ96" s="30"/>
      <c r="AS96" s="30"/>
      <c r="AT96" s="65"/>
      <c r="AU96" s="30"/>
      <c r="AW96" s="30"/>
      <c r="AY96" s="65"/>
      <c r="AZ96" s="30"/>
      <c r="BA96" s="30"/>
      <c r="BE96" s="30"/>
      <c r="BG96" s="65"/>
      <c r="BH96" s="30"/>
      <c r="BI96" s="30"/>
      <c r="BL96" s="30"/>
      <c r="BM96" s="65"/>
      <c r="BN96" s="30"/>
      <c r="BP96" s="30"/>
      <c r="BR96" s="65"/>
      <c r="BS96" s="30"/>
      <c r="BT96" s="30"/>
      <c r="BW96" s="30"/>
      <c r="BX96" s="30"/>
      <c r="BZ96" s="30"/>
      <c r="CA96" s="65"/>
      <c r="CC96" s="30"/>
      <c r="CD96" s="30"/>
      <c r="CF96" s="65"/>
      <c r="CG96" s="30"/>
      <c r="CK96" s="30"/>
      <c r="CN96" s="30"/>
      <c r="CQ96" s="30"/>
      <c r="CU96" s="30"/>
      <c r="CX96" s="30"/>
    </row>
    <row r="97" spans="1:102" s="47" customFormat="1" x14ac:dyDescent="0.3">
      <c r="B97" s="68">
        <v>1</v>
      </c>
      <c r="C97" s="30" t="s">
        <v>658</v>
      </c>
      <c r="D97" s="65">
        <f>D94/D92</f>
        <v>1.1607142857142858</v>
      </c>
      <c r="E97" s="30" t="s">
        <v>105</v>
      </c>
      <c r="H97" s="65"/>
      <c r="I97" s="30"/>
      <c r="J97" s="30"/>
      <c r="K97" s="30"/>
      <c r="O97" s="30"/>
      <c r="P97" s="30"/>
      <c r="Q97" s="30"/>
      <c r="S97" s="65"/>
      <c r="T97" s="30"/>
      <c r="U97" s="30"/>
      <c r="W97" s="30"/>
      <c r="Z97" s="65"/>
      <c r="AA97" s="65"/>
      <c r="AB97" s="30"/>
      <c r="AC97" s="30"/>
      <c r="AF97" s="30"/>
      <c r="AG97" s="30"/>
      <c r="AI97" s="30"/>
      <c r="AJ97" s="65"/>
      <c r="AK97" s="30"/>
      <c r="AL97" s="30"/>
      <c r="AP97" s="30"/>
      <c r="AQ97" s="30"/>
      <c r="AS97" s="30"/>
      <c r="AT97" s="65"/>
      <c r="AU97" s="30"/>
      <c r="AW97" s="30"/>
      <c r="AY97" s="65"/>
      <c r="AZ97" s="30"/>
      <c r="BA97" s="30"/>
      <c r="BE97" s="30"/>
      <c r="BG97" s="65"/>
      <c r="BH97" s="30"/>
      <c r="BI97" s="30"/>
      <c r="BL97" s="30"/>
      <c r="BM97" s="65"/>
      <c r="BN97" s="30"/>
      <c r="BP97" s="30"/>
      <c r="BR97" s="65"/>
      <c r="BS97" s="30"/>
      <c r="BT97" s="30"/>
      <c r="BW97" s="30"/>
      <c r="BX97" s="30"/>
      <c r="BZ97" s="30"/>
      <c r="CA97" s="65"/>
      <c r="CC97" s="30"/>
      <c r="CD97" s="30"/>
      <c r="CF97" s="65"/>
      <c r="CG97" s="30"/>
      <c r="CK97" s="30"/>
      <c r="CN97" s="30"/>
      <c r="CQ97" s="30"/>
      <c r="CU97" s="30"/>
      <c r="CX97" s="30"/>
    </row>
    <row r="98" spans="1:102" s="47" customFormat="1" x14ac:dyDescent="0.3">
      <c r="B98" s="68">
        <v>1</v>
      </c>
      <c r="C98" s="30" t="s">
        <v>104</v>
      </c>
      <c r="D98" s="65">
        <f>D96/D92</f>
        <v>2.3214285714285716</v>
      </c>
      <c r="E98" s="30" t="s">
        <v>105</v>
      </c>
      <c r="H98" s="65"/>
      <c r="I98" s="30"/>
      <c r="J98" s="30"/>
      <c r="K98" s="30"/>
      <c r="O98" s="30"/>
      <c r="P98" s="30"/>
      <c r="Q98" s="30"/>
      <c r="S98" s="65"/>
      <c r="T98" s="30"/>
      <c r="U98" s="30"/>
      <c r="W98" s="30"/>
      <c r="Z98" s="65"/>
      <c r="AA98" s="65"/>
      <c r="AB98" s="30"/>
      <c r="AC98" s="30"/>
      <c r="AF98" s="30"/>
      <c r="AG98" s="30"/>
      <c r="AI98" s="30"/>
      <c r="AJ98" s="65"/>
      <c r="AK98" s="30"/>
      <c r="AL98" s="30"/>
      <c r="AP98" s="30"/>
      <c r="AQ98" s="30"/>
      <c r="AS98" s="30"/>
      <c r="AT98" s="65"/>
      <c r="AU98" s="30"/>
      <c r="AW98" s="30"/>
      <c r="AY98" s="65"/>
      <c r="AZ98" s="30"/>
      <c r="BA98" s="30"/>
      <c r="BE98" s="30"/>
      <c r="BG98" s="65"/>
      <c r="BH98" s="30"/>
      <c r="BI98" s="30"/>
      <c r="BL98" s="30"/>
      <c r="BM98" s="65"/>
      <c r="BN98" s="30"/>
      <c r="BP98" s="30"/>
      <c r="BR98" s="65"/>
      <c r="BS98" s="30"/>
      <c r="BT98" s="30"/>
      <c r="BW98" s="30"/>
      <c r="BX98" s="30"/>
      <c r="BZ98" s="30"/>
      <c r="CA98" s="65"/>
      <c r="CC98" s="30"/>
      <c r="CD98" s="30"/>
      <c r="CF98" s="65"/>
      <c r="CG98" s="30"/>
      <c r="CK98" s="30"/>
      <c r="CN98" s="30"/>
      <c r="CQ98" s="30"/>
      <c r="CU98" s="30"/>
      <c r="CX98" s="30"/>
    </row>
    <row r="99" spans="1:102" s="63" customFormat="1" x14ac:dyDescent="0.3">
      <c r="A99" s="47"/>
      <c r="B99" s="68">
        <v>1</v>
      </c>
      <c r="C99" s="30" t="s">
        <v>106</v>
      </c>
      <c r="D99" s="65">
        <v>20</v>
      </c>
      <c r="E99" s="30" t="s">
        <v>105</v>
      </c>
      <c r="F99" s="48">
        <f>D99*D92</f>
        <v>2240</v>
      </c>
      <c r="G99" s="30" t="s">
        <v>100</v>
      </c>
      <c r="H99" s="48">
        <f>F99/D101</f>
        <v>420</v>
      </c>
      <c r="I99" s="33" t="s">
        <v>107</v>
      </c>
      <c r="J99" s="48">
        <f>F99/D100</f>
        <v>1016.048117135833</v>
      </c>
      <c r="K99" s="30" t="s">
        <v>661</v>
      </c>
      <c r="L99" s="45"/>
      <c r="O99" s="30"/>
      <c r="R99" s="45"/>
      <c r="W99" s="30"/>
      <c r="X99" s="45"/>
      <c r="Y99" s="45"/>
      <c r="Z99" s="30"/>
      <c r="AB99" s="47"/>
      <c r="AC99" s="45"/>
      <c r="AD99" s="30"/>
      <c r="AG99" s="30"/>
      <c r="AH99" s="45"/>
      <c r="AI99" s="51"/>
      <c r="AJ99" s="30"/>
      <c r="AK99" s="51"/>
      <c r="AM99" s="45"/>
      <c r="AN99" s="30"/>
      <c r="AQ99" s="30"/>
      <c r="AR99" s="45"/>
      <c r="AU99" s="30"/>
      <c r="AW99" s="45"/>
      <c r="AY99" s="30"/>
      <c r="BC99" s="30"/>
      <c r="BE99" s="45"/>
      <c r="BF99" s="51"/>
      <c r="BG99" s="30"/>
      <c r="BJ99" s="30"/>
      <c r="BK99" s="45"/>
      <c r="BN99" s="30"/>
      <c r="BP99" s="45"/>
      <c r="BQ99" s="30"/>
      <c r="BT99" s="45"/>
      <c r="BU99" s="30"/>
      <c r="BX99" s="30"/>
      <c r="BZ99" s="45"/>
      <c r="CA99" s="30"/>
      <c r="CD99" s="45"/>
      <c r="CH99" s="45"/>
      <c r="CK99" s="45"/>
      <c r="CN99" s="45"/>
      <c r="CR99" s="45"/>
      <c r="CU99" s="45"/>
    </row>
    <row r="100" spans="1:102" s="63" customFormat="1" x14ac:dyDescent="0.3">
      <c r="A100" s="47"/>
      <c r="B100" s="68">
        <v>1</v>
      </c>
      <c r="C100" s="30" t="s">
        <v>661</v>
      </c>
      <c r="D100" s="65">
        <v>2.2046199999999998</v>
      </c>
      <c r="E100" s="30" t="s">
        <v>100</v>
      </c>
      <c r="F100" s="48">
        <f>D100/D92</f>
        <v>1.9684107142857142E-2</v>
      </c>
      <c r="G100" s="33" t="s">
        <v>105</v>
      </c>
      <c r="I100" s="51"/>
      <c r="J100" s="51"/>
      <c r="L100" s="45"/>
      <c r="O100" s="30"/>
      <c r="R100" s="45"/>
      <c r="W100" s="30"/>
      <c r="X100" s="45"/>
      <c r="Y100" s="45"/>
      <c r="Z100" s="30"/>
      <c r="AB100" s="47"/>
      <c r="AC100" s="45"/>
      <c r="AD100" s="30"/>
      <c r="AG100" s="30"/>
      <c r="AH100" s="45"/>
      <c r="AI100" s="51"/>
      <c r="AJ100" s="30"/>
      <c r="AK100" s="51"/>
      <c r="AM100" s="45"/>
      <c r="AN100" s="30"/>
      <c r="AQ100" s="30"/>
      <c r="AR100" s="45"/>
      <c r="AU100" s="30"/>
      <c r="AW100" s="45"/>
      <c r="AY100" s="30"/>
      <c r="BC100" s="30"/>
      <c r="BE100" s="45"/>
      <c r="BF100" s="51"/>
      <c r="BG100" s="30"/>
      <c r="BJ100" s="30"/>
      <c r="BK100" s="45"/>
      <c r="BN100" s="30"/>
      <c r="BP100" s="45"/>
      <c r="BQ100" s="30"/>
      <c r="BT100" s="45"/>
      <c r="BU100" s="30"/>
      <c r="BX100" s="30"/>
      <c r="BZ100" s="45"/>
      <c r="CA100" s="30"/>
      <c r="CD100" s="45"/>
      <c r="CH100" s="45"/>
      <c r="CK100" s="45"/>
      <c r="CN100" s="45"/>
      <c r="CR100" s="45"/>
      <c r="CU100" s="45"/>
    </row>
    <row r="101" spans="1:102" s="63" customFormat="1" x14ac:dyDescent="0.3">
      <c r="A101" s="47"/>
      <c r="B101" s="68">
        <v>1</v>
      </c>
      <c r="C101" s="30" t="s">
        <v>109</v>
      </c>
      <c r="D101" s="65">
        <f>16/3</f>
        <v>5.333333333333333</v>
      </c>
      <c r="E101" s="30" t="s">
        <v>100</v>
      </c>
      <c r="F101" s="48">
        <f>D101/D92</f>
        <v>4.7619047619047616E-2</v>
      </c>
      <c r="G101" s="33" t="s">
        <v>105</v>
      </c>
      <c r="I101" s="51"/>
      <c r="J101" s="51"/>
      <c r="L101" s="30"/>
      <c r="O101" s="30"/>
      <c r="R101" s="30"/>
      <c r="W101" s="30"/>
      <c r="X101" s="30"/>
      <c r="Y101" s="30"/>
      <c r="Z101" s="30"/>
      <c r="AB101" s="47"/>
      <c r="AC101" s="30"/>
      <c r="AD101" s="30"/>
      <c r="AG101" s="30"/>
      <c r="AH101" s="30"/>
      <c r="AI101" s="51"/>
      <c r="AJ101" s="30"/>
      <c r="AK101" s="51"/>
      <c r="AM101" s="30"/>
      <c r="AN101" s="30"/>
      <c r="AQ101" s="30"/>
      <c r="AR101" s="30"/>
      <c r="AU101" s="30"/>
      <c r="AW101" s="30"/>
      <c r="AY101" s="30"/>
      <c r="BC101" s="30"/>
      <c r="BE101" s="30"/>
      <c r="BF101" s="51"/>
      <c r="BG101" s="30"/>
      <c r="BJ101" s="30"/>
      <c r="BK101" s="30"/>
      <c r="BN101" s="30"/>
      <c r="BP101" s="30"/>
      <c r="BQ101" s="30"/>
      <c r="BT101" s="30"/>
      <c r="BU101" s="30"/>
      <c r="BX101" s="30"/>
      <c r="BZ101" s="30"/>
      <c r="CA101" s="30"/>
      <c r="CD101" s="30"/>
      <c r="CH101" s="30"/>
      <c r="CK101" s="30"/>
      <c r="CN101" s="30"/>
      <c r="CR101" s="30"/>
      <c r="CU101" s="30"/>
    </row>
    <row r="102" spans="1:102" s="63" customFormat="1" x14ac:dyDescent="0.3">
      <c r="A102" s="47"/>
      <c r="B102" s="68">
        <v>1</v>
      </c>
      <c r="C102" s="30" t="s">
        <v>22</v>
      </c>
      <c r="D102" s="65">
        <v>100</v>
      </c>
      <c r="E102" s="30" t="s">
        <v>109</v>
      </c>
      <c r="F102" s="48">
        <f>D102*F101</f>
        <v>4.7619047619047619</v>
      </c>
      <c r="G102" s="33" t="s">
        <v>105</v>
      </c>
      <c r="H102" s="65">
        <f>F102/D99</f>
        <v>0.23809523809523808</v>
      </c>
      <c r="I102" s="33" t="s">
        <v>31</v>
      </c>
      <c r="J102" s="51"/>
      <c r="L102" s="30"/>
      <c r="O102" s="30"/>
      <c r="R102" s="30"/>
      <c r="W102" s="30"/>
      <c r="X102" s="30"/>
      <c r="Y102" s="30"/>
      <c r="Z102" s="30"/>
      <c r="AB102" s="47"/>
      <c r="AC102" s="30"/>
      <c r="AD102" s="30"/>
      <c r="AG102" s="30"/>
      <c r="AH102" s="30"/>
      <c r="AI102" s="51"/>
      <c r="AJ102" s="30"/>
      <c r="AK102" s="51"/>
      <c r="AM102" s="30"/>
      <c r="AN102" s="30"/>
      <c r="AQ102" s="30"/>
      <c r="AR102" s="30"/>
      <c r="AU102" s="30"/>
      <c r="AW102" s="30"/>
      <c r="AY102" s="30"/>
      <c r="BC102" s="30"/>
      <c r="BE102" s="30"/>
      <c r="BF102" s="51"/>
      <c r="BG102" s="30"/>
      <c r="BJ102" s="30"/>
      <c r="BK102" s="30"/>
      <c r="BN102" s="30"/>
      <c r="BP102" s="30"/>
      <c r="BQ102" s="30"/>
      <c r="BT102" s="30"/>
      <c r="BU102" s="30"/>
      <c r="BX102" s="30"/>
      <c r="BZ102" s="30"/>
      <c r="CA102" s="30"/>
      <c r="CD102" s="30"/>
      <c r="CH102" s="30"/>
      <c r="CK102" s="30"/>
      <c r="CN102" s="30"/>
      <c r="CR102" s="30"/>
      <c r="CU102" s="30"/>
    </row>
    <row r="103" spans="1:102" s="63" customFormat="1" x14ac:dyDescent="0.3">
      <c r="A103" s="47"/>
      <c r="B103" s="68">
        <v>1</v>
      </c>
      <c r="C103" s="30" t="s">
        <v>16</v>
      </c>
      <c r="D103" s="65">
        <f>D92/D101</f>
        <v>21</v>
      </c>
      <c r="E103" s="30" t="s">
        <v>109</v>
      </c>
      <c r="F103" s="48"/>
      <c r="G103" s="33"/>
      <c r="I103" s="30"/>
      <c r="J103" s="51"/>
      <c r="K103" s="30"/>
      <c r="L103" s="51"/>
      <c r="N103" s="30"/>
      <c r="Q103" s="30"/>
      <c r="U103" s="30"/>
      <c r="V103" s="30"/>
      <c r="Z103" s="30"/>
      <c r="AA103" s="30"/>
      <c r="AB103" s="30"/>
      <c r="AD103" s="47"/>
      <c r="AE103" s="30"/>
      <c r="AF103" s="30"/>
      <c r="AI103" s="30"/>
      <c r="AJ103" s="30"/>
      <c r="AK103" s="51"/>
      <c r="AL103" s="30"/>
      <c r="AM103" s="51"/>
      <c r="AO103" s="30"/>
      <c r="AP103" s="30"/>
      <c r="AS103" s="30"/>
      <c r="AT103" s="30"/>
      <c r="AW103" s="30"/>
      <c r="AY103" s="30"/>
      <c r="BA103" s="30"/>
      <c r="BE103" s="30"/>
      <c r="BG103" s="30"/>
      <c r="BH103" s="51"/>
      <c r="BI103" s="30"/>
      <c r="BL103" s="30"/>
      <c r="BM103" s="30"/>
      <c r="BP103" s="30"/>
      <c r="BR103" s="30"/>
      <c r="BS103" s="30"/>
      <c r="BV103" s="30"/>
      <c r="BW103" s="30"/>
      <c r="BZ103" s="30"/>
      <c r="CB103" s="30"/>
      <c r="CC103" s="30"/>
      <c r="CF103" s="30"/>
      <c r="CJ103" s="30"/>
      <c r="CM103" s="30"/>
      <c r="CP103" s="30"/>
      <c r="CT103" s="30"/>
      <c r="CW103" s="30"/>
    </row>
    <row r="104" spans="1:102" s="63" customFormat="1" x14ac:dyDescent="0.3">
      <c r="A104" s="47"/>
      <c r="B104" s="68">
        <v>1</v>
      </c>
      <c r="C104" s="30" t="s">
        <v>185</v>
      </c>
      <c r="D104" s="65">
        <v>2.8279999999999998</v>
      </c>
      <c r="E104" s="30" t="s">
        <v>100</v>
      </c>
      <c r="F104" s="51"/>
      <c r="G104" s="51"/>
      <c r="H104" s="51"/>
      <c r="I104" s="47"/>
      <c r="J104" s="47"/>
      <c r="M104" s="51"/>
      <c r="N104" s="51"/>
      <c r="O104" s="47"/>
      <c r="P104" s="47"/>
      <c r="T104" s="47"/>
      <c r="W104" s="47"/>
      <c r="AC104" s="47"/>
      <c r="AG104" s="47"/>
      <c r="AH104" s="47"/>
      <c r="AK104" s="47"/>
      <c r="AN104" s="51"/>
      <c r="AO104" s="51"/>
      <c r="AQ104" s="47"/>
      <c r="AU104" s="47"/>
      <c r="AZ104" s="47"/>
      <c r="BH104" s="47"/>
      <c r="BK104" s="51"/>
      <c r="BN104" s="47"/>
      <c r="BT104" s="47"/>
      <c r="BX104" s="47"/>
      <c r="CD104" s="47"/>
      <c r="CG104" s="47"/>
      <c r="CK104" s="47"/>
      <c r="CN104" s="47"/>
      <c r="CQ104" s="47"/>
      <c r="CU104" s="47"/>
      <c r="CX104" s="47"/>
    </row>
    <row r="105" spans="1:102" s="63" customFormat="1" x14ac:dyDescent="0.3">
      <c r="A105" s="47"/>
      <c r="B105" s="47">
        <v>1</v>
      </c>
      <c r="C105" s="30" t="s">
        <v>26</v>
      </c>
      <c r="D105" s="65">
        <v>108</v>
      </c>
      <c r="E105" s="30" t="s">
        <v>100</v>
      </c>
      <c r="H105" s="30"/>
      <c r="I105" s="30"/>
      <c r="J105" s="30"/>
      <c r="K105" s="30"/>
      <c r="L105" s="65"/>
      <c r="M105" s="65"/>
      <c r="N105" s="30"/>
      <c r="O105" s="30"/>
      <c r="P105" s="30"/>
      <c r="Q105" s="30"/>
      <c r="S105" s="69"/>
      <c r="T105" s="30"/>
      <c r="U105" s="30"/>
      <c r="V105" s="69"/>
      <c r="W105" s="30"/>
      <c r="X105" s="69"/>
      <c r="Y105" s="69"/>
      <c r="Z105" s="47"/>
      <c r="AA105" s="47"/>
      <c r="AB105" s="30"/>
      <c r="AC105" s="30"/>
      <c r="AD105" s="47"/>
      <c r="AE105" s="70"/>
      <c r="AF105" s="30"/>
      <c r="AG105" s="30"/>
      <c r="AH105" s="70"/>
      <c r="AI105" s="30"/>
      <c r="AJ105" s="70"/>
      <c r="AK105" s="30"/>
      <c r="AL105" s="30"/>
      <c r="AM105" s="51"/>
      <c r="AN105" s="47"/>
      <c r="AO105" s="47"/>
      <c r="AP105" s="30"/>
      <c r="AQ105" s="30"/>
      <c r="AR105" s="47"/>
      <c r="AS105" s="30"/>
      <c r="AT105" s="47"/>
      <c r="AU105" s="30"/>
      <c r="AW105" s="30"/>
      <c r="AZ105" s="30"/>
      <c r="BA105" s="30"/>
      <c r="BE105" s="30"/>
      <c r="BH105" s="30"/>
      <c r="BI105" s="30"/>
      <c r="BL105" s="30"/>
      <c r="BN105" s="30"/>
      <c r="BP105" s="30"/>
      <c r="BS105" s="30"/>
      <c r="BT105" s="30"/>
      <c r="BW105" s="30"/>
      <c r="BX105" s="30"/>
      <c r="BZ105" s="30"/>
      <c r="CC105" s="30"/>
      <c r="CD105" s="30"/>
      <c r="CG105" s="30"/>
      <c r="CK105" s="30"/>
      <c r="CN105" s="30"/>
      <c r="CQ105" s="30"/>
      <c r="CU105" s="30"/>
      <c r="CX105" s="30"/>
    </row>
    <row r="106" spans="1:102" s="63" customFormat="1" x14ac:dyDescent="0.3">
      <c r="A106" s="47"/>
      <c r="B106" s="47">
        <v>1</v>
      </c>
      <c r="C106" s="30" t="s">
        <v>101</v>
      </c>
      <c r="D106" s="65">
        <v>32.5</v>
      </c>
      <c r="E106" s="30" t="s">
        <v>100</v>
      </c>
      <c r="F106" s="47"/>
      <c r="G106" s="47"/>
      <c r="H106" s="30"/>
      <c r="I106" s="30"/>
      <c r="J106" s="30"/>
      <c r="K106" s="30"/>
      <c r="L106" s="65"/>
      <c r="M106" s="65"/>
      <c r="N106" s="30"/>
      <c r="O106" s="30"/>
      <c r="P106" s="30"/>
      <c r="Q106" s="30"/>
      <c r="S106" s="69"/>
      <c r="T106" s="30"/>
      <c r="U106" s="30"/>
      <c r="V106" s="69"/>
      <c r="W106" s="30"/>
      <c r="X106" s="69"/>
      <c r="Y106" s="69"/>
      <c r="Z106" s="47"/>
      <c r="AA106" s="47"/>
      <c r="AB106" s="30"/>
      <c r="AC106" s="30"/>
      <c r="AD106" s="47"/>
      <c r="AE106" s="70"/>
      <c r="AF106" s="30"/>
      <c r="AG106" s="30"/>
      <c r="AH106" s="70"/>
      <c r="AI106" s="30"/>
      <c r="AJ106" s="70"/>
      <c r="AK106" s="30"/>
      <c r="AL106" s="30"/>
      <c r="AM106" s="51"/>
      <c r="AN106" s="47"/>
      <c r="AO106" s="47"/>
      <c r="AP106" s="30"/>
      <c r="AQ106" s="30"/>
      <c r="AR106" s="47"/>
      <c r="AS106" s="30"/>
      <c r="AT106" s="47"/>
      <c r="AU106" s="30"/>
      <c r="AW106" s="30"/>
      <c r="AZ106" s="30"/>
      <c r="BA106" s="30"/>
      <c r="BE106" s="30"/>
      <c r="BH106" s="30"/>
      <c r="BI106" s="30"/>
      <c r="BL106" s="30"/>
      <c r="BN106" s="30"/>
      <c r="BP106" s="30"/>
      <c r="BS106" s="30"/>
      <c r="BT106" s="30"/>
      <c r="BW106" s="30"/>
      <c r="BX106" s="30"/>
      <c r="BZ106" s="30"/>
      <c r="CC106" s="30"/>
      <c r="CD106" s="30"/>
      <c r="CG106" s="30"/>
      <c r="CK106" s="30"/>
      <c r="CN106" s="30"/>
      <c r="CQ106" s="30"/>
      <c r="CU106" s="30"/>
      <c r="CX106" s="30"/>
    </row>
    <row r="107" spans="1:102" s="63" customFormat="1" x14ac:dyDescent="0.3">
      <c r="A107" s="47"/>
      <c r="B107" s="47">
        <v>1</v>
      </c>
      <c r="C107" s="30" t="s">
        <v>17</v>
      </c>
      <c r="D107" s="65">
        <v>112</v>
      </c>
      <c r="E107" s="30" t="s">
        <v>56</v>
      </c>
      <c r="H107" s="30"/>
      <c r="I107" s="30"/>
      <c r="J107" s="30"/>
      <c r="K107" s="30"/>
      <c r="L107" s="65"/>
      <c r="M107" s="65"/>
      <c r="N107" s="30"/>
      <c r="O107" s="30"/>
      <c r="P107" s="30"/>
      <c r="Q107" s="30"/>
      <c r="S107" s="69"/>
      <c r="T107" s="30"/>
      <c r="U107" s="30"/>
      <c r="V107" s="69"/>
      <c r="W107" s="30"/>
      <c r="X107" s="69"/>
      <c r="Y107" s="69"/>
      <c r="Z107" s="47"/>
      <c r="AA107" s="47"/>
      <c r="AB107" s="30"/>
      <c r="AC107" s="30"/>
      <c r="AD107" s="47"/>
      <c r="AE107" s="70"/>
      <c r="AF107" s="30"/>
      <c r="AG107" s="30"/>
      <c r="AH107" s="70"/>
      <c r="AI107" s="30"/>
      <c r="AJ107" s="70"/>
      <c r="AK107" s="30"/>
      <c r="AL107" s="30"/>
      <c r="AM107" s="51"/>
      <c r="AN107" s="47"/>
      <c r="AO107" s="47"/>
      <c r="AP107" s="30"/>
      <c r="AQ107" s="30"/>
      <c r="AR107" s="47"/>
      <c r="AS107" s="30"/>
      <c r="AT107" s="47"/>
      <c r="AU107" s="30"/>
      <c r="AW107" s="30"/>
      <c r="AZ107" s="30"/>
      <c r="BA107" s="30"/>
      <c r="BE107" s="30"/>
      <c r="BH107" s="30"/>
      <c r="BI107" s="30"/>
      <c r="BL107" s="30"/>
      <c r="BN107" s="30"/>
      <c r="BP107" s="30"/>
      <c r="BS107" s="30"/>
      <c r="BT107" s="30"/>
      <c r="BW107" s="30"/>
      <c r="BX107" s="30"/>
      <c r="BZ107" s="30"/>
      <c r="CC107" s="30"/>
      <c r="CD107" s="30"/>
      <c r="CG107" s="30"/>
      <c r="CK107" s="30"/>
      <c r="CN107" s="30"/>
      <c r="CQ107" s="30"/>
      <c r="CU107" s="30"/>
      <c r="CX107" s="30"/>
    </row>
    <row r="108" spans="1:102" s="63" customFormat="1" ht="14.4" customHeight="1" x14ac:dyDescent="0.3">
      <c r="A108" s="47"/>
      <c r="B108" s="109">
        <v>1</v>
      </c>
      <c r="C108" s="110" t="s">
        <v>103</v>
      </c>
      <c r="D108" s="111">
        <v>130</v>
      </c>
      <c r="E108" s="112" t="s">
        <v>100</v>
      </c>
      <c r="H108" s="30"/>
      <c r="I108" s="30"/>
      <c r="J108" s="30"/>
      <c r="K108" s="45"/>
      <c r="L108" s="65"/>
      <c r="M108" s="65"/>
      <c r="N108" s="30"/>
      <c r="O108" s="30"/>
      <c r="P108" s="30"/>
      <c r="Q108" s="45"/>
      <c r="S108" s="69"/>
      <c r="T108" s="30"/>
      <c r="U108" s="45"/>
      <c r="V108" s="69"/>
      <c r="W108" s="30"/>
      <c r="X108" s="69"/>
      <c r="Y108" s="69"/>
      <c r="Z108" s="47"/>
      <c r="AA108" s="47"/>
      <c r="AB108" s="45"/>
      <c r="AC108" s="30"/>
      <c r="AD108" s="47"/>
      <c r="AE108" s="70"/>
      <c r="AF108" s="45"/>
      <c r="AG108" s="30"/>
      <c r="AH108" s="70"/>
      <c r="AI108" s="45"/>
      <c r="AJ108" s="70"/>
      <c r="AK108" s="30"/>
      <c r="AL108" s="45"/>
      <c r="AM108" s="51"/>
      <c r="AN108" s="47"/>
      <c r="AO108" s="47"/>
      <c r="AP108" s="45"/>
      <c r="AQ108" s="30"/>
      <c r="AR108" s="47"/>
      <c r="AS108" s="45"/>
      <c r="AT108" s="47"/>
      <c r="AU108" s="30"/>
      <c r="AW108" s="45"/>
      <c r="AZ108" s="30"/>
      <c r="BA108" s="45"/>
      <c r="BE108" s="45"/>
      <c r="BH108" s="30"/>
      <c r="BI108" s="45"/>
      <c r="BL108" s="45"/>
      <c r="BN108" s="30"/>
      <c r="BP108" s="45"/>
      <c r="BS108" s="45"/>
      <c r="BT108" s="30"/>
      <c r="BW108" s="45"/>
      <c r="BX108" s="30"/>
      <c r="BZ108" s="45"/>
      <c r="CC108" s="45"/>
      <c r="CD108" s="30"/>
      <c r="CG108" s="30"/>
      <c r="CK108" s="30"/>
      <c r="CN108" s="30"/>
      <c r="CQ108" s="30"/>
      <c r="CU108" s="30"/>
      <c r="CX108" s="30"/>
    </row>
    <row r="109" spans="1:102" s="63" customFormat="1" ht="14.4" customHeight="1" x14ac:dyDescent="0.3">
      <c r="A109" s="47"/>
      <c r="B109" s="109"/>
      <c r="C109" s="110"/>
      <c r="D109" s="111"/>
      <c r="E109" s="112"/>
      <c r="F109" s="47"/>
      <c r="G109" s="47"/>
      <c r="H109" s="30"/>
      <c r="I109" s="30"/>
      <c r="J109" s="30"/>
      <c r="K109" s="45"/>
      <c r="L109" s="65"/>
      <c r="M109" s="65"/>
      <c r="N109" s="30"/>
      <c r="O109" s="30"/>
      <c r="P109" s="30"/>
      <c r="Q109" s="45"/>
      <c r="S109" s="69"/>
      <c r="T109" s="30"/>
      <c r="U109" s="45"/>
      <c r="V109" s="69"/>
      <c r="W109" s="30"/>
      <c r="X109" s="69"/>
      <c r="Y109" s="69"/>
      <c r="Z109" s="47"/>
      <c r="AA109" s="47"/>
      <c r="AB109" s="45"/>
      <c r="AC109" s="30"/>
      <c r="AD109" s="47"/>
      <c r="AE109" s="70"/>
      <c r="AF109" s="45"/>
      <c r="AG109" s="30"/>
      <c r="AH109" s="70"/>
      <c r="AI109" s="45"/>
      <c r="AJ109" s="70"/>
      <c r="AK109" s="30"/>
      <c r="AL109" s="45"/>
      <c r="AM109" s="51"/>
      <c r="AN109" s="47"/>
      <c r="AO109" s="47"/>
      <c r="AP109" s="45"/>
      <c r="AQ109" s="30"/>
      <c r="AR109" s="47"/>
      <c r="AS109" s="45"/>
      <c r="AT109" s="47"/>
      <c r="AU109" s="30"/>
      <c r="AW109" s="45"/>
      <c r="AZ109" s="30"/>
      <c r="BA109" s="45"/>
      <c r="BE109" s="45"/>
      <c r="BH109" s="30"/>
      <c r="BI109" s="45"/>
      <c r="BL109" s="45"/>
      <c r="BN109" s="30"/>
      <c r="BP109" s="45"/>
      <c r="BS109" s="45"/>
      <c r="BT109" s="30"/>
      <c r="BW109" s="45"/>
      <c r="BX109" s="30"/>
      <c r="BZ109" s="45"/>
      <c r="CC109" s="45"/>
      <c r="CD109" s="30"/>
      <c r="CG109" s="30"/>
      <c r="CK109" s="30"/>
      <c r="CN109" s="30"/>
      <c r="CQ109" s="30"/>
      <c r="CU109" s="30"/>
      <c r="CX109" s="30"/>
    </row>
    <row r="110" spans="1:102" s="63" customFormat="1" x14ac:dyDescent="0.3">
      <c r="A110" s="47"/>
      <c r="B110" s="68">
        <v>1</v>
      </c>
      <c r="C110" s="30" t="s">
        <v>104</v>
      </c>
      <c r="D110" s="65">
        <v>260</v>
      </c>
      <c r="E110" s="30" t="s">
        <v>100</v>
      </c>
      <c r="F110" s="47"/>
      <c r="G110" s="47"/>
      <c r="H110" s="30"/>
      <c r="I110" s="30"/>
      <c r="J110" s="30"/>
      <c r="K110" s="30"/>
      <c r="L110" s="65"/>
      <c r="M110" s="65"/>
      <c r="N110" s="30"/>
      <c r="O110" s="30"/>
      <c r="P110" s="30"/>
      <c r="Q110" s="30"/>
      <c r="S110" s="69"/>
      <c r="T110" s="30"/>
      <c r="U110" s="30"/>
      <c r="V110" s="69"/>
      <c r="W110" s="30"/>
      <c r="X110" s="69"/>
      <c r="Y110" s="69"/>
      <c r="Z110" s="47"/>
      <c r="AA110" s="47"/>
      <c r="AB110" s="30"/>
      <c r="AC110" s="30"/>
      <c r="AD110" s="47"/>
      <c r="AE110" s="70"/>
      <c r="AF110" s="30"/>
      <c r="AG110" s="30"/>
      <c r="AH110" s="70"/>
      <c r="AI110" s="30"/>
      <c r="AJ110" s="70"/>
      <c r="AK110" s="30"/>
      <c r="AL110" s="30"/>
      <c r="AM110" s="51"/>
      <c r="AN110" s="47"/>
      <c r="AO110" s="47"/>
      <c r="AP110" s="30"/>
      <c r="AQ110" s="30"/>
      <c r="AR110" s="47"/>
      <c r="AS110" s="30"/>
      <c r="AT110" s="47"/>
      <c r="AU110" s="30"/>
      <c r="AW110" s="30"/>
      <c r="AZ110" s="30"/>
      <c r="BA110" s="30"/>
      <c r="BE110" s="30"/>
      <c r="BH110" s="30"/>
      <c r="BI110" s="30"/>
      <c r="BL110" s="30"/>
      <c r="BN110" s="30"/>
      <c r="BP110" s="30"/>
      <c r="BS110" s="30"/>
      <c r="BT110" s="30"/>
      <c r="BW110" s="30"/>
      <c r="BX110" s="30"/>
      <c r="BZ110" s="30"/>
      <c r="CC110" s="30"/>
      <c r="CD110" s="30"/>
      <c r="CG110" s="30"/>
      <c r="CK110" s="30"/>
      <c r="CN110" s="30"/>
      <c r="CQ110" s="30"/>
      <c r="CU110" s="30"/>
      <c r="CX110" s="30"/>
    </row>
    <row r="111" spans="1:102" s="63" customFormat="1" x14ac:dyDescent="0.3">
      <c r="A111" s="47"/>
      <c r="B111" s="68">
        <v>1</v>
      </c>
      <c r="C111" s="30" t="s">
        <v>659</v>
      </c>
      <c r="D111" s="65">
        <f>D108/D107</f>
        <v>1.1607142857142858</v>
      </c>
      <c r="E111" s="30" t="s">
        <v>105</v>
      </c>
      <c r="F111" s="47"/>
      <c r="G111" s="47"/>
      <c r="H111" s="30"/>
      <c r="I111" s="30"/>
      <c r="J111" s="30"/>
      <c r="K111" s="30"/>
      <c r="L111" s="65"/>
      <c r="M111" s="65"/>
      <c r="N111" s="30"/>
      <c r="O111" s="30"/>
      <c r="P111" s="30"/>
      <c r="Q111" s="30"/>
      <c r="S111" s="69"/>
      <c r="T111" s="30"/>
      <c r="U111" s="30"/>
      <c r="V111" s="69"/>
      <c r="W111" s="30"/>
      <c r="X111" s="69"/>
      <c r="Y111" s="69"/>
      <c r="Z111" s="47"/>
      <c r="AA111" s="47"/>
      <c r="AB111" s="30"/>
      <c r="AC111" s="30"/>
      <c r="AD111" s="47"/>
      <c r="AE111" s="70"/>
      <c r="AF111" s="30"/>
      <c r="AG111" s="30"/>
      <c r="AH111" s="70"/>
      <c r="AI111" s="30"/>
      <c r="AJ111" s="70"/>
      <c r="AK111" s="30"/>
      <c r="AL111" s="30"/>
      <c r="AM111" s="51"/>
      <c r="AN111" s="47"/>
      <c r="AO111" s="47"/>
      <c r="AP111" s="30"/>
      <c r="AQ111" s="30"/>
      <c r="AR111" s="47"/>
      <c r="AS111" s="30"/>
      <c r="AT111" s="47"/>
      <c r="AU111" s="30"/>
      <c r="AW111" s="30"/>
      <c r="AZ111" s="30"/>
      <c r="BA111" s="30"/>
      <c r="BE111" s="30"/>
      <c r="BH111" s="30"/>
      <c r="BI111" s="30"/>
      <c r="BL111" s="30"/>
      <c r="BN111" s="30"/>
      <c r="BP111" s="30"/>
      <c r="BS111" s="30"/>
      <c r="BT111" s="30"/>
      <c r="BW111" s="30"/>
      <c r="BX111" s="30"/>
      <c r="BZ111" s="30"/>
      <c r="CC111" s="30"/>
      <c r="CD111" s="30"/>
      <c r="CG111" s="30"/>
      <c r="CK111" s="30"/>
      <c r="CN111" s="30"/>
      <c r="CQ111" s="30"/>
      <c r="CU111" s="30"/>
      <c r="CX111" s="30"/>
    </row>
    <row r="112" spans="1:102" s="63" customFormat="1" x14ac:dyDescent="0.3">
      <c r="A112" s="47"/>
      <c r="B112" s="68">
        <v>1</v>
      </c>
      <c r="C112" s="30" t="s">
        <v>104</v>
      </c>
      <c r="D112" s="65">
        <f>D110/D107</f>
        <v>2.3214285714285716</v>
      </c>
      <c r="E112" s="30" t="s">
        <v>105</v>
      </c>
      <c r="F112" s="47"/>
      <c r="G112" s="47"/>
      <c r="H112" s="30"/>
      <c r="I112" s="30"/>
      <c r="J112" s="30"/>
      <c r="K112" s="30"/>
      <c r="L112" s="65"/>
      <c r="M112" s="65"/>
      <c r="N112" s="30"/>
      <c r="O112" s="30"/>
      <c r="P112" s="30"/>
      <c r="Q112" s="30"/>
      <c r="S112" s="69"/>
      <c r="T112" s="30"/>
      <c r="U112" s="30"/>
      <c r="V112" s="69"/>
      <c r="W112" s="30"/>
      <c r="X112" s="69"/>
      <c r="Y112" s="69"/>
      <c r="Z112" s="47"/>
      <c r="AA112" s="47"/>
      <c r="AB112" s="30"/>
      <c r="AC112" s="30"/>
      <c r="AD112" s="47"/>
      <c r="AE112" s="70"/>
      <c r="AF112" s="30"/>
      <c r="AG112" s="30"/>
      <c r="AH112" s="70"/>
      <c r="AI112" s="30"/>
      <c r="AJ112" s="70"/>
      <c r="AK112" s="30"/>
      <c r="AL112" s="30"/>
      <c r="AM112" s="51"/>
      <c r="AN112" s="47"/>
      <c r="AO112" s="47"/>
      <c r="AP112" s="30"/>
      <c r="AQ112" s="30"/>
      <c r="AR112" s="47"/>
      <c r="AS112" s="30"/>
      <c r="AT112" s="47"/>
      <c r="AU112" s="30"/>
      <c r="AW112" s="30"/>
      <c r="AZ112" s="30"/>
      <c r="BA112" s="30"/>
      <c r="BE112" s="30"/>
      <c r="BH112" s="30"/>
      <c r="BI112" s="30"/>
      <c r="BL112" s="30"/>
      <c r="BN112" s="30"/>
      <c r="BP112" s="30"/>
      <c r="BS112" s="30"/>
      <c r="BT112" s="30"/>
      <c r="BW112" s="30"/>
      <c r="BX112" s="30"/>
      <c r="BZ112" s="30"/>
      <c r="CC112" s="30"/>
      <c r="CD112" s="30"/>
      <c r="CG112" s="30"/>
      <c r="CK112" s="30"/>
      <c r="CN112" s="30"/>
      <c r="CQ112" s="30"/>
      <c r="CU112" s="30"/>
      <c r="CX112" s="30"/>
    </row>
    <row r="113" spans="1:102" s="63" customFormat="1" x14ac:dyDescent="0.3">
      <c r="A113" s="47"/>
      <c r="B113" s="47"/>
      <c r="C113" s="47"/>
      <c r="D113" s="47"/>
      <c r="E113" s="47"/>
      <c r="F113" s="47"/>
      <c r="G113" s="47"/>
      <c r="H113" s="30"/>
      <c r="I113" s="30"/>
      <c r="J113" s="30"/>
      <c r="K113" s="47"/>
      <c r="L113" s="65"/>
      <c r="M113" s="65"/>
      <c r="N113" s="30"/>
      <c r="O113" s="30"/>
      <c r="P113" s="30"/>
      <c r="Q113" s="47"/>
      <c r="S113" s="69"/>
      <c r="T113" s="30"/>
      <c r="U113" s="47"/>
      <c r="V113" s="69"/>
      <c r="W113" s="30"/>
      <c r="X113" s="69"/>
      <c r="Y113" s="69"/>
      <c r="Z113" s="47"/>
      <c r="AA113" s="47"/>
      <c r="AB113" s="47"/>
      <c r="AC113" s="30"/>
      <c r="AD113" s="47"/>
      <c r="AE113" s="70"/>
      <c r="AF113" s="47"/>
      <c r="AG113" s="30"/>
      <c r="AH113" s="70"/>
      <c r="AI113" s="47"/>
      <c r="AJ113" s="70"/>
      <c r="AK113" s="30"/>
      <c r="AL113" s="47"/>
      <c r="AM113" s="51"/>
      <c r="AN113" s="47"/>
      <c r="AO113" s="47"/>
      <c r="AP113" s="47"/>
      <c r="AQ113" s="30"/>
      <c r="AR113" s="47"/>
      <c r="AS113" s="47"/>
      <c r="AT113" s="47"/>
      <c r="AU113" s="30"/>
      <c r="AW113" s="47"/>
      <c r="AZ113" s="30"/>
      <c r="BA113" s="47"/>
      <c r="BE113" s="47"/>
      <c r="BH113" s="30"/>
      <c r="BI113" s="47"/>
      <c r="BL113" s="47"/>
      <c r="BN113" s="30"/>
      <c r="BP113" s="47"/>
      <c r="BS113" s="47"/>
      <c r="BT113" s="30"/>
      <c r="BW113" s="47"/>
      <c r="BX113" s="30"/>
      <c r="BZ113" s="47"/>
      <c r="CC113" s="47"/>
      <c r="CD113" s="30"/>
      <c r="CG113" s="30"/>
      <c r="CK113" s="30"/>
      <c r="CN113" s="30"/>
      <c r="CQ113" s="30"/>
      <c r="CU113" s="30"/>
      <c r="CX113" s="30"/>
    </row>
    <row r="114" spans="1:102" s="63" customFormat="1" x14ac:dyDescent="0.3">
      <c r="A114" s="47" t="s">
        <v>110</v>
      </c>
      <c r="B114" s="47">
        <v>1</v>
      </c>
      <c r="C114" s="31" t="s">
        <v>43</v>
      </c>
      <c r="D114" s="47">
        <v>373.33</v>
      </c>
      <c r="E114" s="30" t="s">
        <v>100</v>
      </c>
      <c r="F114" s="48">
        <f>D114/D107</f>
        <v>3.3333035714285715</v>
      </c>
      <c r="G114" s="30" t="s">
        <v>105</v>
      </c>
      <c r="H114" s="30"/>
      <c r="I114" s="30"/>
      <c r="J114" s="30"/>
      <c r="K114" s="30"/>
      <c r="L114" s="65"/>
      <c r="M114" s="65"/>
      <c r="N114" s="30"/>
      <c r="O114" s="30"/>
      <c r="P114" s="30"/>
      <c r="Q114" s="30"/>
      <c r="S114" s="69"/>
      <c r="T114" s="30"/>
      <c r="U114" s="30"/>
      <c r="V114" s="69"/>
      <c r="W114" s="30"/>
      <c r="X114" s="69"/>
      <c r="Y114" s="69"/>
      <c r="Z114" s="47"/>
      <c r="AA114" s="47"/>
      <c r="AB114" s="30"/>
      <c r="AC114" s="30"/>
      <c r="AD114" s="47"/>
      <c r="AE114" s="70"/>
      <c r="AF114" s="30"/>
      <c r="AG114" s="30"/>
      <c r="AH114" s="70"/>
      <c r="AI114" s="30"/>
      <c r="AJ114" s="70"/>
      <c r="AK114" s="30"/>
      <c r="AL114" s="30"/>
      <c r="AM114" s="51"/>
      <c r="AN114" s="47"/>
      <c r="AO114" s="47"/>
      <c r="AP114" s="30"/>
      <c r="AQ114" s="30"/>
      <c r="AR114" s="47"/>
      <c r="AS114" s="30"/>
      <c r="AT114" s="47"/>
      <c r="AU114" s="30"/>
      <c r="AW114" s="30"/>
      <c r="AZ114" s="30"/>
      <c r="BA114" s="30"/>
      <c r="BE114" s="30"/>
      <c r="BH114" s="30"/>
      <c r="BI114" s="30"/>
      <c r="BL114" s="30"/>
      <c r="BN114" s="30"/>
      <c r="BP114" s="30"/>
      <c r="BS114" s="30"/>
      <c r="BT114" s="30"/>
      <c r="BW114" s="30"/>
      <c r="BX114" s="30"/>
      <c r="BZ114" s="30"/>
      <c r="CC114" s="30"/>
      <c r="CD114" s="30"/>
      <c r="CG114" s="30"/>
      <c r="CK114" s="30"/>
      <c r="CN114" s="30"/>
      <c r="CQ114" s="30"/>
      <c r="CU114" s="30"/>
      <c r="CX114" s="30"/>
    </row>
    <row r="115" spans="1:102" s="63" customFormat="1" x14ac:dyDescent="0.3">
      <c r="A115" s="47" t="s">
        <v>49</v>
      </c>
      <c r="B115" s="47">
        <v>1</v>
      </c>
      <c r="C115" s="31" t="s">
        <v>26</v>
      </c>
      <c r="D115" s="47">
        <v>0.5</v>
      </c>
      <c r="E115" s="30" t="s">
        <v>105</v>
      </c>
      <c r="F115" s="47"/>
      <c r="G115" s="47"/>
      <c r="H115" s="30"/>
      <c r="I115" s="30"/>
      <c r="J115" s="30"/>
      <c r="K115" s="30"/>
      <c r="L115" s="65"/>
      <c r="M115" s="65"/>
      <c r="N115" s="30"/>
      <c r="O115" s="30"/>
      <c r="P115" s="30"/>
      <c r="Q115" s="30"/>
      <c r="S115" s="69"/>
      <c r="T115" s="30"/>
      <c r="U115" s="30"/>
      <c r="V115" s="69"/>
      <c r="W115" s="30"/>
      <c r="X115" s="69"/>
      <c r="Y115" s="69"/>
      <c r="Z115" s="47"/>
      <c r="AA115" s="47"/>
      <c r="AB115" s="30"/>
      <c r="AC115" s="30"/>
      <c r="AD115" s="47"/>
      <c r="AE115" s="70"/>
      <c r="AF115" s="30"/>
      <c r="AG115" s="30"/>
      <c r="AH115" s="70"/>
      <c r="AI115" s="30"/>
      <c r="AJ115" s="70"/>
      <c r="AK115" s="30"/>
      <c r="AL115" s="30"/>
      <c r="AM115" s="51"/>
      <c r="AN115" s="47"/>
      <c r="AO115" s="47"/>
      <c r="AP115" s="30"/>
      <c r="AQ115" s="30"/>
      <c r="AR115" s="47"/>
      <c r="AS115" s="30"/>
      <c r="AT115" s="47"/>
      <c r="AU115" s="30"/>
      <c r="AW115" s="30"/>
      <c r="AZ115" s="30"/>
      <c r="BA115" s="30"/>
      <c r="BE115" s="30"/>
      <c r="BH115" s="30"/>
      <c r="BI115" s="30"/>
      <c r="BL115" s="30"/>
      <c r="BN115" s="30"/>
      <c r="BP115" s="30"/>
      <c r="BS115" s="30"/>
      <c r="BT115" s="30"/>
      <c r="BW115" s="30"/>
      <c r="BX115" s="30"/>
      <c r="BZ115" s="30"/>
      <c r="CC115" s="30"/>
      <c r="CD115" s="30"/>
      <c r="CG115" s="30"/>
      <c r="CK115" s="30"/>
      <c r="CN115" s="30"/>
      <c r="CQ115" s="30"/>
      <c r="CU115" s="30"/>
      <c r="CX115" s="30"/>
    </row>
    <row r="116" spans="1:102" s="63" customFormat="1" x14ac:dyDescent="0.3">
      <c r="A116" s="47" t="s">
        <v>8</v>
      </c>
      <c r="B116" s="47">
        <v>1</v>
      </c>
      <c r="C116" s="30" t="s">
        <v>111</v>
      </c>
      <c r="D116" s="65">
        <v>1.5</v>
      </c>
      <c r="E116" s="30" t="s">
        <v>105</v>
      </c>
      <c r="F116" s="50">
        <f>D116*D107</f>
        <v>168</v>
      </c>
      <c r="G116" s="49" t="s">
        <v>100</v>
      </c>
      <c r="H116" s="30"/>
      <c r="I116" s="30"/>
      <c r="J116" s="30"/>
      <c r="K116" s="30"/>
      <c r="L116" s="65"/>
      <c r="M116" s="65"/>
      <c r="N116" s="30"/>
      <c r="O116" s="30"/>
      <c r="P116" s="30"/>
      <c r="Q116" s="30"/>
      <c r="S116" s="69"/>
      <c r="T116" s="30"/>
      <c r="U116" s="30"/>
      <c r="V116" s="69"/>
      <c r="W116" s="30"/>
      <c r="X116" s="69"/>
      <c r="Y116" s="69"/>
      <c r="Z116" s="47"/>
      <c r="AA116" s="47"/>
      <c r="AB116" s="30"/>
      <c r="AC116" s="30"/>
      <c r="AD116" s="47"/>
      <c r="AE116" s="70"/>
      <c r="AF116" s="30"/>
      <c r="AG116" s="30"/>
      <c r="AH116" s="70"/>
      <c r="AI116" s="30"/>
      <c r="AJ116" s="70"/>
      <c r="AK116" s="30"/>
      <c r="AL116" s="30"/>
      <c r="AM116" s="51"/>
      <c r="AN116" s="47"/>
      <c r="AO116" s="47"/>
      <c r="AP116" s="30"/>
      <c r="AQ116" s="30"/>
      <c r="AR116" s="47"/>
      <c r="AS116" s="30"/>
      <c r="AT116" s="47"/>
      <c r="AU116" s="30"/>
      <c r="AW116" s="30"/>
      <c r="AZ116" s="30"/>
      <c r="BA116" s="30"/>
      <c r="BE116" s="30"/>
      <c r="BH116" s="30"/>
      <c r="BI116" s="30"/>
      <c r="BL116" s="30"/>
      <c r="BN116" s="30"/>
      <c r="BP116" s="30"/>
      <c r="BS116" s="30"/>
      <c r="BT116" s="30"/>
      <c r="BW116" s="30"/>
      <c r="BX116" s="30"/>
      <c r="BZ116" s="30"/>
      <c r="CC116" s="30"/>
      <c r="CD116" s="30"/>
      <c r="CG116" s="30"/>
      <c r="CK116" s="30"/>
      <c r="CN116" s="30"/>
      <c r="CQ116" s="30"/>
      <c r="CU116" s="30"/>
      <c r="CX116" s="30"/>
    </row>
    <row r="117" spans="1:102" s="63" customFormat="1" x14ac:dyDescent="0.3">
      <c r="A117" s="47" t="s">
        <v>60</v>
      </c>
      <c r="B117" s="47">
        <v>1</v>
      </c>
      <c r="C117" s="30" t="s">
        <v>111</v>
      </c>
      <c r="D117" s="65">
        <v>1.75</v>
      </c>
      <c r="E117" s="30" t="s">
        <v>105</v>
      </c>
      <c r="G117" s="30"/>
      <c r="H117" s="30"/>
      <c r="I117" s="30"/>
      <c r="J117" s="30"/>
      <c r="K117" s="30"/>
      <c r="L117" s="65"/>
      <c r="M117" s="65"/>
      <c r="N117" s="30"/>
      <c r="O117" s="30"/>
      <c r="P117" s="30"/>
      <c r="Q117" s="30"/>
      <c r="S117" s="69"/>
      <c r="T117" s="30"/>
      <c r="U117" s="30"/>
      <c r="V117" s="69"/>
      <c r="W117" s="30"/>
      <c r="X117" s="69"/>
      <c r="Y117" s="69"/>
      <c r="Z117" s="47"/>
      <c r="AA117" s="47"/>
      <c r="AB117" s="30"/>
      <c r="AC117" s="30"/>
      <c r="AD117" s="47"/>
      <c r="AE117" s="70"/>
      <c r="AF117" s="30"/>
      <c r="AG117" s="30"/>
      <c r="AH117" s="70"/>
      <c r="AI117" s="30"/>
      <c r="AJ117" s="70"/>
      <c r="AK117" s="30"/>
      <c r="AL117" s="30"/>
      <c r="AM117" s="51"/>
      <c r="AN117" s="47"/>
      <c r="AO117" s="47"/>
      <c r="AP117" s="30"/>
      <c r="AQ117" s="30"/>
      <c r="AR117" s="47"/>
      <c r="AS117" s="30"/>
      <c r="AT117" s="47"/>
      <c r="AU117" s="30"/>
      <c r="AW117" s="30"/>
      <c r="AZ117" s="30"/>
      <c r="BA117" s="30"/>
      <c r="BE117" s="30"/>
      <c r="BH117" s="30"/>
      <c r="BI117" s="30"/>
      <c r="BL117" s="30"/>
      <c r="BN117" s="30"/>
      <c r="BP117" s="30"/>
      <c r="BS117" s="30"/>
      <c r="BT117" s="30"/>
      <c r="BW117" s="30"/>
      <c r="BX117" s="30"/>
      <c r="BZ117" s="30"/>
      <c r="CC117" s="30"/>
      <c r="CD117" s="30"/>
      <c r="CG117" s="30"/>
      <c r="CK117" s="30"/>
      <c r="CN117" s="30"/>
      <c r="CQ117" s="30"/>
      <c r="CU117" s="30"/>
      <c r="CX117" s="30"/>
    </row>
    <row r="118" spans="1:102" s="63" customFormat="1" x14ac:dyDescent="0.3">
      <c r="A118" s="47" t="s">
        <v>112</v>
      </c>
      <c r="B118" s="47">
        <v>1</v>
      </c>
      <c r="C118" s="30" t="s">
        <v>111</v>
      </c>
      <c r="D118" s="65">
        <v>1.5</v>
      </c>
      <c r="E118" s="30" t="s">
        <v>105</v>
      </c>
      <c r="G118" s="30"/>
      <c r="H118" s="30"/>
      <c r="I118" s="30"/>
      <c r="J118" s="30"/>
      <c r="K118" s="30"/>
      <c r="L118" s="65"/>
      <c r="M118" s="65"/>
      <c r="N118" s="30"/>
      <c r="O118" s="30"/>
      <c r="P118" s="30"/>
      <c r="Q118" s="30"/>
      <c r="S118" s="69"/>
      <c r="T118" s="30"/>
      <c r="U118" s="30"/>
      <c r="V118" s="69"/>
      <c r="W118" s="30"/>
      <c r="X118" s="69"/>
      <c r="Y118" s="69"/>
      <c r="Z118" s="47"/>
      <c r="AA118" s="47"/>
      <c r="AB118" s="30"/>
      <c r="AC118" s="30"/>
      <c r="AD118" s="47"/>
      <c r="AE118" s="70"/>
      <c r="AF118" s="30"/>
      <c r="AG118" s="30"/>
      <c r="AH118" s="70"/>
      <c r="AI118" s="30"/>
      <c r="AJ118" s="70"/>
      <c r="AK118" s="30"/>
      <c r="AL118" s="30"/>
      <c r="AM118" s="51"/>
      <c r="AN118" s="47"/>
      <c r="AO118" s="47"/>
      <c r="AP118" s="30"/>
      <c r="AQ118" s="30"/>
      <c r="AR118" s="47"/>
      <c r="AS118" s="30"/>
      <c r="AT118" s="47"/>
      <c r="AU118" s="30"/>
      <c r="AW118" s="30"/>
      <c r="AZ118" s="30"/>
      <c r="BA118" s="30"/>
      <c r="BE118" s="30"/>
      <c r="BH118" s="30"/>
      <c r="BI118" s="30"/>
      <c r="BL118" s="30"/>
      <c r="BN118" s="30"/>
      <c r="BP118" s="30"/>
      <c r="BS118" s="30"/>
      <c r="BT118" s="30"/>
      <c r="BW118" s="30"/>
      <c r="BX118" s="30"/>
      <c r="BZ118" s="30"/>
      <c r="CC118" s="30"/>
      <c r="CD118" s="30"/>
      <c r="CG118" s="30"/>
      <c r="CK118" s="30"/>
      <c r="CN118" s="30"/>
      <c r="CQ118" s="30"/>
      <c r="CU118" s="30"/>
      <c r="CX118" s="30"/>
    </row>
    <row r="119" spans="1:102" s="63" customFormat="1" x14ac:dyDescent="0.3">
      <c r="A119" s="47" t="s">
        <v>44</v>
      </c>
      <c r="B119" s="47">
        <v>1</v>
      </c>
      <c r="C119" s="30" t="s">
        <v>43</v>
      </c>
      <c r="D119" s="65">
        <v>1.26</v>
      </c>
      <c r="E119" s="30" t="s">
        <v>105</v>
      </c>
      <c r="G119" s="30"/>
      <c r="H119" s="30"/>
      <c r="I119" s="30"/>
      <c r="J119" s="30"/>
      <c r="K119" s="30"/>
      <c r="L119" s="65"/>
      <c r="M119" s="65"/>
      <c r="N119" s="30"/>
      <c r="O119" s="30"/>
      <c r="P119" s="30"/>
      <c r="Q119" s="30"/>
      <c r="S119" s="69"/>
      <c r="T119" s="30"/>
      <c r="U119" s="30"/>
      <c r="V119" s="69"/>
      <c r="W119" s="30"/>
      <c r="X119" s="69"/>
      <c r="Y119" s="69"/>
      <c r="Z119" s="47"/>
      <c r="AA119" s="47"/>
      <c r="AB119" s="30"/>
      <c r="AC119" s="30"/>
      <c r="AD119" s="47"/>
      <c r="AE119" s="70"/>
      <c r="AF119" s="30"/>
      <c r="AG119" s="30"/>
      <c r="AH119" s="70"/>
      <c r="AI119" s="30"/>
      <c r="AJ119" s="70"/>
      <c r="AK119" s="30"/>
      <c r="AL119" s="30"/>
      <c r="AM119" s="51"/>
      <c r="AN119" s="47"/>
      <c r="AO119" s="47"/>
      <c r="AP119" s="30"/>
      <c r="AQ119" s="30"/>
      <c r="AR119" s="47"/>
      <c r="AS119" s="30"/>
      <c r="AT119" s="47"/>
      <c r="AU119" s="30"/>
      <c r="AW119" s="30"/>
      <c r="AZ119" s="30"/>
      <c r="BA119" s="30"/>
      <c r="BE119" s="30"/>
      <c r="BH119" s="30"/>
      <c r="BI119" s="30"/>
      <c r="BL119" s="30"/>
      <c r="BN119" s="30"/>
      <c r="BP119" s="30"/>
      <c r="BS119" s="30"/>
      <c r="BT119" s="30"/>
      <c r="BW119" s="30"/>
      <c r="BX119" s="30"/>
      <c r="BZ119" s="30"/>
      <c r="CC119" s="30"/>
      <c r="CD119" s="30"/>
      <c r="CG119" s="30"/>
      <c r="CK119" s="30"/>
      <c r="CN119" s="30"/>
      <c r="CQ119" s="30"/>
      <c r="CU119" s="30"/>
      <c r="CX119" s="30"/>
    </row>
    <row r="120" spans="1:102" s="63" customFormat="1" x14ac:dyDescent="0.3">
      <c r="A120" s="47" t="s">
        <v>58</v>
      </c>
      <c r="B120" s="47">
        <v>1</v>
      </c>
      <c r="C120" s="30" t="s">
        <v>113</v>
      </c>
      <c r="D120" s="65">
        <v>15.9</v>
      </c>
      <c r="E120" s="30" t="s">
        <v>105</v>
      </c>
      <c r="G120" s="30"/>
      <c r="H120" s="30"/>
      <c r="I120" s="30"/>
      <c r="J120" s="30"/>
      <c r="K120" s="30"/>
      <c r="L120" s="65"/>
      <c r="M120" s="65"/>
      <c r="N120" s="30"/>
      <c r="O120" s="30"/>
      <c r="P120" s="30"/>
      <c r="Q120" s="30"/>
      <c r="S120" s="69"/>
      <c r="T120" s="30"/>
      <c r="U120" s="30"/>
      <c r="V120" s="69"/>
      <c r="W120" s="30"/>
      <c r="X120" s="69"/>
      <c r="Y120" s="69"/>
      <c r="Z120" s="47"/>
      <c r="AA120" s="47"/>
      <c r="AB120" s="30"/>
      <c r="AC120" s="30"/>
      <c r="AD120" s="47"/>
      <c r="AE120" s="70"/>
      <c r="AF120" s="30"/>
      <c r="AG120" s="30"/>
      <c r="AH120" s="70"/>
      <c r="AI120" s="30"/>
      <c r="AJ120" s="70"/>
      <c r="AK120" s="30"/>
      <c r="AL120" s="30"/>
      <c r="AM120" s="51"/>
      <c r="AN120" s="47"/>
      <c r="AO120" s="47"/>
      <c r="AP120" s="30"/>
      <c r="AQ120" s="30"/>
      <c r="AR120" s="47"/>
      <c r="AS120" s="30"/>
      <c r="AT120" s="47"/>
      <c r="AU120" s="30"/>
      <c r="AW120" s="30"/>
      <c r="AZ120" s="30"/>
      <c r="BA120" s="30"/>
      <c r="BE120" s="30"/>
      <c r="BH120" s="30"/>
      <c r="BI120" s="30"/>
      <c r="BL120" s="30"/>
      <c r="BN120" s="30"/>
      <c r="BP120" s="30"/>
      <c r="BS120" s="30"/>
      <c r="BT120" s="30"/>
      <c r="BW120" s="30"/>
      <c r="BX120" s="30"/>
      <c r="BZ120" s="30"/>
      <c r="CC120" s="30"/>
      <c r="CD120" s="30"/>
      <c r="CG120" s="30"/>
      <c r="CK120" s="30"/>
      <c r="CN120" s="30"/>
      <c r="CQ120" s="30"/>
      <c r="CU120" s="30"/>
      <c r="CX120" s="30"/>
    </row>
    <row r="121" spans="1:102" s="63" customFormat="1" x14ac:dyDescent="0.3">
      <c r="A121" s="47" t="s">
        <v>40</v>
      </c>
      <c r="B121" s="47">
        <v>1</v>
      </c>
      <c r="C121" s="30" t="s">
        <v>46</v>
      </c>
      <c r="D121" s="65">
        <f>439.681/D107</f>
        <v>3.9257232142857141</v>
      </c>
      <c r="E121" s="30" t="s">
        <v>105</v>
      </c>
      <c r="G121" s="30"/>
      <c r="I121" s="30"/>
      <c r="J121" s="30"/>
      <c r="K121" s="30"/>
      <c r="L121" s="65"/>
      <c r="M121" s="65"/>
      <c r="N121" s="30"/>
      <c r="O121" s="30"/>
      <c r="P121" s="30"/>
      <c r="Q121" s="30"/>
      <c r="S121" s="69"/>
      <c r="T121" s="30"/>
      <c r="U121" s="30"/>
      <c r="V121" s="69"/>
      <c r="W121" s="30"/>
      <c r="X121" s="69"/>
      <c r="Y121" s="69"/>
      <c r="Z121" s="47"/>
      <c r="AA121" s="47"/>
      <c r="AB121" s="30"/>
      <c r="AC121" s="30"/>
      <c r="AD121" s="47"/>
      <c r="AE121" s="70"/>
      <c r="AF121" s="30"/>
      <c r="AG121" s="30"/>
      <c r="AH121" s="70"/>
      <c r="AI121" s="30"/>
      <c r="AJ121" s="70"/>
      <c r="AK121" s="30"/>
      <c r="AL121" s="30"/>
      <c r="AM121" s="51"/>
      <c r="AN121" s="47"/>
      <c r="AO121" s="47"/>
      <c r="AP121" s="30"/>
      <c r="AQ121" s="30"/>
      <c r="AR121" s="47"/>
      <c r="AS121" s="30"/>
      <c r="AT121" s="47"/>
      <c r="AU121" s="30"/>
      <c r="AW121" s="30"/>
      <c r="AZ121" s="30"/>
      <c r="BA121" s="30"/>
      <c r="BE121" s="30"/>
      <c r="BH121" s="30"/>
      <c r="BI121" s="30"/>
      <c r="BL121" s="30"/>
      <c r="BN121" s="30"/>
      <c r="BP121" s="30"/>
      <c r="BS121" s="30"/>
      <c r="BT121" s="30"/>
      <c r="BW121" s="30"/>
      <c r="BX121" s="30"/>
      <c r="BZ121" s="30"/>
      <c r="CC121" s="30"/>
      <c r="CD121" s="30"/>
      <c r="CG121" s="30"/>
      <c r="CK121" s="30"/>
      <c r="CN121" s="30"/>
      <c r="CQ121" s="30"/>
      <c r="CU121" s="30"/>
      <c r="CX121" s="30"/>
    </row>
    <row r="122" spans="1:102" s="63" customFormat="1" x14ac:dyDescent="0.3">
      <c r="A122" s="107" t="s">
        <v>51</v>
      </c>
      <c r="B122" s="47">
        <v>1</v>
      </c>
      <c r="C122" s="30" t="s">
        <v>46</v>
      </c>
      <c r="D122" s="65">
        <v>3</v>
      </c>
      <c r="E122" s="30" t="s">
        <v>105</v>
      </c>
      <c r="G122" s="30"/>
      <c r="I122" s="30"/>
      <c r="J122" s="30"/>
      <c r="K122" s="30"/>
      <c r="O122" s="30"/>
      <c r="P122" s="30"/>
      <c r="Q122" s="30"/>
      <c r="S122" s="69"/>
      <c r="T122" s="30"/>
      <c r="U122" s="30"/>
      <c r="V122" s="69"/>
      <c r="W122" s="30"/>
      <c r="X122" s="69"/>
      <c r="Y122" s="69"/>
      <c r="Z122" s="51"/>
      <c r="AA122" s="51"/>
      <c r="AB122" s="30"/>
      <c r="AC122" s="30"/>
      <c r="AD122" s="51"/>
      <c r="AE122" s="70"/>
      <c r="AF122" s="30"/>
      <c r="AG122" s="30"/>
      <c r="AH122" s="70"/>
      <c r="AI122" s="30"/>
      <c r="AJ122" s="70"/>
      <c r="AK122" s="30"/>
      <c r="AL122" s="30"/>
      <c r="AM122" s="51"/>
      <c r="AN122" s="47"/>
      <c r="AO122" s="47"/>
      <c r="AP122" s="30"/>
      <c r="AQ122" s="30"/>
      <c r="AR122" s="47"/>
      <c r="AS122" s="30"/>
      <c r="AT122" s="47"/>
      <c r="AU122" s="30"/>
      <c r="AW122" s="30"/>
      <c r="AZ122" s="30"/>
      <c r="BA122" s="30"/>
      <c r="BE122" s="30"/>
      <c r="BH122" s="30"/>
      <c r="BI122" s="30"/>
      <c r="BL122" s="30"/>
      <c r="BN122" s="30"/>
      <c r="BP122" s="30"/>
      <c r="BS122" s="30"/>
      <c r="BT122" s="30"/>
      <c r="BW122" s="30"/>
      <c r="BX122" s="30"/>
      <c r="BZ122" s="30"/>
      <c r="CC122" s="30"/>
      <c r="CD122" s="30"/>
      <c r="CG122" s="30"/>
      <c r="CK122" s="30"/>
      <c r="CN122" s="30"/>
      <c r="CQ122" s="30"/>
      <c r="CU122" s="30"/>
      <c r="CX122" s="30"/>
    </row>
    <row r="123" spans="1:102" s="63" customFormat="1" x14ac:dyDescent="0.3">
      <c r="A123" s="107"/>
      <c r="B123" s="47">
        <v>1</v>
      </c>
      <c r="C123" s="30" t="s">
        <v>125</v>
      </c>
      <c r="D123" s="65">
        <v>2.0271699999999999</v>
      </c>
      <c r="E123" s="30" t="s">
        <v>32</v>
      </c>
      <c r="F123" s="65">
        <f>D123*D122</f>
        <v>6.0815099999999997</v>
      </c>
      <c r="G123" s="30" t="s">
        <v>105</v>
      </c>
      <c r="I123" s="30"/>
      <c r="J123" s="30"/>
      <c r="K123" s="30"/>
      <c r="O123" s="30"/>
      <c r="P123" s="30"/>
      <c r="Q123" s="30"/>
      <c r="S123" s="69"/>
      <c r="T123" s="30"/>
      <c r="U123" s="30"/>
      <c r="V123" s="69"/>
      <c r="W123" s="30"/>
      <c r="X123" s="69"/>
      <c r="Y123" s="69"/>
      <c r="Z123" s="51"/>
      <c r="AA123" s="51"/>
      <c r="AB123" s="30"/>
      <c r="AC123" s="30"/>
      <c r="AD123" s="51"/>
      <c r="AE123" s="70"/>
      <c r="AF123" s="30"/>
      <c r="AG123" s="30"/>
      <c r="AH123" s="70"/>
      <c r="AI123" s="30"/>
      <c r="AJ123" s="70"/>
      <c r="AK123" s="30"/>
      <c r="AL123" s="30"/>
      <c r="AM123" s="51"/>
      <c r="AN123" s="47"/>
      <c r="AO123" s="47"/>
      <c r="AP123" s="30"/>
      <c r="AQ123" s="30"/>
      <c r="AR123" s="47"/>
      <c r="AS123" s="30"/>
      <c r="AT123" s="47"/>
      <c r="AU123" s="30"/>
      <c r="AW123" s="30"/>
      <c r="AZ123" s="30"/>
      <c r="BA123" s="30"/>
      <c r="BE123" s="30"/>
      <c r="BH123" s="30"/>
      <c r="BI123" s="30"/>
      <c r="BL123" s="30"/>
      <c r="BN123" s="30"/>
      <c r="BP123" s="30"/>
      <c r="BS123" s="30"/>
      <c r="BT123" s="30"/>
      <c r="BW123" s="30"/>
      <c r="BX123" s="30"/>
      <c r="BZ123" s="30"/>
      <c r="CC123" s="30"/>
      <c r="CD123" s="30"/>
      <c r="CG123" s="30"/>
      <c r="CK123" s="30"/>
      <c r="CN123" s="30"/>
      <c r="CQ123" s="30"/>
      <c r="CU123" s="30"/>
      <c r="CX123" s="30"/>
    </row>
    <row r="124" spans="1:102" s="63" customFormat="1" x14ac:dyDescent="0.3">
      <c r="A124" s="72" t="s">
        <v>92</v>
      </c>
      <c r="B124" s="47">
        <v>1</v>
      </c>
      <c r="C124" s="30" t="s">
        <v>43</v>
      </c>
      <c r="D124" s="65">
        <v>400</v>
      </c>
      <c r="E124" s="30" t="s">
        <v>56</v>
      </c>
      <c r="F124" s="65">
        <f>D124/D107</f>
        <v>3.5714285714285716</v>
      </c>
      <c r="G124" s="30" t="s">
        <v>105</v>
      </c>
      <c r="H124" s="65">
        <f>F124/D125</f>
        <v>1.1984659635666348</v>
      </c>
      <c r="I124" s="30" t="s">
        <v>32</v>
      </c>
      <c r="J124" s="30"/>
      <c r="K124" s="30"/>
      <c r="O124" s="30"/>
      <c r="P124" s="30"/>
      <c r="Q124" s="30"/>
      <c r="S124" s="69"/>
      <c r="T124" s="30"/>
      <c r="U124" s="30"/>
      <c r="V124" s="69"/>
      <c r="W124" s="30"/>
      <c r="X124" s="69"/>
      <c r="Y124" s="69"/>
      <c r="Z124" s="51"/>
      <c r="AA124" s="51"/>
      <c r="AB124" s="30"/>
      <c r="AC124" s="30"/>
      <c r="AD124" s="51"/>
      <c r="AE124" s="70"/>
      <c r="AF124" s="30"/>
      <c r="AG124" s="30"/>
      <c r="AH124" s="70"/>
      <c r="AI124" s="30"/>
      <c r="AJ124" s="70"/>
      <c r="AK124" s="30"/>
      <c r="AL124" s="30"/>
      <c r="AM124" s="51"/>
      <c r="AN124" s="47"/>
      <c r="AO124" s="47"/>
      <c r="AP124" s="30"/>
      <c r="AQ124" s="30"/>
      <c r="AR124" s="47"/>
      <c r="AS124" s="30"/>
      <c r="AT124" s="47"/>
      <c r="AU124" s="30"/>
      <c r="AW124" s="30"/>
      <c r="AZ124" s="30"/>
      <c r="BA124" s="30"/>
      <c r="BE124" s="30"/>
      <c r="BH124" s="30"/>
      <c r="BI124" s="30"/>
      <c r="BL124" s="30"/>
      <c r="BN124" s="30"/>
      <c r="BP124" s="30"/>
      <c r="BS124" s="30"/>
      <c r="BT124" s="30"/>
      <c r="BW124" s="30"/>
      <c r="BX124" s="30"/>
      <c r="BZ124" s="30"/>
      <c r="CC124" s="30"/>
      <c r="CD124" s="30"/>
      <c r="CG124" s="30"/>
      <c r="CK124" s="30"/>
      <c r="CN124" s="30"/>
      <c r="CQ124" s="30"/>
      <c r="CU124" s="30"/>
      <c r="CX124" s="30"/>
    </row>
    <row r="125" spans="1:102" s="63" customFormat="1" x14ac:dyDescent="0.3">
      <c r="A125" s="107" t="s">
        <v>34</v>
      </c>
      <c r="B125" s="47">
        <v>1</v>
      </c>
      <c r="C125" s="30" t="s">
        <v>46</v>
      </c>
      <c r="D125" s="65">
        <v>2.98</v>
      </c>
      <c r="E125" s="30" t="s">
        <v>105</v>
      </c>
      <c r="G125" s="30"/>
      <c r="I125" s="30"/>
      <c r="J125" s="30"/>
      <c r="K125" s="30"/>
      <c r="O125" s="30"/>
      <c r="P125" s="30"/>
      <c r="Q125" s="30"/>
      <c r="S125" s="69"/>
      <c r="T125" s="30"/>
      <c r="U125" s="30"/>
      <c r="V125" s="69"/>
      <c r="W125" s="30"/>
      <c r="X125" s="69"/>
      <c r="Y125" s="69"/>
      <c r="Z125" s="51"/>
      <c r="AA125" s="51"/>
      <c r="AB125" s="30"/>
      <c r="AC125" s="30"/>
      <c r="AD125" s="51"/>
      <c r="AE125" s="70"/>
      <c r="AF125" s="30"/>
      <c r="AG125" s="30"/>
      <c r="AH125" s="70"/>
      <c r="AI125" s="30"/>
      <c r="AJ125" s="70"/>
      <c r="AK125" s="30"/>
      <c r="AL125" s="30"/>
      <c r="AM125" s="51"/>
      <c r="AN125" s="47"/>
      <c r="AO125" s="47"/>
      <c r="AP125" s="30"/>
      <c r="AQ125" s="30"/>
      <c r="AR125" s="47"/>
      <c r="AS125" s="30"/>
      <c r="AT125" s="47"/>
      <c r="AU125" s="30"/>
      <c r="AW125" s="30"/>
      <c r="AZ125" s="30"/>
      <c r="BA125" s="30"/>
      <c r="BE125" s="30"/>
      <c r="BH125" s="30"/>
      <c r="BI125" s="30"/>
      <c r="BL125" s="30"/>
      <c r="BN125" s="30"/>
      <c r="BP125" s="30"/>
      <c r="BS125" s="30"/>
      <c r="BT125" s="30"/>
      <c r="BW125" s="30"/>
      <c r="BX125" s="30"/>
      <c r="BZ125" s="30"/>
      <c r="CC125" s="30"/>
      <c r="CD125" s="30"/>
      <c r="CG125" s="30"/>
      <c r="CK125" s="30"/>
      <c r="CN125" s="30"/>
      <c r="CQ125" s="30"/>
      <c r="CU125" s="30"/>
      <c r="CX125" s="30"/>
    </row>
    <row r="126" spans="1:102" s="63" customFormat="1" x14ac:dyDescent="0.3">
      <c r="A126" s="107"/>
      <c r="B126" s="47">
        <v>1</v>
      </c>
      <c r="C126" s="30" t="s">
        <v>43</v>
      </c>
      <c r="D126" s="65">
        <v>1.5</v>
      </c>
      <c r="E126" s="30" t="s">
        <v>32</v>
      </c>
      <c r="F126" s="63">
        <f>D126*D125</f>
        <v>4.47</v>
      </c>
      <c r="G126" s="30" t="s">
        <v>105</v>
      </c>
      <c r="I126" s="30"/>
      <c r="J126" s="30"/>
      <c r="K126" s="30"/>
      <c r="O126" s="30"/>
      <c r="P126" s="30"/>
      <c r="Q126" s="30"/>
      <c r="S126" s="69"/>
      <c r="T126" s="30"/>
      <c r="U126" s="30"/>
      <c r="V126" s="69"/>
      <c r="W126" s="30"/>
      <c r="X126" s="69"/>
      <c r="Y126" s="69"/>
      <c r="Z126" s="51"/>
      <c r="AA126" s="51"/>
      <c r="AB126" s="30"/>
      <c r="AC126" s="30"/>
      <c r="AD126" s="51"/>
      <c r="AE126" s="70"/>
      <c r="AF126" s="30"/>
      <c r="AG126" s="30"/>
      <c r="AH126" s="70"/>
      <c r="AI126" s="30"/>
      <c r="AJ126" s="70"/>
      <c r="AK126" s="30"/>
      <c r="AL126" s="30"/>
      <c r="AM126" s="51"/>
      <c r="AN126" s="47"/>
      <c r="AO126" s="47"/>
      <c r="AP126" s="30"/>
      <c r="AQ126" s="30"/>
      <c r="AR126" s="47"/>
      <c r="AS126" s="30"/>
      <c r="AT126" s="47"/>
      <c r="AU126" s="30"/>
      <c r="AW126" s="30"/>
      <c r="AZ126" s="30"/>
      <c r="BA126" s="30"/>
      <c r="BE126" s="30"/>
      <c r="BH126" s="30"/>
      <c r="BI126" s="30"/>
      <c r="BL126" s="30"/>
      <c r="BN126" s="30"/>
      <c r="BP126" s="30"/>
      <c r="BS126" s="30"/>
      <c r="BT126" s="30"/>
      <c r="BW126" s="30"/>
      <c r="BX126" s="30"/>
      <c r="BZ126" s="30"/>
      <c r="CC126" s="30"/>
      <c r="CD126" s="30"/>
      <c r="CG126" s="30"/>
      <c r="CK126" s="30"/>
      <c r="CN126" s="30"/>
      <c r="CQ126" s="30"/>
      <c r="CU126" s="30"/>
      <c r="CX126" s="30"/>
    </row>
    <row r="127" spans="1:102" s="63" customFormat="1" x14ac:dyDescent="0.3">
      <c r="A127" s="47" t="s">
        <v>89</v>
      </c>
      <c r="B127" s="47">
        <v>1</v>
      </c>
      <c r="C127" s="30" t="s">
        <v>114</v>
      </c>
      <c r="D127" s="65">
        <v>9</v>
      </c>
      <c r="E127" s="30" t="s">
        <v>18</v>
      </c>
      <c r="G127" s="30"/>
      <c r="I127" s="30"/>
      <c r="J127" s="30"/>
      <c r="K127" s="30"/>
      <c r="O127" s="30"/>
      <c r="P127" s="30"/>
      <c r="Q127" s="30"/>
      <c r="S127" s="69"/>
      <c r="T127" s="30"/>
      <c r="U127" s="30"/>
      <c r="V127" s="69"/>
      <c r="W127" s="30"/>
      <c r="X127" s="69"/>
      <c r="Y127" s="69"/>
      <c r="Z127" s="51"/>
      <c r="AA127" s="51"/>
      <c r="AB127" s="30"/>
      <c r="AC127" s="30"/>
      <c r="AD127" s="51"/>
      <c r="AE127" s="70"/>
      <c r="AF127" s="30"/>
      <c r="AG127" s="30"/>
      <c r="AH127" s="70"/>
      <c r="AI127" s="30"/>
      <c r="AJ127" s="70"/>
      <c r="AK127" s="30"/>
      <c r="AL127" s="30"/>
      <c r="AM127" s="51"/>
      <c r="AN127" s="47"/>
      <c r="AO127" s="47"/>
      <c r="AP127" s="30"/>
      <c r="AQ127" s="30"/>
      <c r="AR127" s="47"/>
      <c r="AS127" s="30"/>
      <c r="AT127" s="47"/>
      <c r="AU127" s="30"/>
      <c r="AW127" s="30"/>
      <c r="AZ127" s="30"/>
      <c r="BA127" s="30"/>
      <c r="BE127" s="30"/>
      <c r="BH127" s="30"/>
      <c r="BI127" s="30"/>
      <c r="BL127" s="30"/>
      <c r="BN127" s="30"/>
      <c r="BP127" s="30"/>
      <c r="BS127" s="30"/>
      <c r="BT127" s="30"/>
      <c r="BW127" s="30"/>
      <c r="BX127" s="30"/>
      <c r="BZ127" s="30"/>
      <c r="CC127" s="30"/>
      <c r="CD127" s="30"/>
      <c r="CG127" s="30"/>
      <c r="CK127" s="30"/>
      <c r="CN127" s="30"/>
      <c r="CQ127" s="30"/>
      <c r="CU127" s="30"/>
      <c r="CX127" s="30"/>
    </row>
    <row r="128" spans="1:102" s="63" customFormat="1" x14ac:dyDescent="0.3">
      <c r="A128" s="47" t="s">
        <v>115</v>
      </c>
      <c r="B128" s="47">
        <v>1</v>
      </c>
      <c r="C128" s="30" t="s">
        <v>116</v>
      </c>
      <c r="D128" s="65">
        <v>9</v>
      </c>
      <c r="E128" s="30" t="s">
        <v>18</v>
      </c>
      <c r="G128" s="30"/>
      <c r="I128" s="30"/>
      <c r="J128" s="30"/>
      <c r="K128" s="30"/>
      <c r="O128" s="30"/>
      <c r="P128" s="30"/>
      <c r="Q128" s="30"/>
      <c r="S128" s="69"/>
      <c r="T128" s="30"/>
      <c r="U128" s="30"/>
      <c r="V128" s="69"/>
      <c r="W128" s="30"/>
      <c r="X128" s="69"/>
      <c r="Y128" s="69"/>
      <c r="Z128" s="51"/>
      <c r="AA128" s="51"/>
      <c r="AB128" s="30"/>
      <c r="AC128" s="30"/>
      <c r="AD128" s="51"/>
      <c r="AE128" s="70"/>
      <c r="AF128" s="30"/>
      <c r="AG128" s="30"/>
      <c r="AH128" s="70"/>
      <c r="AI128" s="30"/>
      <c r="AJ128" s="70"/>
      <c r="AK128" s="30"/>
      <c r="AL128" s="30"/>
      <c r="AM128" s="51"/>
      <c r="AN128" s="47"/>
      <c r="AO128" s="47"/>
      <c r="AP128" s="30"/>
      <c r="AQ128" s="30"/>
      <c r="AR128" s="47"/>
      <c r="AS128" s="30"/>
      <c r="AT128" s="47"/>
      <c r="AU128" s="30"/>
      <c r="AW128" s="30"/>
      <c r="AZ128" s="30"/>
      <c r="BA128" s="30"/>
      <c r="BE128" s="30"/>
      <c r="BH128" s="30"/>
      <c r="BI128" s="30"/>
      <c r="BL128" s="30"/>
      <c r="BN128" s="30"/>
      <c r="BP128" s="30"/>
      <c r="BS128" s="30"/>
      <c r="BT128" s="30"/>
      <c r="BW128" s="30"/>
      <c r="BX128" s="30"/>
      <c r="BZ128" s="30"/>
      <c r="CC128" s="30"/>
      <c r="CD128" s="30"/>
      <c r="CG128" s="30"/>
      <c r="CK128" s="30"/>
      <c r="CN128" s="30"/>
      <c r="CQ128" s="30"/>
      <c r="CU128" s="30"/>
      <c r="CX128" s="30"/>
    </row>
    <row r="129" spans="1:102" s="63" customFormat="1" x14ac:dyDescent="0.3">
      <c r="A129" s="47" t="s">
        <v>10</v>
      </c>
      <c r="B129" s="47">
        <v>1</v>
      </c>
      <c r="C129" s="30" t="s">
        <v>111</v>
      </c>
      <c r="D129" s="65">
        <v>1.75</v>
      </c>
      <c r="E129" s="30" t="s">
        <v>105</v>
      </c>
      <c r="F129" s="63">
        <f>D129*D107</f>
        <v>196</v>
      </c>
      <c r="G129" s="30" t="s">
        <v>100</v>
      </c>
      <c r="I129" s="30"/>
      <c r="J129" s="30"/>
      <c r="K129" s="30"/>
      <c r="O129" s="30"/>
      <c r="P129" s="30"/>
      <c r="Q129" s="30"/>
      <c r="S129" s="69"/>
      <c r="T129" s="30"/>
      <c r="U129" s="30"/>
      <c r="V129" s="69"/>
      <c r="W129" s="30"/>
      <c r="X129" s="69"/>
      <c r="Y129" s="69"/>
      <c r="Z129" s="51"/>
      <c r="AA129" s="51"/>
      <c r="AB129" s="30"/>
      <c r="AC129" s="30"/>
      <c r="AD129" s="51"/>
      <c r="AE129" s="70"/>
      <c r="AF129" s="30"/>
      <c r="AG129" s="30"/>
      <c r="AH129" s="70"/>
      <c r="AI129" s="30"/>
      <c r="AJ129" s="70"/>
      <c r="AK129" s="30"/>
      <c r="AL129" s="30"/>
      <c r="AM129" s="51"/>
      <c r="AN129" s="47"/>
      <c r="AO129" s="47"/>
      <c r="AP129" s="30"/>
      <c r="AQ129" s="30"/>
      <c r="AR129" s="47"/>
      <c r="AS129" s="30"/>
      <c r="AT129" s="47"/>
      <c r="AU129" s="30"/>
      <c r="AW129" s="30"/>
      <c r="AZ129" s="30"/>
      <c r="BA129" s="30"/>
      <c r="BE129" s="30"/>
      <c r="BH129" s="30"/>
      <c r="BI129" s="30"/>
      <c r="BL129" s="30"/>
      <c r="BN129" s="30"/>
      <c r="BP129" s="30"/>
      <c r="BS129" s="30"/>
      <c r="BT129" s="30"/>
      <c r="BW129" s="30"/>
      <c r="BX129" s="30"/>
      <c r="BZ129" s="30"/>
      <c r="CC129" s="30"/>
      <c r="CD129" s="30"/>
      <c r="CG129" s="30"/>
      <c r="CK129" s="30"/>
      <c r="CN129" s="30"/>
      <c r="CQ129" s="30"/>
      <c r="CU129" s="30"/>
      <c r="CX129" s="30"/>
    </row>
    <row r="130" spans="1:102" s="63" customFormat="1" x14ac:dyDescent="0.3">
      <c r="A130" s="47" t="s">
        <v>10</v>
      </c>
      <c r="B130" s="47">
        <v>1</v>
      </c>
      <c r="C130" s="30" t="s">
        <v>43</v>
      </c>
      <c r="D130" s="65">
        <v>175</v>
      </c>
      <c r="E130" s="30" t="s">
        <v>100</v>
      </c>
      <c r="F130" s="65">
        <f>D130/D107</f>
        <v>1.5625</v>
      </c>
      <c r="G130" s="30" t="s">
        <v>17</v>
      </c>
      <c r="I130" s="30"/>
      <c r="J130" s="30"/>
      <c r="K130" s="30"/>
      <c r="O130" s="30"/>
      <c r="P130" s="30"/>
      <c r="Q130" s="30"/>
      <c r="S130" s="69"/>
      <c r="T130" s="30"/>
      <c r="U130" s="30"/>
      <c r="V130" s="69"/>
      <c r="W130" s="30"/>
      <c r="X130" s="69"/>
      <c r="Y130" s="69"/>
      <c r="Z130" s="51"/>
      <c r="AA130" s="51"/>
      <c r="AB130" s="30"/>
      <c r="AC130" s="30"/>
      <c r="AD130" s="51"/>
      <c r="AE130" s="70"/>
      <c r="AF130" s="30"/>
      <c r="AG130" s="30"/>
      <c r="AH130" s="70"/>
      <c r="AI130" s="30"/>
      <c r="AJ130" s="70"/>
      <c r="AK130" s="30"/>
      <c r="AL130" s="30"/>
      <c r="AM130" s="51"/>
      <c r="AN130" s="47"/>
      <c r="AO130" s="47"/>
      <c r="AP130" s="30"/>
      <c r="AQ130" s="30"/>
      <c r="AR130" s="47"/>
      <c r="AS130" s="30"/>
      <c r="AT130" s="47"/>
      <c r="AU130" s="30"/>
      <c r="AW130" s="30"/>
      <c r="AZ130" s="30"/>
      <c r="BA130" s="30"/>
      <c r="BE130" s="30"/>
      <c r="BH130" s="30"/>
      <c r="BI130" s="30"/>
      <c r="BL130" s="30"/>
      <c r="BN130" s="30"/>
      <c r="BP130" s="30"/>
      <c r="BS130" s="30"/>
      <c r="BT130" s="30"/>
      <c r="BW130" s="30"/>
      <c r="BX130" s="30"/>
      <c r="BZ130" s="30"/>
      <c r="CC130" s="30"/>
      <c r="CD130" s="30"/>
      <c r="CG130" s="30"/>
      <c r="CK130" s="30"/>
      <c r="CN130" s="30"/>
      <c r="CQ130" s="30"/>
      <c r="CU130" s="30"/>
      <c r="CX130" s="30"/>
    </row>
    <row r="131" spans="1:102" s="63" customFormat="1" x14ac:dyDescent="0.3">
      <c r="A131" s="47" t="s">
        <v>20</v>
      </c>
      <c r="B131" s="47">
        <v>1</v>
      </c>
      <c r="C131" s="30" t="s">
        <v>117</v>
      </c>
      <c r="D131" s="65">
        <v>0.15175</v>
      </c>
      <c r="E131" s="30" t="s">
        <v>105</v>
      </c>
      <c r="F131" s="65">
        <v>16.997</v>
      </c>
      <c r="G131" s="30" t="s">
        <v>100</v>
      </c>
      <c r="I131" s="30"/>
      <c r="J131" s="30"/>
      <c r="K131" s="30"/>
      <c r="O131" s="30"/>
      <c r="P131" s="30"/>
      <c r="Q131" s="30"/>
      <c r="S131" s="69"/>
      <c r="T131" s="30"/>
      <c r="U131" s="30"/>
      <c r="V131" s="69"/>
      <c r="W131" s="30"/>
      <c r="X131" s="69"/>
      <c r="Y131" s="69"/>
      <c r="Z131" s="51"/>
      <c r="AA131" s="51"/>
      <c r="AB131" s="30"/>
      <c r="AC131" s="30"/>
      <c r="AD131" s="51"/>
      <c r="AE131" s="70"/>
      <c r="AF131" s="30"/>
      <c r="AG131" s="30"/>
      <c r="AH131" s="70"/>
      <c r="AI131" s="30"/>
      <c r="AJ131" s="70"/>
      <c r="AK131" s="30"/>
      <c r="AL131" s="30"/>
      <c r="AM131" s="51"/>
      <c r="AN131" s="47"/>
      <c r="AO131" s="47"/>
      <c r="AP131" s="30"/>
      <c r="AQ131" s="30"/>
      <c r="AR131" s="47"/>
      <c r="AS131" s="30"/>
      <c r="AT131" s="47"/>
      <c r="AU131" s="30"/>
      <c r="AW131" s="30"/>
      <c r="AZ131" s="30"/>
      <c r="BA131" s="30"/>
      <c r="BE131" s="30"/>
      <c r="BH131" s="30"/>
      <c r="BI131" s="30"/>
      <c r="BL131" s="30"/>
      <c r="BN131" s="30"/>
      <c r="BP131" s="30"/>
      <c r="BS131" s="30"/>
      <c r="BT131" s="30"/>
      <c r="BW131" s="30"/>
      <c r="BX131" s="30"/>
      <c r="BZ131" s="30"/>
      <c r="CC131" s="30"/>
      <c r="CD131" s="30"/>
      <c r="CG131" s="30"/>
      <c r="CK131" s="30"/>
      <c r="CN131" s="30"/>
      <c r="CQ131" s="30"/>
      <c r="CU131" s="30"/>
      <c r="CX131" s="30"/>
    </row>
    <row r="132" spans="1:102" s="63" customFormat="1" x14ac:dyDescent="0.3">
      <c r="A132" s="47" t="s">
        <v>38</v>
      </c>
      <c r="B132" s="47">
        <v>1</v>
      </c>
      <c r="C132" s="30" t="s">
        <v>111</v>
      </c>
      <c r="D132" s="65">
        <v>1.5</v>
      </c>
      <c r="E132" s="30" t="s">
        <v>105</v>
      </c>
      <c r="G132" s="30"/>
      <c r="I132" s="30"/>
      <c r="J132" s="30"/>
      <c r="K132" s="30"/>
      <c r="O132" s="30"/>
      <c r="P132" s="30"/>
      <c r="Q132" s="30"/>
      <c r="S132" s="69"/>
      <c r="T132" s="30"/>
      <c r="U132" s="30"/>
      <c r="V132" s="69"/>
      <c r="W132" s="30"/>
      <c r="X132" s="69"/>
      <c r="Y132" s="69"/>
      <c r="Z132" s="51"/>
      <c r="AA132" s="51"/>
      <c r="AB132" s="30"/>
      <c r="AC132" s="30"/>
      <c r="AD132" s="51"/>
      <c r="AE132" s="70"/>
      <c r="AF132" s="30"/>
      <c r="AG132" s="30"/>
      <c r="AH132" s="70"/>
      <c r="AI132" s="30"/>
      <c r="AJ132" s="70"/>
      <c r="AK132" s="30"/>
      <c r="AL132" s="30"/>
      <c r="AM132" s="51"/>
      <c r="AN132" s="47"/>
      <c r="AO132" s="47"/>
      <c r="AP132" s="30"/>
      <c r="AQ132" s="30"/>
      <c r="AR132" s="47"/>
      <c r="AS132" s="30"/>
      <c r="AT132" s="47"/>
      <c r="AU132" s="30"/>
      <c r="AW132" s="30"/>
      <c r="AZ132" s="30"/>
      <c r="BA132" s="30"/>
      <c r="BE132" s="30"/>
      <c r="BH132" s="30"/>
      <c r="BI132" s="30"/>
      <c r="BL132" s="30"/>
      <c r="BN132" s="30"/>
      <c r="BP132" s="30"/>
      <c r="BS132" s="30"/>
      <c r="BT132" s="30"/>
      <c r="BW132" s="30"/>
      <c r="BX132" s="30"/>
      <c r="BZ132" s="30"/>
      <c r="CC132" s="30"/>
      <c r="CD132" s="30"/>
      <c r="CG132" s="30"/>
      <c r="CK132" s="30"/>
      <c r="CN132" s="30"/>
      <c r="CQ132" s="30"/>
      <c r="CU132" s="30"/>
      <c r="CX132" s="30"/>
    </row>
    <row r="133" spans="1:102" s="63" customFormat="1" x14ac:dyDescent="0.3">
      <c r="A133" s="47" t="s">
        <v>118</v>
      </c>
      <c r="B133" s="47">
        <v>1</v>
      </c>
      <c r="C133" s="30" t="s">
        <v>111</v>
      </c>
      <c r="D133" s="65">
        <v>1.625</v>
      </c>
      <c r="E133" s="30" t="s">
        <v>105</v>
      </c>
      <c r="G133" s="30"/>
      <c r="I133" s="30"/>
      <c r="J133" s="30"/>
      <c r="K133" s="30"/>
      <c r="O133" s="30"/>
      <c r="P133" s="30"/>
      <c r="Q133" s="30"/>
      <c r="S133" s="69"/>
      <c r="T133" s="30"/>
      <c r="U133" s="30"/>
      <c r="V133" s="69"/>
      <c r="W133" s="30"/>
      <c r="X133" s="69"/>
      <c r="Y133" s="69"/>
      <c r="Z133" s="51"/>
      <c r="AA133" s="51"/>
      <c r="AB133" s="30"/>
      <c r="AC133" s="30"/>
      <c r="AD133" s="51"/>
      <c r="AE133" s="70"/>
      <c r="AF133" s="30"/>
      <c r="AG133" s="30"/>
      <c r="AH133" s="70"/>
      <c r="AI133" s="30"/>
      <c r="AJ133" s="70"/>
      <c r="AK133" s="30"/>
      <c r="AL133" s="30"/>
      <c r="AM133" s="51"/>
      <c r="AN133" s="47"/>
      <c r="AO133" s="47"/>
      <c r="AP133" s="30"/>
      <c r="AQ133" s="30"/>
      <c r="AR133" s="47"/>
      <c r="AS133" s="30"/>
      <c r="AT133" s="47"/>
      <c r="AU133" s="30"/>
      <c r="AW133" s="30"/>
      <c r="AZ133" s="30"/>
      <c r="BA133" s="30"/>
      <c r="BE133" s="30"/>
      <c r="BH133" s="30"/>
      <c r="BI133" s="30"/>
      <c r="BL133" s="30"/>
      <c r="BN133" s="30"/>
      <c r="BP133" s="30"/>
      <c r="BS133" s="30"/>
      <c r="BT133" s="30"/>
      <c r="BW133" s="30"/>
      <c r="BX133" s="30"/>
      <c r="BZ133" s="30"/>
      <c r="CC133" s="30"/>
      <c r="CD133" s="30"/>
      <c r="CG133" s="30"/>
      <c r="CK133" s="30"/>
      <c r="CN133" s="30"/>
      <c r="CQ133" s="30"/>
      <c r="CU133" s="30"/>
      <c r="CX133" s="30"/>
    </row>
    <row r="134" spans="1:102" s="63" customFormat="1" x14ac:dyDescent="0.3">
      <c r="A134" s="47" t="s">
        <v>4</v>
      </c>
      <c r="B134" s="47">
        <v>1</v>
      </c>
      <c r="C134" s="30" t="s">
        <v>111</v>
      </c>
      <c r="D134" s="65">
        <v>1.5</v>
      </c>
      <c r="E134" s="30" t="s">
        <v>105</v>
      </c>
      <c r="G134" s="30"/>
      <c r="I134" s="30"/>
      <c r="J134" s="30"/>
      <c r="K134" s="30"/>
      <c r="O134" s="30"/>
      <c r="P134" s="30"/>
      <c r="Q134" s="30"/>
      <c r="S134" s="69"/>
      <c r="T134" s="30"/>
      <c r="U134" s="30"/>
      <c r="V134" s="69"/>
      <c r="W134" s="30"/>
      <c r="X134" s="69"/>
      <c r="Y134" s="69"/>
      <c r="Z134" s="51"/>
      <c r="AA134" s="51"/>
      <c r="AB134" s="30"/>
      <c r="AC134" s="30"/>
      <c r="AD134" s="51"/>
      <c r="AE134" s="70"/>
      <c r="AF134" s="30"/>
      <c r="AG134" s="30"/>
      <c r="AH134" s="70"/>
      <c r="AI134" s="30"/>
      <c r="AJ134" s="70"/>
      <c r="AK134" s="30"/>
      <c r="AL134" s="30"/>
      <c r="AM134" s="51"/>
      <c r="AN134" s="47"/>
      <c r="AO134" s="47"/>
      <c r="AP134" s="30"/>
      <c r="AQ134" s="30"/>
      <c r="AR134" s="47"/>
      <c r="AS134" s="30"/>
      <c r="AT134" s="47"/>
      <c r="AU134" s="30"/>
      <c r="AW134" s="30"/>
      <c r="AZ134" s="30"/>
      <c r="BA134" s="30"/>
      <c r="BE134" s="30"/>
      <c r="BH134" s="30"/>
      <c r="BI134" s="30"/>
      <c r="BL134" s="30"/>
      <c r="BN134" s="30"/>
      <c r="BP134" s="30"/>
      <c r="BS134" s="30"/>
      <c r="BT134" s="30"/>
      <c r="BW134" s="30"/>
      <c r="BX134" s="30"/>
      <c r="BZ134" s="30"/>
      <c r="CC134" s="30"/>
      <c r="CD134" s="30"/>
      <c r="CG134" s="30"/>
      <c r="CK134" s="30"/>
      <c r="CN134" s="30"/>
      <c r="CQ134" s="30"/>
      <c r="CU134" s="30"/>
      <c r="CX134" s="30"/>
    </row>
    <row r="135" spans="1:102" s="63" customFormat="1" x14ac:dyDescent="0.3">
      <c r="A135" s="47" t="s">
        <v>119</v>
      </c>
      <c r="B135" s="47">
        <v>1</v>
      </c>
      <c r="C135" s="30" t="s">
        <v>111</v>
      </c>
      <c r="D135" s="65">
        <v>1.5</v>
      </c>
      <c r="E135" s="30" t="s">
        <v>105</v>
      </c>
      <c r="G135" s="30"/>
      <c r="I135" s="30"/>
      <c r="J135" s="30"/>
      <c r="K135" s="30"/>
      <c r="O135" s="30"/>
      <c r="P135" s="30"/>
      <c r="Q135" s="30"/>
      <c r="S135" s="69"/>
      <c r="T135" s="30"/>
      <c r="U135" s="30"/>
      <c r="V135" s="69"/>
      <c r="W135" s="30"/>
      <c r="X135" s="69"/>
      <c r="Y135" s="69"/>
      <c r="Z135" s="51"/>
      <c r="AA135" s="51"/>
      <c r="AB135" s="30"/>
      <c r="AC135" s="30"/>
      <c r="AD135" s="51"/>
      <c r="AE135" s="70"/>
      <c r="AF135" s="30"/>
      <c r="AG135" s="30"/>
      <c r="AH135" s="70"/>
      <c r="AI135" s="30"/>
      <c r="AJ135" s="70"/>
      <c r="AK135" s="30"/>
      <c r="AL135" s="30"/>
      <c r="AM135" s="51"/>
      <c r="AN135" s="47"/>
      <c r="AO135" s="47"/>
      <c r="AP135" s="30"/>
      <c r="AQ135" s="30"/>
      <c r="AR135" s="47"/>
      <c r="AS135" s="30"/>
      <c r="AT135" s="47"/>
      <c r="AU135" s="30"/>
      <c r="AW135" s="30"/>
      <c r="AZ135" s="30"/>
      <c r="BA135" s="30"/>
      <c r="BE135" s="30"/>
      <c r="BH135" s="30"/>
      <c r="BI135" s="30"/>
      <c r="BL135" s="30"/>
      <c r="BN135" s="30"/>
      <c r="BP135" s="30"/>
      <c r="BS135" s="30"/>
      <c r="BT135" s="30"/>
      <c r="BW135" s="30"/>
      <c r="BX135" s="30"/>
      <c r="BZ135" s="30"/>
      <c r="CC135" s="30"/>
      <c r="CD135" s="30"/>
      <c r="CG135" s="30"/>
      <c r="CK135" s="30"/>
      <c r="CN135" s="30"/>
      <c r="CQ135" s="30"/>
      <c r="CU135" s="30"/>
      <c r="CX135" s="30"/>
    </row>
    <row r="136" spans="1:102" s="63" customFormat="1" x14ac:dyDescent="0.3">
      <c r="A136" s="107" t="s">
        <v>48</v>
      </c>
      <c r="B136" s="47">
        <v>1</v>
      </c>
      <c r="C136" s="30" t="s">
        <v>120</v>
      </c>
      <c r="D136" s="65">
        <v>18.559999999999999</v>
      </c>
      <c r="E136" s="30" t="s">
        <v>18</v>
      </c>
      <c r="G136" s="30"/>
      <c r="I136" s="30"/>
      <c r="J136" s="30"/>
      <c r="K136" s="30"/>
      <c r="O136" s="30"/>
      <c r="P136" s="30"/>
      <c r="Q136" s="30"/>
      <c r="S136" s="69"/>
      <c r="T136" s="30"/>
      <c r="U136" s="30"/>
      <c r="V136" s="69"/>
      <c r="W136" s="30"/>
      <c r="X136" s="69"/>
      <c r="Y136" s="69"/>
      <c r="Z136" s="51"/>
      <c r="AA136" s="51"/>
      <c r="AB136" s="30"/>
      <c r="AC136" s="30"/>
      <c r="AD136" s="51"/>
      <c r="AE136" s="70"/>
      <c r="AF136" s="30"/>
      <c r="AG136" s="30"/>
      <c r="AH136" s="70"/>
      <c r="AI136" s="30"/>
      <c r="AJ136" s="70"/>
      <c r="AK136" s="30"/>
      <c r="AL136" s="30"/>
      <c r="AM136" s="51"/>
      <c r="AN136" s="47"/>
      <c r="AO136" s="47"/>
      <c r="AP136" s="30"/>
      <c r="AQ136" s="30"/>
      <c r="AR136" s="47"/>
      <c r="AS136" s="30"/>
      <c r="AT136" s="47"/>
      <c r="AU136" s="30"/>
      <c r="AW136" s="30"/>
      <c r="AZ136" s="30"/>
      <c r="BA136" s="30"/>
      <c r="BE136" s="30"/>
      <c r="BH136" s="30"/>
      <c r="BI136" s="30"/>
      <c r="BL136" s="30"/>
      <c r="BN136" s="30"/>
      <c r="BP136" s="30"/>
      <c r="BS136" s="30"/>
      <c r="BT136" s="30"/>
      <c r="BW136" s="30"/>
      <c r="BX136" s="30"/>
      <c r="BZ136" s="30"/>
      <c r="CC136" s="30"/>
      <c r="CD136" s="30"/>
      <c r="CG136" s="30"/>
      <c r="CK136" s="30"/>
      <c r="CN136" s="30"/>
      <c r="CQ136" s="30"/>
      <c r="CU136" s="30"/>
      <c r="CX136" s="30"/>
    </row>
    <row r="137" spans="1:102" s="63" customFormat="1" x14ac:dyDescent="0.3">
      <c r="A137" s="107"/>
      <c r="B137" s="47">
        <v>1</v>
      </c>
      <c r="C137" s="30" t="s">
        <v>42</v>
      </c>
      <c r="D137" s="65">
        <v>164</v>
      </c>
      <c r="E137" s="30" t="s">
        <v>100</v>
      </c>
      <c r="F137" s="65">
        <f>D137/D92</f>
        <v>1.4642857142857142</v>
      </c>
      <c r="G137" s="30" t="s">
        <v>105</v>
      </c>
      <c r="I137" s="31"/>
      <c r="J137" s="31"/>
      <c r="K137" s="30"/>
      <c r="O137" s="31"/>
      <c r="P137" s="31"/>
      <c r="Q137" s="30"/>
      <c r="S137" s="69"/>
      <c r="T137" s="31"/>
      <c r="U137" s="30"/>
      <c r="V137" s="69"/>
      <c r="W137" s="31"/>
      <c r="X137" s="69"/>
      <c r="Y137" s="69"/>
      <c r="Z137" s="51"/>
      <c r="AA137" s="51"/>
      <c r="AB137" s="30"/>
      <c r="AC137" s="31"/>
      <c r="AD137" s="51"/>
      <c r="AE137" s="70"/>
      <c r="AF137" s="30"/>
      <c r="AG137" s="31"/>
      <c r="AH137" s="70"/>
      <c r="AI137" s="30"/>
      <c r="AJ137" s="70"/>
      <c r="AK137" s="31"/>
      <c r="AL137" s="30"/>
      <c r="AM137" s="51"/>
      <c r="AN137" s="47"/>
      <c r="AO137" s="47"/>
      <c r="AP137" s="30"/>
      <c r="AQ137" s="31"/>
      <c r="AR137" s="47"/>
      <c r="AS137" s="30"/>
      <c r="AT137" s="47"/>
      <c r="AU137" s="31"/>
      <c r="AW137" s="30"/>
      <c r="AZ137" s="31"/>
      <c r="BA137" s="30"/>
      <c r="BE137" s="30"/>
      <c r="BH137" s="31"/>
      <c r="BI137" s="30"/>
      <c r="BL137" s="30"/>
      <c r="BN137" s="31"/>
      <c r="BP137" s="30"/>
      <c r="BS137" s="30"/>
      <c r="BT137" s="31"/>
      <c r="BW137" s="30"/>
      <c r="BX137" s="31"/>
      <c r="BZ137" s="30"/>
      <c r="CC137" s="30"/>
      <c r="CD137" s="31"/>
      <c r="CG137" s="31"/>
      <c r="CK137" s="31"/>
      <c r="CN137" s="31"/>
      <c r="CQ137" s="31"/>
      <c r="CU137" s="31"/>
      <c r="CX137" s="31"/>
    </row>
    <row r="138" spans="1:102" s="63" customFormat="1" x14ac:dyDescent="0.3">
      <c r="A138" s="107" t="s">
        <v>121</v>
      </c>
      <c r="B138" s="47">
        <v>1</v>
      </c>
      <c r="C138" s="30" t="s">
        <v>45</v>
      </c>
      <c r="D138" s="65">
        <v>336</v>
      </c>
      <c r="E138" s="30" t="s">
        <v>100</v>
      </c>
      <c r="F138" s="65">
        <v>3</v>
      </c>
      <c r="G138" s="30" t="s">
        <v>105</v>
      </c>
      <c r="I138" s="30"/>
      <c r="J138" s="30"/>
      <c r="K138" s="30"/>
      <c r="O138" s="30"/>
      <c r="P138" s="30"/>
      <c r="Q138" s="30"/>
      <c r="S138" s="69"/>
      <c r="T138" s="30"/>
      <c r="U138" s="30"/>
      <c r="V138" s="69"/>
      <c r="W138" s="30"/>
      <c r="X138" s="69"/>
      <c r="Y138" s="69"/>
      <c r="Z138" s="51"/>
      <c r="AA138" s="51"/>
      <c r="AB138" s="30"/>
      <c r="AC138" s="30"/>
      <c r="AD138" s="51"/>
      <c r="AE138" s="70"/>
      <c r="AF138" s="30"/>
      <c r="AG138" s="30"/>
      <c r="AH138" s="70"/>
      <c r="AI138" s="30"/>
      <c r="AJ138" s="70"/>
      <c r="AK138" s="30"/>
      <c r="AL138" s="30"/>
      <c r="AM138" s="51"/>
      <c r="AN138" s="47"/>
      <c r="AO138" s="47"/>
      <c r="AP138" s="30"/>
      <c r="AQ138" s="30"/>
      <c r="AR138" s="47"/>
      <c r="AS138" s="30"/>
      <c r="AT138" s="47"/>
      <c r="AU138" s="30"/>
      <c r="AW138" s="30"/>
      <c r="AZ138" s="30"/>
      <c r="BA138" s="30"/>
      <c r="BE138" s="30"/>
      <c r="BH138" s="30"/>
      <c r="BI138" s="30"/>
      <c r="BL138" s="30"/>
      <c r="BN138" s="30"/>
      <c r="BP138" s="30"/>
      <c r="BS138" s="30"/>
      <c r="BT138" s="30"/>
      <c r="BW138" s="30"/>
      <c r="BX138" s="30"/>
      <c r="BZ138" s="30"/>
      <c r="CC138" s="30"/>
      <c r="CD138" s="30"/>
      <c r="CG138" s="30"/>
      <c r="CK138" s="30"/>
      <c r="CN138" s="30"/>
      <c r="CQ138" s="30"/>
      <c r="CU138" s="30"/>
      <c r="CX138" s="30"/>
    </row>
    <row r="139" spans="1:102" s="63" customFormat="1" x14ac:dyDescent="0.3">
      <c r="A139" s="107"/>
      <c r="B139" s="47">
        <v>1</v>
      </c>
      <c r="C139" s="30" t="s">
        <v>122</v>
      </c>
      <c r="D139" s="65">
        <v>240</v>
      </c>
      <c r="E139" s="30" t="s">
        <v>100</v>
      </c>
      <c r="F139" s="65">
        <f>D139/D107</f>
        <v>2.1428571428571428</v>
      </c>
      <c r="G139" s="30" t="s">
        <v>105</v>
      </c>
      <c r="I139" s="30"/>
      <c r="J139" s="30"/>
      <c r="K139" s="30"/>
      <c r="O139" s="30"/>
      <c r="P139" s="30"/>
      <c r="Q139" s="30"/>
      <c r="S139" s="69"/>
      <c r="T139" s="30"/>
      <c r="U139" s="30"/>
      <c r="V139" s="69"/>
      <c r="W139" s="30"/>
      <c r="X139" s="69"/>
      <c r="Y139" s="69"/>
      <c r="Z139" s="51"/>
      <c r="AA139" s="51"/>
      <c r="AB139" s="30"/>
      <c r="AC139" s="30"/>
      <c r="AD139" s="51"/>
      <c r="AE139" s="70"/>
      <c r="AF139" s="30"/>
      <c r="AG139" s="30"/>
      <c r="AH139" s="70"/>
      <c r="AI139" s="30"/>
      <c r="AJ139" s="70"/>
      <c r="AK139" s="30"/>
      <c r="AL139" s="30"/>
      <c r="AM139" s="51"/>
      <c r="AN139" s="47"/>
      <c r="AO139" s="47"/>
      <c r="AP139" s="30"/>
      <c r="AQ139" s="30"/>
      <c r="AR139" s="47"/>
      <c r="AS139" s="30"/>
      <c r="AT139" s="47"/>
      <c r="AU139" s="30"/>
      <c r="AW139" s="30"/>
      <c r="AZ139" s="30"/>
      <c r="BA139" s="30"/>
      <c r="BE139" s="30"/>
      <c r="BH139" s="30"/>
      <c r="BI139" s="30"/>
      <c r="BL139" s="30"/>
      <c r="BN139" s="30"/>
      <c r="BP139" s="30"/>
      <c r="BS139" s="30"/>
      <c r="BT139" s="30"/>
      <c r="BW139" s="30"/>
      <c r="BX139" s="30"/>
      <c r="BZ139" s="30"/>
      <c r="CC139" s="30"/>
      <c r="CD139" s="30"/>
      <c r="CG139" s="30"/>
      <c r="CK139" s="30"/>
      <c r="CN139" s="30"/>
      <c r="CQ139" s="30"/>
      <c r="CU139" s="30"/>
      <c r="CX139" s="30"/>
    </row>
    <row r="140" spans="1:102" s="63" customFormat="1" x14ac:dyDescent="0.3">
      <c r="A140" s="107" t="s">
        <v>41</v>
      </c>
      <c r="B140" s="47">
        <v>1</v>
      </c>
      <c r="C140" s="30" t="s">
        <v>27</v>
      </c>
      <c r="D140" s="65">
        <v>3.40835</v>
      </c>
      <c r="E140" s="30" t="s">
        <v>111</v>
      </c>
      <c r="F140" s="65">
        <f>D140*D141/D107</f>
        <v>5.9646125000000003</v>
      </c>
      <c r="G140" s="30" t="s">
        <v>105</v>
      </c>
      <c r="I140" s="30"/>
      <c r="J140" s="30"/>
      <c r="K140" s="30"/>
      <c r="O140" s="30"/>
      <c r="P140" s="30"/>
      <c r="Q140" s="30"/>
      <c r="S140" s="69"/>
      <c r="T140" s="30"/>
      <c r="U140" s="30"/>
      <c r="V140" s="69"/>
      <c r="W140" s="30"/>
      <c r="X140" s="69"/>
      <c r="Y140" s="69"/>
      <c r="Z140" s="51"/>
      <c r="AA140" s="51"/>
      <c r="AB140" s="30"/>
      <c r="AC140" s="30"/>
      <c r="AD140" s="51"/>
      <c r="AE140" s="70"/>
      <c r="AF140" s="30"/>
      <c r="AG140" s="30"/>
      <c r="AH140" s="70"/>
      <c r="AI140" s="30"/>
      <c r="AJ140" s="70"/>
      <c r="AK140" s="30"/>
      <c r="AL140" s="30"/>
      <c r="AM140" s="51"/>
      <c r="AN140" s="47"/>
      <c r="AO140" s="47"/>
      <c r="AP140" s="30"/>
      <c r="AQ140" s="30"/>
      <c r="AR140" s="47"/>
      <c r="AS140" s="30"/>
      <c r="AT140" s="47"/>
      <c r="AU140" s="30"/>
      <c r="AW140" s="30"/>
      <c r="AZ140" s="30"/>
      <c r="BA140" s="30"/>
      <c r="BE140" s="30"/>
      <c r="BH140" s="30"/>
      <c r="BI140" s="30"/>
      <c r="BL140" s="30"/>
      <c r="BN140" s="30"/>
      <c r="BP140" s="30"/>
      <c r="BS140" s="30"/>
      <c r="BT140" s="30"/>
      <c r="BW140" s="30"/>
      <c r="BX140" s="30"/>
      <c r="BZ140" s="30"/>
      <c r="CC140" s="30"/>
      <c r="CD140" s="30"/>
      <c r="CG140" s="30"/>
      <c r="CK140" s="30"/>
      <c r="CN140" s="30"/>
      <c r="CQ140" s="30"/>
      <c r="CU140" s="30"/>
      <c r="CX140" s="30"/>
    </row>
    <row r="141" spans="1:102" s="63" customFormat="1" x14ac:dyDescent="0.3">
      <c r="A141" s="107"/>
      <c r="B141" s="47">
        <v>1</v>
      </c>
      <c r="C141" s="30" t="s">
        <v>111</v>
      </c>
      <c r="D141" s="48">
        <v>196</v>
      </c>
      <c r="E141" s="30" t="s">
        <v>100</v>
      </c>
      <c r="F141" s="65"/>
      <c r="G141" s="47"/>
      <c r="I141" s="30"/>
      <c r="J141" s="30"/>
      <c r="K141" s="30"/>
      <c r="O141" s="30"/>
      <c r="P141" s="30"/>
      <c r="Q141" s="30"/>
      <c r="S141" s="69"/>
      <c r="T141" s="30"/>
      <c r="U141" s="30"/>
      <c r="V141" s="69"/>
      <c r="W141" s="30"/>
      <c r="X141" s="69"/>
      <c r="Y141" s="69"/>
      <c r="Z141" s="51"/>
      <c r="AA141" s="51"/>
      <c r="AB141" s="30"/>
      <c r="AC141" s="30"/>
      <c r="AD141" s="51"/>
      <c r="AE141" s="70"/>
      <c r="AF141" s="30"/>
      <c r="AG141" s="30"/>
      <c r="AH141" s="70"/>
      <c r="AI141" s="30"/>
      <c r="AJ141" s="70"/>
      <c r="AK141" s="30"/>
      <c r="AL141" s="30"/>
      <c r="AM141" s="51"/>
      <c r="AN141" s="47"/>
      <c r="AO141" s="47"/>
      <c r="AP141" s="30"/>
      <c r="AQ141" s="30"/>
      <c r="AR141" s="47"/>
      <c r="AS141" s="30"/>
      <c r="AT141" s="47"/>
      <c r="AU141" s="30"/>
      <c r="AW141" s="30"/>
      <c r="AZ141" s="30"/>
      <c r="BA141" s="30"/>
      <c r="BE141" s="30"/>
      <c r="BH141" s="30"/>
      <c r="BI141" s="30"/>
      <c r="BL141" s="30"/>
      <c r="BN141" s="30"/>
      <c r="BP141" s="30"/>
      <c r="BS141" s="30"/>
      <c r="BT141" s="30"/>
      <c r="BW141" s="30"/>
      <c r="BX141" s="30"/>
      <c r="BZ141" s="30"/>
      <c r="CC141" s="30"/>
      <c r="CD141" s="30"/>
      <c r="CG141" s="30"/>
      <c r="CK141" s="30"/>
      <c r="CN141" s="30"/>
      <c r="CQ141" s="30"/>
      <c r="CU141" s="30"/>
      <c r="CX141" s="30"/>
    </row>
    <row r="142" spans="1:102" s="63" customFormat="1" x14ac:dyDescent="0.3">
      <c r="A142" s="107" t="s">
        <v>33</v>
      </c>
      <c r="B142" s="47">
        <v>1</v>
      </c>
      <c r="C142" s="30" t="s">
        <v>28</v>
      </c>
      <c r="D142" s="48">
        <v>1</v>
      </c>
      <c r="E142" s="30" t="s">
        <v>46</v>
      </c>
      <c r="F142" s="65">
        <f>F143</f>
        <v>3.0446428571428572</v>
      </c>
      <c r="G142" s="30" t="s">
        <v>105</v>
      </c>
      <c r="I142" s="30"/>
      <c r="J142" s="30"/>
      <c r="K142" s="30"/>
      <c r="O142" s="30"/>
      <c r="P142" s="30"/>
      <c r="Q142" s="30"/>
      <c r="S142" s="69"/>
      <c r="T142" s="30"/>
      <c r="U142" s="30"/>
      <c r="V142" s="69"/>
      <c r="W142" s="30"/>
      <c r="X142" s="69"/>
      <c r="Y142" s="69"/>
      <c r="Z142" s="51"/>
      <c r="AA142" s="51"/>
      <c r="AB142" s="30"/>
      <c r="AC142" s="30"/>
      <c r="AD142" s="51"/>
      <c r="AE142" s="70"/>
      <c r="AF142" s="30"/>
      <c r="AG142" s="30"/>
      <c r="AH142" s="70"/>
      <c r="AI142" s="30"/>
      <c r="AJ142" s="70"/>
      <c r="AK142" s="30"/>
      <c r="AL142" s="30"/>
      <c r="AM142" s="51"/>
      <c r="AN142" s="47"/>
      <c r="AO142" s="47"/>
      <c r="AP142" s="30"/>
      <c r="AQ142" s="30"/>
      <c r="AR142" s="47"/>
      <c r="AS142" s="30"/>
      <c r="AT142" s="47"/>
      <c r="AU142" s="30"/>
      <c r="AW142" s="30"/>
      <c r="AZ142" s="30"/>
      <c r="BA142" s="30"/>
      <c r="BE142" s="30"/>
      <c r="BH142" s="30"/>
      <c r="BI142" s="30"/>
      <c r="BL142" s="30"/>
      <c r="BN142" s="30"/>
      <c r="BP142" s="30"/>
      <c r="BS142" s="30"/>
      <c r="BT142" s="30"/>
      <c r="BW142" s="30"/>
      <c r="BX142" s="30"/>
      <c r="BZ142" s="30"/>
      <c r="CC142" s="30"/>
      <c r="CD142" s="30"/>
      <c r="CG142" s="30"/>
      <c r="CK142" s="30"/>
      <c r="CN142" s="30"/>
      <c r="CQ142" s="30"/>
      <c r="CU142" s="30"/>
      <c r="CX142" s="30"/>
    </row>
    <row r="143" spans="1:102" s="63" customFormat="1" x14ac:dyDescent="0.3">
      <c r="A143" s="107"/>
      <c r="B143" s="47">
        <v>1</v>
      </c>
      <c r="C143" s="30" t="s">
        <v>46</v>
      </c>
      <c r="D143" s="48">
        <f>(355+327)/2</f>
        <v>341</v>
      </c>
      <c r="E143" s="30" t="s">
        <v>100</v>
      </c>
      <c r="F143" s="65">
        <f>D143/D107</f>
        <v>3.0446428571428572</v>
      </c>
      <c r="G143" s="30" t="s">
        <v>105</v>
      </c>
      <c r="I143" s="30"/>
      <c r="J143" s="30"/>
      <c r="K143" s="30"/>
      <c r="O143" s="30"/>
      <c r="P143" s="30"/>
      <c r="Q143" s="30"/>
      <c r="S143" s="69"/>
      <c r="T143" s="30"/>
      <c r="U143" s="30"/>
      <c r="V143" s="69"/>
      <c r="W143" s="30"/>
      <c r="X143" s="69"/>
      <c r="Y143" s="69"/>
      <c r="Z143" s="51"/>
      <c r="AA143" s="51"/>
      <c r="AB143" s="30"/>
      <c r="AC143" s="30"/>
      <c r="AD143" s="51"/>
      <c r="AE143" s="70"/>
      <c r="AF143" s="30"/>
      <c r="AG143" s="30"/>
      <c r="AH143" s="70"/>
      <c r="AI143" s="30"/>
      <c r="AJ143" s="70"/>
      <c r="AK143" s="30"/>
      <c r="AL143" s="30"/>
      <c r="AM143" s="51"/>
      <c r="AN143" s="47"/>
      <c r="AO143" s="47"/>
      <c r="AP143" s="30"/>
      <c r="AQ143" s="30"/>
      <c r="AR143" s="47"/>
      <c r="AS143" s="30"/>
      <c r="AT143" s="47"/>
      <c r="AU143" s="30"/>
      <c r="AW143" s="30"/>
      <c r="AZ143" s="30"/>
      <c r="BA143" s="30"/>
      <c r="BE143" s="30"/>
      <c r="BH143" s="30"/>
      <c r="BI143" s="30"/>
      <c r="BL143" s="30"/>
      <c r="BN143" s="30"/>
      <c r="BP143" s="30"/>
      <c r="BS143" s="30"/>
      <c r="BT143" s="30"/>
      <c r="BW143" s="30"/>
      <c r="BX143" s="30"/>
      <c r="BZ143" s="30"/>
      <c r="CC143" s="30"/>
      <c r="CD143" s="30"/>
      <c r="CG143" s="30"/>
      <c r="CK143" s="30"/>
      <c r="CN143" s="30"/>
      <c r="CQ143" s="30"/>
      <c r="CU143" s="30"/>
      <c r="CX143" s="30"/>
    </row>
    <row r="144" spans="1:102" s="63" customFormat="1" x14ac:dyDescent="0.3">
      <c r="A144" s="107" t="s">
        <v>44</v>
      </c>
      <c r="B144" s="47">
        <v>1</v>
      </c>
      <c r="C144" s="31" t="s">
        <v>43</v>
      </c>
      <c r="D144" s="48">
        <v>140.63</v>
      </c>
      <c r="E144" s="30" t="s">
        <v>100</v>
      </c>
      <c r="F144" s="65">
        <f>D144/D107</f>
        <v>1.255625</v>
      </c>
      <c r="G144" s="30" t="s">
        <v>105</v>
      </c>
      <c r="I144" s="30"/>
      <c r="J144" s="30"/>
      <c r="K144" s="30"/>
      <c r="O144" s="30"/>
      <c r="P144" s="30"/>
      <c r="Q144" s="30"/>
      <c r="S144" s="69"/>
      <c r="T144" s="30"/>
      <c r="U144" s="30"/>
      <c r="V144" s="69"/>
      <c r="W144" s="30"/>
      <c r="X144" s="69"/>
      <c r="Y144" s="69"/>
      <c r="Z144" s="51"/>
      <c r="AA144" s="51"/>
      <c r="AB144" s="30"/>
      <c r="AC144" s="30"/>
      <c r="AD144" s="51"/>
      <c r="AE144" s="70"/>
      <c r="AF144" s="30"/>
      <c r="AG144" s="30"/>
      <c r="AH144" s="70"/>
      <c r="AI144" s="30"/>
      <c r="AJ144" s="70"/>
      <c r="AK144" s="30"/>
      <c r="AL144" s="30"/>
      <c r="AM144" s="51"/>
      <c r="AN144" s="47"/>
      <c r="AO144" s="47"/>
      <c r="AP144" s="30"/>
      <c r="AQ144" s="30"/>
      <c r="AR144" s="47"/>
      <c r="AS144" s="30"/>
      <c r="AT144" s="47"/>
      <c r="AU144" s="30"/>
      <c r="AW144" s="30"/>
      <c r="AZ144" s="30"/>
      <c r="BA144" s="30"/>
      <c r="BE144" s="30"/>
      <c r="BH144" s="30"/>
      <c r="BI144" s="30"/>
      <c r="BL144" s="30"/>
      <c r="BN144" s="30"/>
      <c r="BP144" s="30"/>
      <c r="BS144" s="30"/>
      <c r="BT144" s="30"/>
      <c r="BW144" s="30"/>
      <c r="BX144" s="30"/>
      <c r="BZ144" s="30"/>
      <c r="CC144" s="30"/>
      <c r="CD144" s="30"/>
      <c r="CG144" s="30"/>
      <c r="CK144" s="30"/>
      <c r="CN144" s="30"/>
      <c r="CQ144" s="30"/>
      <c r="CU144" s="30"/>
      <c r="CX144" s="30"/>
    </row>
    <row r="145" spans="1:102" s="63" customFormat="1" x14ac:dyDescent="0.3">
      <c r="A145" s="107"/>
      <c r="B145" s="47">
        <v>1</v>
      </c>
      <c r="C145" s="31" t="s">
        <v>123</v>
      </c>
      <c r="D145" s="48">
        <v>0.91576999999999997</v>
      </c>
      <c r="E145" s="30" t="s">
        <v>43</v>
      </c>
      <c r="F145" s="65">
        <f>F144*D145</f>
        <v>1.1498637062499999</v>
      </c>
      <c r="G145" s="30" t="s">
        <v>105</v>
      </c>
      <c r="I145" s="30"/>
      <c r="J145" s="30"/>
      <c r="K145" s="30"/>
      <c r="O145" s="30"/>
      <c r="P145" s="30"/>
      <c r="Q145" s="30"/>
      <c r="S145" s="69"/>
      <c r="T145" s="30"/>
      <c r="U145" s="30"/>
      <c r="V145" s="69"/>
      <c r="W145" s="30"/>
      <c r="X145" s="69"/>
      <c r="Y145" s="69"/>
      <c r="Z145" s="51"/>
      <c r="AA145" s="51"/>
      <c r="AB145" s="30"/>
      <c r="AC145" s="30"/>
      <c r="AD145" s="51"/>
      <c r="AE145" s="70"/>
      <c r="AF145" s="30"/>
      <c r="AG145" s="30"/>
      <c r="AH145" s="70"/>
      <c r="AI145" s="30"/>
      <c r="AJ145" s="70"/>
      <c r="AK145" s="30"/>
      <c r="AL145" s="30"/>
      <c r="AM145" s="51"/>
      <c r="AN145" s="47"/>
      <c r="AO145" s="47"/>
      <c r="AP145" s="30"/>
      <c r="AQ145" s="30"/>
      <c r="AR145" s="47"/>
      <c r="AS145" s="30"/>
      <c r="AT145" s="47"/>
      <c r="AU145" s="30"/>
      <c r="AW145" s="30"/>
      <c r="AZ145" s="30"/>
      <c r="BA145" s="30"/>
      <c r="BE145" s="30"/>
      <c r="BH145" s="30"/>
      <c r="BI145" s="30"/>
      <c r="BL145" s="30"/>
      <c r="BN145" s="30"/>
      <c r="BP145" s="30"/>
      <c r="BS145" s="30"/>
      <c r="BT145" s="30"/>
      <c r="BW145" s="30"/>
      <c r="BX145" s="30"/>
      <c r="BZ145" s="30"/>
      <c r="CC145" s="30"/>
      <c r="CD145" s="30"/>
      <c r="CG145" s="30"/>
      <c r="CK145" s="30"/>
      <c r="CN145" s="30"/>
      <c r="CQ145" s="30"/>
      <c r="CU145" s="30"/>
      <c r="CX145" s="30"/>
    </row>
    <row r="146" spans="1:102" s="63" customFormat="1" x14ac:dyDescent="0.3">
      <c r="A146" s="107" t="s">
        <v>97</v>
      </c>
      <c r="B146" s="47">
        <v>1</v>
      </c>
      <c r="C146" s="31" t="s">
        <v>46</v>
      </c>
      <c r="D146" s="48">
        <v>2.37609</v>
      </c>
      <c r="E146" s="31" t="s">
        <v>111</v>
      </c>
      <c r="F146" s="65">
        <f>D146*D147</f>
        <v>4.1366063637000003</v>
      </c>
      <c r="G146" s="30" t="s">
        <v>105</v>
      </c>
      <c r="I146" s="30"/>
      <c r="J146" s="30"/>
      <c r="K146" s="31"/>
      <c r="O146" s="30"/>
      <c r="P146" s="30"/>
      <c r="Q146" s="31"/>
      <c r="S146" s="69"/>
      <c r="T146" s="30"/>
      <c r="U146" s="31"/>
      <c r="V146" s="69"/>
      <c r="W146" s="30"/>
      <c r="X146" s="69"/>
      <c r="Y146" s="69"/>
      <c r="Z146" s="51"/>
      <c r="AA146" s="51"/>
      <c r="AB146" s="31"/>
      <c r="AC146" s="30"/>
      <c r="AD146" s="51"/>
      <c r="AE146" s="70"/>
      <c r="AF146" s="31"/>
      <c r="AG146" s="30"/>
      <c r="AH146" s="70"/>
      <c r="AI146" s="31"/>
      <c r="AJ146" s="70"/>
      <c r="AK146" s="30"/>
      <c r="AL146" s="31"/>
      <c r="AM146" s="51"/>
      <c r="AN146" s="47"/>
      <c r="AO146" s="47"/>
      <c r="AP146" s="31"/>
      <c r="AQ146" s="30"/>
      <c r="AR146" s="47"/>
      <c r="AS146" s="31"/>
      <c r="AT146" s="47"/>
      <c r="AU146" s="30"/>
      <c r="AW146" s="31"/>
      <c r="AZ146" s="30"/>
      <c r="BA146" s="31"/>
      <c r="BE146" s="31"/>
      <c r="BH146" s="30"/>
      <c r="BI146" s="31"/>
      <c r="BL146" s="31"/>
      <c r="BN146" s="30"/>
      <c r="BP146" s="31"/>
      <c r="BS146" s="31"/>
      <c r="BT146" s="30"/>
      <c r="BW146" s="31"/>
      <c r="BX146" s="30"/>
      <c r="BZ146" s="31"/>
      <c r="CC146" s="31"/>
      <c r="CD146" s="30"/>
      <c r="CG146" s="30"/>
      <c r="CK146" s="30"/>
      <c r="CN146" s="30"/>
      <c r="CQ146" s="30"/>
      <c r="CU146" s="30"/>
      <c r="CX146" s="30"/>
    </row>
    <row r="147" spans="1:102" s="63" customFormat="1" x14ac:dyDescent="0.3">
      <c r="A147" s="107"/>
      <c r="B147" s="47">
        <v>1</v>
      </c>
      <c r="C147" s="31" t="s">
        <v>111</v>
      </c>
      <c r="D147" s="48">
        <v>1.7409300000000001</v>
      </c>
      <c r="E147" s="30" t="s">
        <v>105</v>
      </c>
      <c r="F147" s="65"/>
      <c r="G147" s="30"/>
      <c r="I147" s="30"/>
      <c r="J147" s="30"/>
      <c r="K147" s="30"/>
      <c r="O147" s="30"/>
      <c r="P147" s="30"/>
      <c r="Q147" s="30"/>
      <c r="S147" s="69"/>
      <c r="T147" s="30"/>
      <c r="U147" s="30"/>
      <c r="V147" s="69"/>
      <c r="W147" s="30"/>
      <c r="X147" s="69"/>
      <c r="Y147" s="69"/>
      <c r="Z147" s="51"/>
      <c r="AA147" s="51"/>
      <c r="AB147" s="30"/>
      <c r="AC147" s="30"/>
      <c r="AD147" s="51"/>
      <c r="AE147" s="70"/>
      <c r="AF147" s="30"/>
      <c r="AG147" s="30"/>
      <c r="AH147" s="70"/>
      <c r="AI147" s="30"/>
      <c r="AJ147" s="70"/>
      <c r="AK147" s="30"/>
      <c r="AL147" s="30"/>
      <c r="AM147" s="51"/>
      <c r="AN147" s="47"/>
      <c r="AO147" s="47"/>
      <c r="AP147" s="30"/>
      <c r="AQ147" s="30"/>
      <c r="AR147" s="47"/>
      <c r="AS147" s="30"/>
      <c r="AT147" s="47"/>
      <c r="AU147" s="30"/>
      <c r="AW147" s="30"/>
      <c r="AZ147" s="30"/>
      <c r="BA147" s="30"/>
      <c r="BE147" s="30"/>
      <c r="BH147" s="30"/>
      <c r="BI147" s="30"/>
      <c r="BL147" s="30"/>
      <c r="BN147" s="30"/>
      <c r="BP147" s="30"/>
      <c r="BS147" s="30"/>
      <c r="BT147" s="30"/>
      <c r="BW147" s="30"/>
      <c r="BX147" s="30"/>
      <c r="BZ147" s="30"/>
      <c r="CC147" s="30"/>
      <c r="CD147" s="30"/>
      <c r="CG147" s="30"/>
      <c r="CK147" s="30"/>
      <c r="CN147" s="30"/>
      <c r="CQ147" s="30"/>
      <c r="CU147" s="30"/>
      <c r="CX147" s="30"/>
    </row>
    <row r="148" spans="1:102" s="63" customFormat="1" x14ac:dyDescent="0.3">
      <c r="A148" s="107" t="s">
        <v>124</v>
      </c>
      <c r="B148" s="47">
        <v>1</v>
      </c>
      <c r="C148" s="31" t="s">
        <v>46</v>
      </c>
      <c r="D148" s="48">
        <v>242</v>
      </c>
      <c r="E148" s="30" t="s">
        <v>100</v>
      </c>
      <c r="F148" s="65">
        <f>D148/D107</f>
        <v>2.1607142857142856</v>
      </c>
      <c r="G148" s="30" t="s">
        <v>105</v>
      </c>
      <c r="I148" s="30"/>
      <c r="J148" s="30"/>
      <c r="K148" s="30"/>
      <c r="O148" s="30"/>
      <c r="P148" s="30"/>
      <c r="Q148" s="30"/>
      <c r="S148" s="69"/>
      <c r="T148" s="30"/>
      <c r="U148" s="30"/>
      <c r="V148" s="69"/>
      <c r="W148" s="30"/>
      <c r="X148" s="69"/>
      <c r="Y148" s="69"/>
      <c r="Z148" s="51"/>
      <c r="AA148" s="51"/>
      <c r="AB148" s="30"/>
      <c r="AC148" s="30"/>
      <c r="AD148" s="51"/>
      <c r="AE148" s="70"/>
      <c r="AF148" s="30"/>
      <c r="AG148" s="30"/>
      <c r="AH148" s="70"/>
      <c r="AI148" s="30"/>
      <c r="AJ148" s="70"/>
      <c r="AK148" s="30"/>
      <c r="AL148" s="30"/>
      <c r="AM148" s="51"/>
      <c r="AN148" s="47"/>
      <c r="AO148" s="47"/>
      <c r="AP148" s="30"/>
      <c r="AQ148" s="30"/>
      <c r="AR148" s="47"/>
      <c r="AS148" s="30"/>
      <c r="AT148" s="47"/>
      <c r="AU148" s="30"/>
      <c r="AW148" s="30"/>
      <c r="AZ148" s="30"/>
      <c r="BA148" s="30"/>
      <c r="BE148" s="30"/>
      <c r="BH148" s="30"/>
      <c r="BI148" s="30"/>
      <c r="BL148" s="30"/>
      <c r="BN148" s="30"/>
      <c r="BP148" s="30"/>
      <c r="BS148" s="30"/>
      <c r="BT148" s="30"/>
      <c r="BW148" s="30"/>
      <c r="BX148" s="30"/>
      <c r="BZ148" s="30"/>
      <c r="CC148" s="30"/>
      <c r="CD148" s="30"/>
      <c r="CG148" s="30"/>
      <c r="CK148" s="30"/>
      <c r="CN148" s="30"/>
      <c r="CQ148" s="30"/>
      <c r="CU148" s="30"/>
      <c r="CX148" s="30"/>
    </row>
    <row r="149" spans="1:102" s="63" customFormat="1" x14ac:dyDescent="0.3">
      <c r="A149" s="107"/>
      <c r="B149" s="47">
        <v>1</v>
      </c>
      <c r="C149" s="31" t="s">
        <v>43</v>
      </c>
      <c r="D149" s="65">
        <f>F151/D150</f>
        <v>4.400227973715972</v>
      </c>
      <c r="E149" s="30" t="s">
        <v>105</v>
      </c>
      <c r="F149" s="65">
        <f>D149/D99</f>
        <v>0.22001139868579861</v>
      </c>
      <c r="G149" s="30" t="s">
        <v>31</v>
      </c>
      <c r="I149" s="30"/>
      <c r="J149" s="30"/>
      <c r="K149" s="30"/>
      <c r="O149" s="30"/>
      <c r="P149" s="30"/>
      <c r="Q149" s="30"/>
      <c r="S149" s="69"/>
      <c r="T149" s="30"/>
      <c r="U149" s="30"/>
      <c r="V149" s="69"/>
      <c r="W149" s="30"/>
      <c r="X149" s="69"/>
      <c r="Y149" s="69"/>
      <c r="Z149" s="51"/>
      <c r="AA149" s="51"/>
      <c r="AB149" s="30"/>
      <c r="AC149" s="30"/>
      <c r="AD149" s="51"/>
      <c r="AE149" s="70"/>
      <c r="AF149" s="30"/>
      <c r="AG149" s="30"/>
      <c r="AH149" s="70"/>
      <c r="AI149" s="30"/>
      <c r="AJ149" s="70"/>
      <c r="AK149" s="30"/>
      <c r="AL149" s="30"/>
      <c r="AM149" s="51"/>
      <c r="AN149" s="47"/>
      <c r="AO149" s="47"/>
      <c r="AP149" s="30"/>
      <c r="AQ149" s="30"/>
      <c r="AR149" s="47"/>
      <c r="AS149" s="30"/>
      <c r="AT149" s="47"/>
      <c r="AU149" s="30"/>
      <c r="AW149" s="30"/>
      <c r="AZ149" s="30"/>
      <c r="BA149" s="30"/>
      <c r="BE149" s="30"/>
      <c r="BH149" s="30"/>
      <c r="BI149" s="30"/>
      <c r="BL149" s="30"/>
      <c r="BN149" s="30"/>
      <c r="BP149" s="30"/>
      <c r="BS149" s="30"/>
      <c r="BT149" s="30"/>
      <c r="BW149" s="30"/>
      <c r="BX149" s="30"/>
      <c r="BZ149" s="30"/>
      <c r="CC149" s="30"/>
      <c r="CD149" s="30"/>
      <c r="CG149" s="30"/>
      <c r="CK149" s="30"/>
      <c r="CN149" s="30"/>
      <c r="CQ149" s="30"/>
      <c r="CU149" s="30"/>
      <c r="CX149" s="30"/>
    </row>
    <row r="150" spans="1:102" s="63" customFormat="1" x14ac:dyDescent="0.3">
      <c r="A150" s="107"/>
      <c r="B150" s="47">
        <v>1</v>
      </c>
      <c r="C150" s="31" t="s">
        <v>125</v>
      </c>
      <c r="D150" s="48">
        <v>0.59655999999999998</v>
      </c>
      <c r="E150" s="30" t="s">
        <v>43</v>
      </c>
      <c r="I150" s="30"/>
      <c r="J150" s="30"/>
      <c r="K150" s="30"/>
      <c r="O150" s="30"/>
      <c r="P150" s="30"/>
      <c r="Q150" s="30"/>
      <c r="S150" s="69"/>
      <c r="T150" s="30"/>
      <c r="U150" s="30"/>
      <c r="V150" s="69"/>
      <c r="W150" s="30"/>
      <c r="X150" s="69"/>
      <c r="Y150" s="69"/>
      <c r="Z150" s="51"/>
      <c r="AA150" s="51"/>
      <c r="AB150" s="30"/>
      <c r="AC150" s="30"/>
      <c r="AD150" s="51"/>
      <c r="AE150" s="70"/>
      <c r="AF150" s="30"/>
      <c r="AG150" s="30"/>
      <c r="AH150" s="70"/>
      <c r="AI150" s="30"/>
      <c r="AJ150" s="70"/>
      <c r="AK150" s="30"/>
      <c r="AL150" s="30"/>
      <c r="AM150" s="51"/>
      <c r="AN150" s="47"/>
      <c r="AO150" s="47"/>
      <c r="AP150" s="30"/>
      <c r="AQ150" s="30"/>
      <c r="AR150" s="47"/>
      <c r="AS150" s="30"/>
      <c r="AT150" s="47"/>
      <c r="AU150" s="30"/>
      <c r="AW150" s="30"/>
      <c r="AZ150" s="30"/>
      <c r="BA150" s="30"/>
      <c r="BE150" s="30"/>
      <c r="BH150" s="30"/>
      <c r="BI150" s="30"/>
      <c r="BL150" s="30"/>
      <c r="BN150" s="30"/>
      <c r="BP150" s="30"/>
      <c r="BS150" s="30"/>
      <c r="BT150" s="30"/>
      <c r="BW150" s="30"/>
      <c r="BX150" s="30"/>
      <c r="BZ150" s="30"/>
      <c r="CC150" s="30"/>
      <c r="CD150" s="30"/>
      <c r="CG150" s="30"/>
      <c r="CK150" s="30"/>
      <c r="CN150" s="30"/>
      <c r="CQ150" s="30"/>
      <c r="CU150" s="30"/>
      <c r="CX150" s="30"/>
    </row>
    <row r="151" spans="1:102" s="63" customFormat="1" x14ac:dyDescent="0.3">
      <c r="A151" s="47" t="s">
        <v>94</v>
      </c>
      <c r="B151" s="47">
        <v>1</v>
      </c>
      <c r="C151" s="31" t="s">
        <v>125</v>
      </c>
      <c r="D151" s="48">
        <v>294</v>
      </c>
      <c r="E151" s="30" t="s">
        <v>100</v>
      </c>
      <c r="F151" s="65">
        <f>D151/D107</f>
        <v>2.625</v>
      </c>
      <c r="G151" s="30" t="s">
        <v>105</v>
      </c>
      <c r="H151" s="63">
        <f>F151/D99</f>
        <v>0.13125000000000001</v>
      </c>
      <c r="I151" s="30" t="s">
        <v>31</v>
      </c>
      <c r="J151" s="30"/>
      <c r="K151" s="30"/>
      <c r="O151" s="30"/>
      <c r="P151" s="30"/>
      <c r="Q151" s="30"/>
      <c r="S151" s="69"/>
      <c r="T151" s="30"/>
      <c r="U151" s="30"/>
      <c r="V151" s="69"/>
      <c r="W151" s="30"/>
      <c r="X151" s="69"/>
      <c r="Y151" s="69"/>
      <c r="Z151" s="51"/>
      <c r="AA151" s="51"/>
      <c r="AB151" s="30"/>
      <c r="AC151" s="30"/>
      <c r="AD151" s="51"/>
      <c r="AE151" s="70"/>
      <c r="AF151" s="30"/>
      <c r="AG151" s="30"/>
      <c r="AH151" s="70"/>
      <c r="AI151" s="30"/>
      <c r="AJ151" s="70"/>
      <c r="AK151" s="30"/>
      <c r="AL151" s="30"/>
      <c r="AM151" s="51"/>
      <c r="AN151" s="47"/>
      <c r="AO151" s="47"/>
      <c r="AP151" s="30"/>
      <c r="AQ151" s="30"/>
      <c r="AR151" s="47"/>
      <c r="AS151" s="30"/>
      <c r="AT151" s="47"/>
      <c r="AU151" s="30"/>
      <c r="AW151" s="30"/>
      <c r="AZ151" s="30"/>
      <c r="BA151" s="30"/>
      <c r="BE151" s="30"/>
      <c r="BH151" s="30"/>
      <c r="BI151" s="30"/>
      <c r="BL151" s="30"/>
      <c r="BN151" s="30"/>
      <c r="BP151" s="30"/>
      <c r="BS151" s="30"/>
      <c r="BT151" s="30"/>
      <c r="BW151" s="30"/>
      <c r="BX151" s="30"/>
      <c r="BZ151" s="30"/>
      <c r="CC151" s="30"/>
      <c r="CD151" s="30"/>
      <c r="CG151" s="30"/>
      <c r="CK151" s="30"/>
      <c r="CN151" s="30"/>
      <c r="CQ151" s="30"/>
      <c r="CU151" s="30"/>
      <c r="CX151" s="30"/>
    </row>
    <row r="152" spans="1:102" s="63" customFormat="1" x14ac:dyDescent="0.3">
      <c r="A152" s="47" t="s">
        <v>24</v>
      </c>
      <c r="B152" s="47">
        <v>1</v>
      </c>
      <c r="C152" s="31" t="s">
        <v>43</v>
      </c>
      <c r="D152" s="65">
        <v>0.88400000000000001</v>
      </c>
      <c r="E152" s="30" t="s">
        <v>105</v>
      </c>
      <c r="I152" s="30"/>
      <c r="J152" s="30"/>
      <c r="K152" s="30"/>
      <c r="O152" s="30"/>
      <c r="P152" s="30"/>
      <c r="Q152" s="30"/>
      <c r="S152" s="69"/>
      <c r="T152" s="30"/>
      <c r="U152" s="30"/>
      <c r="V152" s="69"/>
      <c r="W152" s="30"/>
      <c r="X152" s="69"/>
      <c r="Y152" s="69"/>
      <c r="Z152" s="51"/>
      <c r="AA152" s="51"/>
      <c r="AB152" s="30"/>
      <c r="AC152" s="30"/>
      <c r="AD152" s="51"/>
      <c r="AE152" s="70"/>
      <c r="AF152" s="30"/>
      <c r="AG152" s="30"/>
      <c r="AH152" s="70"/>
      <c r="AI152" s="30"/>
      <c r="AJ152" s="70"/>
      <c r="AK152" s="30"/>
      <c r="AL152" s="30"/>
      <c r="AM152" s="51"/>
      <c r="AN152" s="47"/>
      <c r="AO152" s="47"/>
      <c r="AP152" s="30"/>
      <c r="AQ152" s="30"/>
      <c r="AR152" s="47"/>
      <c r="AS152" s="30"/>
      <c r="AT152" s="47"/>
      <c r="AU152" s="30"/>
      <c r="AW152" s="30"/>
      <c r="AZ152" s="30"/>
      <c r="BA152" s="30"/>
      <c r="BE152" s="30"/>
      <c r="BH152" s="30"/>
      <c r="BI152" s="30"/>
      <c r="BL152" s="30"/>
      <c r="BN152" s="30"/>
      <c r="BP152" s="30"/>
      <c r="BS152" s="30"/>
      <c r="BT152" s="30"/>
      <c r="BW152" s="30"/>
      <c r="BX152" s="30"/>
      <c r="BZ152" s="30"/>
      <c r="CC152" s="30"/>
      <c r="CD152" s="30"/>
      <c r="CG152" s="30"/>
      <c r="CK152" s="30"/>
      <c r="CN152" s="30"/>
      <c r="CQ152" s="30"/>
      <c r="CU152" s="30"/>
      <c r="CX152" s="30"/>
    </row>
    <row r="153" spans="1:102" s="63" customFormat="1" x14ac:dyDescent="0.3">
      <c r="A153" s="47" t="s">
        <v>47</v>
      </c>
      <c r="B153" s="47">
        <v>1</v>
      </c>
      <c r="C153" s="31" t="s">
        <v>111</v>
      </c>
      <c r="D153" s="48">
        <v>149</v>
      </c>
      <c r="E153" s="30" t="s">
        <v>100</v>
      </c>
      <c r="F153" s="65">
        <f>D153/D107</f>
        <v>1.3303571428571428</v>
      </c>
      <c r="G153" s="30" t="s">
        <v>105</v>
      </c>
      <c r="I153" s="30"/>
      <c r="J153" s="30"/>
      <c r="K153" s="30"/>
      <c r="O153" s="30"/>
      <c r="P153" s="30"/>
      <c r="Q153" s="30"/>
      <c r="S153" s="69"/>
      <c r="T153" s="30"/>
      <c r="U153" s="30"/>
      <c r="V153" s="69"/>
      <c r="W153" s="30"/>
      <c r="X153" s="69"/>
      <c r="Y153" s="69"/>
      <c r="Z153" s="51"/>
      <c r="AA153" s="51"/>
      <c r="AB153" s="30"/>
      <c r="AC153" s="30"/>
      <c r="AD153" s="51"/>
      <c r="AE153" s="70"/>
      <c r="AF153" s="30"/>
      <c r="AG153" s="30"/>
      <c r="AH153" s="70"/>
      <c r="AI153" s="30"/>
      <c r="AJ153" s="70"/>
      <c r="AK153" s="30"/>
      <c r="AL153" s="30"/>
      <c r="AM153" s="51"/>
      <c r="AN153" s="47"/>
      <c r="AO153" s="47"/>
      <c r="AP153" s="30"/>
      <c r="AQ153" s="30"/>
      <c r="AR153" s="47"/>
      <c r="AS153" s="30"/>
      <c r="AT153" s="47"/>
      <c r="AU153" s="30"/>
      <c r="AW153" s="30"/>
      <c r="AZ153" s="30"/>
      <c r="BA153" s="30"/>
      <c r="BE153" s="30"/>
      <c r="BH153" s="30"/>
      <c r="BI153" s="30"/>
      <c r="BL153" s="30"/>
      <c r="BN153" s="30"/>
      <c r="BP153" s="30"/>
      <c r="BS153" s="30"/>
      <c r="BT153" s="30"/>
      <c r="BW153" s="30"/>
      <c r="BX153" s="30"/>
      <c r="BZ153" s="30"/>
      <c r="CC153" s="30"/>
      <c r="CD153" s="30"/>
      <c r="CG153" s="30"/>
      <c r="CK153" s="30"/>
      <c r="CN153" s="30"/>
      <c r="CQ153" s="30"/>
      <c r="CU153" s="30"/>
      <c r="CX153" s="30"/>
    </row>
    <row r="154" spans="1:102" s="63" customFormat="1" x14ac:dyDescent="0.3">
      <c r="A154" s="47" t="s">
        <v>48</v>
      </c>
      <c r="B154" s="47">
        <v>1</v>
      </c>
      <c r="C154" s="31" t="s">
        <v>43</v>
      </c>
      <c r="D154" s="48">
        <v>164</v>
      </c>
      <c r="E154" s="30" t="s">
        <v>100</v>
      </c>
      <c r="F154" s="65">
        <f>D154/D107</f>
        <v>1.4642857142857142</v>
      </c>
      <c r="G154" s="30" t="s">
        <v>105</v>
      </c>
      <c r="I154" s="30"/>
      <c r="J154" s="30"/>
      <c r="K154" s="30"/>
      <c r="O154" s="30"/>
      <c r="P154" s="30"/>
      <c r="Q154" s="30"/>
      <c r="S154" s="69"/>
      <c r="T154" s="30"/>
      <c r="U154" s="30"/>
      <c r="V154" s="69"/>
      <c r="W154" s="30"/>
      <c r="X154" s="69"/>
      <c r="Y154" s="69"/>
      <c r="Z154" s="51"/>
      <c r="AA154" s="51"/>
      <c r="AB154" s="30"/>
      <c r="AC154" s="30"/>
      <c r="AD154" s="51"/>
      <c r="AE154" s="70"/>
      <c r="AF154" s="30"/>
      <c r="AG154" s="30"/>
      <c r="AH154" s="70"/>
      <c r="AI154" s="30"/>
      <c r="AJ154" s="70"/>
      <c r="AK154" s="30"/>
      <c r="AL154" s="30"/>
      <c r="AM154" s="51"/>
      <c r="AN154" s="47"/>
      <c r="AO154" s="47"/>
      <c r="AP154" s="30"/>
      <c r="AQ154" s="30"/>
      <c r="AR154" s="47"/>
      <c r="AS154" s="30"/>
      <c r="AT154" s="47"/>
      <c r="AU154" s="30"/>
      <c r="AW154" s="30"/>
      <c r="AZ154" s="30"/>
      <c r="BA154" s="30"/>
      <c r="BE154" s="30"/>
      <c r="BH154" s="30"/>
      <c r="BI154" s="30"/>
      <c r="BL154" s="30"/>
      <c r="BN154" s="30"/>
      <c r="BP154" s="30"/>
      <c r="BS154" s="30"/>
      <c r="BT154" s="30"/>
      <c r="BW154" s="30"/>
      <c r="BX154" s="30"/>
      <c r="BZ154" s="30"/>
      <c r="CC154" s="30"/>
      <c r="CD154" s="30"/>
      <c r="CG154" s="30"/>
      <c r="CK154" s="30"/>
      <c r="CN154" s="30"/>
      <c r="CQ154" s="30"/>
      <c r="CU154" s="30"/>
      <c r="CX154" s="30"/>
    </row>
    <row r="155" spans="1:102" s="63" customFormat="1" x14ac:dyDescent="0.3">
      <c r="A155" s="107" t="s">
        <v>59</v>
      </c>
      <c r="B155" s="47">
        <v>1</v>
      </c>
      <c r="C155" s="31" t="s">
        <v>125</v>
      </c>
      <c r="D155" s="48">
        <v>2.0271699999999999</v>
      </c>
      <c r="E155" s="30" t="s">
        <v>46</v>
      </c>
      <c r="F155" s="65">
        <f>D156*D155/D107</f>
        <v>6.0815099999999997</v>
      </c>
      <c r="G155" s="30" t="s">
        <v>105</v>
      </c>
      <c r="I155" s="30"/>
      <c r="J155" s="30"/>
      <c r="K155" s="30"/>
      <c r="O155" s="30"/>
      <c r="P155" s="30"/>
      <c r="Q155" s="30"/>
      <c r="S155" s="69"/>
      <c r="T155" s="30"/>
      <c r="U155" s="30"/>
      <c r="V155" s="69"/>
      <c r="W155" s="30"/>
      <c r="X155" s="69"/>
      <c r="Y155" s="69"/>
      <c r="Z155" s="51"/>
      <c r="AA155" s="51"/>
      <c r="AB155" s="30"/>
      <c r="AC155" s="30"/>
      <c r="AD155" s="51"/>
      <c r="AE155" s="70"/>
      <c r="AF155" s="30"/>
      <c r="AG155" s="30"/>
      <c r="AH155" s="70"/>
      <c r="AI155" s="30"/>
      <c r="AJ155" s="70"/>
      <c r="AK155" s="30"/>
      <c r="AL155" s="30"/>
      <c r="AM155" s="51"/>
      <c r="AN155" s="47"/>
      <c r="AO155" s="47"/>
      <c r="AP155" s="30"/>
      <c r="AQ155" s="30"/>
      <c r="AR155" s="47"/>
      <c r="AS155" s="30"/>
      <c r="AT155" s="47"/>
      <c r="AU155" s="30"/>
      <c r="AW155" s="30"/>
      <c r="AZ155" s="30"/>
      <c r="BA155" s="30"/>
      <c r="BE155" s="30"/>
      <c r="BH155" s="30"/>
      <c r="BI155" s="30"/>
      <c r="BL155" s="30"/>
      <c r="BN155" s="30"/>
      <c r="BP155" s="30"/>
      <c r="BS155" s="30"/>
      <c r="BT155" s="30"/>
      <c r="BW155" s="30"/>
      <c r="BX155" s="30"/>
      <c r="BZ155" s="30"/>
      <c r="CC155" s="30"/>
      <c r="CD155" s="30"/>
      <c r="CG155" s="30"/>
      <c r="CK155" s="30"/>
      <c r="CN155" s="30"/>
      <c r="CQ155" s="30"/>
      <c r="CU155" s="30"/>
      <c r="CX155" s="30"/>
    </row>
    <row r="156" spans="1:102" s="63" customFormat="1" x14ac:dyDescent="0.3">
      <c r="A156" s="107"/>
      <c r="B156" s="47">
        <v>1</v>
      </c>
      <c r="C156" s="31" t="s">
        <v>46</v>
      </c>
      <c r="D156" s="48">
        <v>336</v>
      </c>
      <c r="E156" s="30" t="s">
        <v>100</v>
      </c>
      <c r="F156" s="65">
        <f>D156/D107</f>
        <v>3</v>
      </c>
      <c r="G156" s="30" t="s">
        <v>105</v>
      </c>
      <c r="H156" s="65">
        <f>F156/D99</f>
        <v>0.15</v>
      </c>
      <c r="I156" s="30" t="s">
        <v>31</v>
      </c>
      <c r="J156" s="30"/>
      <c r="K156" s="30"/>
      <c r="O156" s="30"/>
      <c r="P156" s="30"/>
      <c r="Q156" s="30"/>
      <c r="S156" s="69"/>
      <c r="T156" s="30"/>
      <c r="U156" s="30"/>
      <c r="V156" s="69"/>
      <c r="W156" s="30"/>
      <c r="X156" s="69"/>
      <c r="Y156" s="69"/>
      <c r="Z156" s="51"/>
      <c r="AA156" s="51"/>
      <c r="AB156" s="30"/>
      <c r="AC156" s="30"/>
      <c r="AD156" s="51"/>
      <c r="AE156" s="70"/>
      <c r="AF156" s="30"/>
      <c r="AG156" s="30"/>
      <c r="AH156" s="70"/>
      <c r="AI156" s="30"/>
      <c r="AJ156" s="70"/>
      <c r="AK156" s="30"/>
      <c r="AL156" s="30"/>
      <c r="AM156" s="51"/>
      <c r="AN156" s="47"/>
      <c r="AO156" s="47"/>
      <c r="AP156" s="30"/>
      <c r="AQ156" s="30"/>
      <c r="AR156" s="47"/>
      <c r="AS156" s="30"/>
      <c r="AT156" s="47"/>
      <c r="AU156" s="30"/>
      <c r="AW156" s="30"/>
      <c r="AZ156" s="30"/>
      <c r="BA156" s="30"/>
      <c r="BE156" s="30"/>
      <c r="BH156" s="30"/>
      <c r="BI156" s="30"/>
      <c r="BL156" s="30"/>
      <c r="BN156" s="30"/>
      <c r="BP156" s="30"/>
      <c r="BS156" s="30"/>
      <c r="BT156" s="30"/>
      <c r="BW156" s="30"/>
      <c r="BX156" s="30"/>
      <c r="BZ156" s="30"/>
      <c r="CC156" s="30"/>
      <c r="CD156" s="30"/>
      <c r="CG156" s="30"/>
      <c r="CK156" s="30"/>
      <c r="CN156" s="30"/>
      <c r="CQ156" s="30"/>
      <c r="CU156" s="30"/>
      <c r="CX156" s="30"/>
    </row>
    <row r="157" spans="1:102" s="63" customFormat="1" x14ac:dyDescent="0.3">
      <c r="A157" s="73" t="s">
        <v>126</v>
      </c>
      <c r="B157" s="47">
        <v>1</v>
      </c>
      <c r="C157" s="31" t="s">
        <v>43</v>
      </c>
      <c r="D157" s="48">
        <v>746.66700000000003</v>
      </c>
      <c r="E157" s="30" t="s">
        <v>100</v>
      </c>
      <c r="F157" s="65">
        <f>D157/D107</f>
        <v>6.6666696428571433</v>
      </c>
      <c r="G157" s="30" t="s">
        <v>105</v>
      </c>
      <c r="H157" s="65">
        <f>F157/D99</f>
        <v>0.33333348214285718</v>
      </c>
      <c r="I157" s="30" t="s">
        <v>31</v>
      </c>
      <c r="J157" s="30"/>
      <c r="K157" s="30"/>
      <c r="O157" s="30"/>
      <c r="P157" s="30"/>
      <c r="Q157" s="30"/>
      <c r="S157" s="69"/>
      <c r="T157" s="30"/>
      <c r="U157" s="30"/>
      <c r="V157" s="69"/>
      <c r="W157" s="30"/>
      <c r="X157" s="69"/>
      <c r="Y157" s="69"/>
      <c r="Z157" s="51"/>
      <c r="AA157" s="51"/>
      <c r="AB157" s="30"/>
      <c r="AC157" s="30"/>
      <c r="AD157" s="51"/>
      <c r="AE157" s="70"/>
      <c r="AF157" s="30"/>
      <c r="AG157" s="30"/>
      <c r="AH157" s="70"/>
      <c r="AI157" s="30"/>
      <c r="AJ157" s="70"/>
      <c r="AK157" s="30"/>
      <c r="AL157" s="30"/>
      <c r="AM157" s="51"/>
      <c r="AN157" s="47"/>
      <c r="AO157" s="47"/>
      <c r="AP157" s="30"/>
      <c r="AQ157" s="30"/>
      <c r="AR157" s="47"/>
      <c r="AS157" s="30"/>
      <c r="AT157" s="47"/>
      <c r="AU157" s="30"/>
      <c r="AW157" s="30"/>
      <c r="AZ157" s="30"/>
      <c r="BA157" s="30"/>
      <c r="BE157" s="30"/>
      <c r="BH157" s="30"/>
      <c r="BI157" s="30"/>
      <c r="BL157" s="30"/>
      <c r="BN157" s="30"/>
      <c r="BP157" s="30"/>
      <c r="BS157" s="30"/>
      <c r="BT157" s="30"/>
      <c r="BW157" s="30"/>
      <c r="BX157" s="30"/>
      <c r="BZ157" s="30"/>
      <c r="CC157" s="30"/>
      <c r="CD157" s="30"/>
      <c r="CG157" s="30"/>
      <c r="CK157" s="30"/>
      <c r="CN157" s="30"/>
      <c r="CQ157" s="30"/>
      <c r="CU157" s="30"/>
      <c r="CX157" s="30"/>
    </row>
    <row r="158" spans="1:102" s="63" customFormat="1" x14ac:dyDescent="0.3">
      <c r="A158" s="107" t="s">
        <v>6</v>
      </c>
      <c r="B158" s="47">
        <v>1</v>
      </c>
      <c r="C158" s="31" t="s">
        <v>123</v>
      </c>
      <c r="D158" s="48">
        <v>260</v>
      </c>
      <c r="E158" s="30" t="s">
        <v>100</v>
      </c>
      <c r="F158" s="65">
        <f>D158/D107</f>
        <v>2.3214285714285716</v>
      </c>
      <c r="G158" s="30" t="s">
        <v>105</v>
      </c>
      <c r="I158" s="30"/>
      <c r="J158" s="30"/>
      <c r="K158" s="30"/>
      <c r="O158" s="30"/>
      <c r="P158" s="30"/>
      <c r="Q158" s="30"/>
      <c r="T158" s="30"/>
      <c r="U158" s="30"/>
      <c r="W158" s="30"/>
      <c r="Z158" s="51"/>
      <c r="AA158" s="51"/>
      <c r="AB158" s="30"/>
      <c r="AC158" s="30"/>
      <c r="AD158" s="51"/>
      <c r="AE158" s="47"/>
      <c r="AF158" s="30"/>
      <c r="AG158" s="30"/>
      <c r="AH158" s="47"/>
      <c r="AI158" s="30"/>
      <c r="AJ158" s="47"/>
      <c r="AK158" s="30"/>
      <c r="AL158" s="30"/>
      <c r="AM158" s="51"/>
      <c r="AN158" s="47"/>
      <c r="AO158" s="47"/>
      <c r="AP158" s="30"/>
      <c r="AQ158" s="30"/>
      <c r="AR158" s="47"/>
      <c r="AS158" s="30"/>
      <c r="AT158" s="47"/>
      <c r="AU158" s="30"/>
      <c r="AW158" s="30"/>
      <c r="AZ158" s="30"/>
      <c r="BA158" s="30"/>
      <c r="BE158" s="30"/>
      <c r="BH158" s="30"/>
      <c r="BI158" s="30"/>
      <c r="BL158" s="30"/>
      <c r="BN158" s="30"/>
      <c r="BP158" s="30"/>
      <c r="BS158" s="30"/>
      <c r="BT158" s="30"/>
      <c r="BW158" s="30"/>
      <c r="BX158" s="30"/>
      <c r="BZ158" s="30"/>
      <c r="CC158" s="30"/>
      <c r="CD158" s="30"/>
      <c r="CG158" s="30"/>
      <c r="CK158" s="30"/>
      <c r="CN158" s="30"/>
      <c r="CQ158" s="30"/>
      <c r="CU158" s="30"/>
      <c r="CX158" s="30"/>
    </row>
    <row r="159" spans="1:102" s="63" customFormat="1" x14ac:dyDescent="0.3">
      <c r="A159" s="107"/>
      <c r="B159" s="47">
        <v>1</v>
      </c>
      <c r="C159" s="31" t="s">
        <v>43</v>
      </c>
      <c r="D159" s="48">
        <v>1.5662799999999999</v>
      </c>
      <c r="E159" s="30" t="s">
        <v>105</v>
      </c>
      <c r="F159" s="65">
        <f>D159/D99</f>
        <v>7.8313999999999995E-2</v>
      </c>
      <c r="G159" s="30" t="s">
        <v>31</v>
      </c>
      <c r="I159" s="30"/>
      <c r="J159" s="30"/>
      <c r="K159" s="30"/>
      <c r="O159" s="30"/>
      <c r="P159" s="30"/>
      <c r="Q159" s="30"/>
      <c r="T159" s="30"/>
      <c r="U159" s="30"/>
      <c r="W159" s="30"/>
      <c r="Z159" s="51"/>
      <c r="AA159" s="51"/>
      <c r="AB159" s="30"/>
      <c r="AC159" s="30"/>
      <c r="AD159" s="51"/>
      <c r="AE159" s="47"/>
      <c r="AF159" s="30"/>
      <c r="AG159" s="30"/>
      <c r="AH159" s="47"/>
      <c r="AI159" s="30"/>
      <c r="AJ159" s="47"/>
      <c r="AK159" s="30"/>
      <c r="AL159" s="30"/>
      <c r="AM159" s="51"/>
      <c r="AN159" s="47"/>
      <c r="AO159" s="47"/>
      <c r="AP159" s="30"/>
      <c r="AQ159" s="30"/>
      <c r="AR159" s="47"/>
      <c r="AS159" s="30"/>
      <c r="AT159" s="47"/>
      <c r="AU159" s="30"/>
      <c r="AW159" s="30"/>
      <c r="AZ159" s="30"/>
      <c r="BA159" s="30"/>
      <c r="BE159" s="30"/>
      <c r="BH159" s="30"/>
      <c r="BI159" s="30"/>
      <c r="BL159" s="30"/>
      <c r="BN159" s="30"/>
      <c r="BP159" s="30"/>
      <c r="BS159" s="30"/>
      <c r="BT159" s="30"/>
      <c r="BW159" s="30"/>
      <c r="BX159" s="30"/>
      <c r="BZ159" s="30"/>
      <c r="CC159" s="30"/>
      <c r="CD159" s="30"/>
      <c r="CG159" s="30"/>
      <c r="CK159" s="30"/>
      <c r="CN159" s="30"/>
      <c r="CQ159" s="30"/>
      <c r="CU159" s="30"/>
      <c r="CX159" s="30"/>
    </row>
    <row r="160" spans="1:102" s="63" customFormat="1" x14ac:dyDescent="0.3">
      <c r="A160" s="107"/>
      <c r="B160" s="47">
        <v>1</v>
      </c>
      <c r="C160" s="31" t="s">
        <v>26</v>
      </c>
      <c r="D160" s="48">
        <v>560</v>
      </c>
      <c r="E160" s="30" t="s">
        <v>100</v>
      </c>
      <c r="F160" s="65">
        <f>D160/D107</f>
        <v>5</v>
      </c>
      <c r="G160" s="30" t="s">
        <v>105</v>
      </c>
      <c r="H160" s="51"/>
      <c r="I160" s="30"/>
      <c r="J160" s="30"/>
      <c r="K160" s="30"/>
      <c r="M160" s="51"/>
      <c r="N160" s="51"/>
      <c r="O160" s="30"/>
      <c r="P160" s="30"/>
      <c r="Q160" s="30"/>
      <c r="T160" s="30"/>
      <c r="U160" s="30"/>
      <c r="W160" s="30"/>
      <c r="AB160" s="30"/>
      <c r="AC160" s="30"/>
      <c r="AF160" s="30"/>
      <c r="AG160" s="30"/>
      <c r="AH160" s="47"/>
      <c r="AI160" s="30"/>
      <c r="AK160" s="30"/>
      <c r="AL160" s="30"/>
      <c r="AN160" s="51"/>
      <c r="AO160" s="51"/>
      <c r="AP160" s="30"/>
      <c r="AQ160" s="30"/>
      <c r="AS160" s="30"/>
      <c r="AU160" s="30"/>
      <c r="AW160" s="30"/>
      <c r="AZ160" s="30"/>
      <c r="BA160" s="30"/>
      <c r="BE160" s="30"/>
      <c r="BH160" s="30"/>
      <c r="BI160" s="30"/>
      <c r="BK160" s="51"/>
      <c r="BL160" s="30"/>
      <c r="BN160" s="30"/>
      <c r="BP160" s="30"/>
      <c r="BS160" s="30"/>
      <c r="BT160" s="30"/>
      <c r="BW160" s="30"/>
      <c r="BX160" s="30"/>
      <c r="BZ160" s="30"/>
      <c r="CC160" s="30"/>
      <c r="CD160" s="30"/>
      <c r="CG160" s="30"/>
      <c r="CK160" s="30"/>
      <c r="CN160" s="30"/>
      <c r="CQ160" s="30"/>
      <c r="CU160" s="30"/>
      <c r="CX160" s="30"/>
    </row>
    <row r="161" spans="1:102" s="47" customFormat="1" x14ac:dyDescent="0.3">
      <c r="A161" s="107" t="s">
        <v>86</v>
      </c>
      <c r="B161" s="47">
        <v>1</v>
      </c>
      <c r="C161" s="30" t="s">
        <v>46</v>
      </c>
      <c r="D161" s="74">
        <v>80</v>
      </c>
      <c r="E161" s="30" t="s">
        <v>100</v>
      </c>
      <c r="F161" s="75">
        <f>D161/D162</f>
        <v>0.7142857142857143</v>
      </c>
      <c r="G161" s="30" t="s">
        <v>105</v>
      </c>
      <c r="H161" s="74"/>
      <c r="I161" s="30"/>
      <c r="J161" s="30"/>
      <c r="K161" s="30"/>
      <c r="L161" s="74"/>
      <c r="M161" s="74"/>
      <c r="N161" s="74"/>
      <c r="O161" s="30"/>
      <c r="P161" s="30"/>
      <c r="Q161" s="30"/>
      <c r="R161" s="74"/>
      <c r="S161" s="74"/>
      <c r="T161" s="30"/>
      <c r="U161" s="30"/>
      <c r="W161" s="30"/>
      <c r="AB161" s="30"/>
      <c r="AC161" s="30"/>
      <c r="AF161" s="30"/>
      <c r="AG161" s="30"/>
      <c r="AI161" s="30"/>
      <c r="AK161" s="30"/>
      <c r="AL161" s="30"/>
      <c r="AP161" s="30"/>
      <c r="AQ161" s="30"/>
      <c r="AS161" s="30"/>
      <c r="AU161" s="30"/>
      <c r="AW161" s="30"/>
      <c r="AZ161" s="30"/>
      <c r="BA161" s="30"/>
      <c r="BE161" s="30"/>
      <c r="BH161" s="30"/>
      <c r="BI161" s="30"/>
      <c r="BL161" s="30"/>
      <c r="BN161" s="30"/>
      <c r="BP161" s="30"/>
      <c r="BS161" s="30"/>
      <c r="BT161" s="30"/>
      <c r="BW161" s="30"/>
      <c r="BX161" s="30"/>
      <c r="BZ161" s="30"/>
      <c r="CC161" s="30"/>
      <c r="CD161" s="30"/>
      <c r="CG161" s="30"/>
      <c r="CK161" s="30"/>
      <c r="CN161" s="30"/>
      <c r="CQ161" s="30"/>
      <c r="CU161" s="30"/>
      <c r="CX161" s="30"/>
    </row>
    <row r="162" spans="1:102" s="47" customFormat="1" x14ac:dyDescent="0.3">
      <c r="A162" s="107"/>
      <c r="B162" s="47">
        <v>1</v>
      </c>
      <c r="C162" s="30" t="s">
        <v>105</v>
      </c>
      <c r="D162" s="74">
        <v>112</v>
      </c>
      <c r="E162" s="30" t="s">
        <v>100</v>
      </c>
      <c r="F162" s="74"/>
      <c r="G162" s="74"/>
      <c r="H162" s="74"/>
      <c r="I162" s="30"/>
      <c r="J162" s="30"/>
      <c r="K162" s="30"/>
      <c r="L162" s="74"/>
      <c r="M162" s="74"/>
      <c r="N162" s="74"/>
      <c r="O162" s="30"/>
      <c r="P162" s="30"/>
      <c r="Q162" s="30"/>
      <c r="R162" s="74"/>
      <c r="S162" s="74"/>
      <c r="T162" s="30"/>
      <c r="U162" s="30"/>
      <c r="W162" s="30"/>
      <c r="AB162" s="30"/>
      <c r="AC162" s="30"/>
      <c r="AF162" s="30"/>
      <c r="AG162" s="30"/>
      <c r="AI162" s="30"/>
      <c r="AK162" s="30"/>
      <c r="AL162" s="30"/>
      <c r="AP162" s="30"/>
      <c r="AQ162" s="30"/>
      <c r="AS162" s="30"/>
      <c r="AU162" s="30"/>
      <c r="AW162" s="30"/>
      <c r="AZ162" s="30"/>
      <c r="BA162" s="30"/>
      <c r="BE162" s="30"/>
      <c r="BH162" s="30"/>
      <c r="BI162" s="30"/>
      <c r="BL162" s="30"/>
      <c r="BN162" s="30"/>
      <c r="BP162" s="30"/>
      <c r="BS162" s="30"/>
      <c r="BT162" s="30"/>
      <c r="BW162" s="30"/>
      <c r="BX162" s="30"/>
      <c r="BZ162" s="30"/>
      <c r="CC162" s="30"/>
      <c r="CD162" s="30"/>
      <c r="CG162" s="30"/>
      <c r="CK162" s="30"/>
      <c r="CN162" s="30"/>
      <c r="CQ162" s="30"/>
      <c r="CU162" s="30"/>
      <c r="CX162" s="30"/>
    </row>
    <row r="163" spans="1:102" s="47" customFormat="1" x14ac:dyDescent="0.3">
      <c r="A163" s="73" t="s">
        <v>127</v>
      </c>
      <c r="B163" s="47">
        <v>1</v>
      </c>
      <c r="C163" s="31" t="s">
        <v>46</v>
      </c>
      <c r="D163" s="48">
        <v>336</v>
      </c>
      <c r="E163" s="30" t="s">
        <v>100</v>
      </c>
      <c r="F163" s="65">
        <f>D163/D162</f>
        <v>3</v>
      </c>
      <c r="G163" s="30" t="s">
        <v>105</v>
      </c>
      <c r="H163" s="74"/>
      <c r="I163" s="30"/>
      <c r="J163" s="30"/>
      <c r="K163" s="30"/>
      <c r="L163" s="74"/>
      <c r="M163" s="74"/>
      <c r="N163" s="74"/>
      <c r="O163" s="30"/>
      <c r="P163" s="30"/>
      <c r="Q163" s="30"/>
      <c r="R163" s="74"/>
      <c r="S163" s="74"/>
      <c r="T163" s="30"/>
      <c r="U163" s="30"/>
      <c r="W163" s="30"/>
      <c r="AB163" s="30"/>
      <c r="AC163" s="30"/>
      <c r="AF163" s="30"/>
      <c r="AG163" s="30"/>
      <c r="AI163" s="30"/>
      <c r="AK163" s="30"/>
      <c r="AL163" s="30"/>
      <c r="AP163" s="30"/>
      <c r="AQ163" s="30"/>
      <c r="AS163" s="30"/>
      <c r="AU163" s="30"/>
      <c r="AW163" s="30"/>
      <c r="AZ163" s="30"/>
      <c r="BA163" s="30"/>
      <c r="BE163" s="30"/>
      <c r="BH163" s="30"/>
      <c r="BI163" s="30"/>
      <c r="BL163" s="30"/>
      <c r="BN163" s="30"/>
      <c r="BP163" s="30"/>
      <c r="BS163" s="30"/>
      <c r="BT163" s="30"/>
      <c r="BW163" s="30"/>
      <c r="BX163" s="30"/>
      <c r="BZ163" s="30"/>
      <c r="CC163" s="30"/>
      <c r="CD163" s="30"/>
      <c r="CG163" s="30"/>
      <c r="CK163" s="30"/>
      <c r="CN163" s="30"/>
      <c r="CQ163" s="30"/>
      <c r="CU163" s="30"/>
      <c r="CX163" s="30"/>
    </row>
    <row r="164" spans="1:102" s="47" customFormat="1" x14ac:dyDescent="0.3">
      <c r="A164" s="47" t="s">
        <v>128</v>
      </c>
      <c r="B164" s="47">
        <v>1</v>
      </c>
      <c r="C164" s="31" t="s">
        <v>129</v>
      </c>
      <c r="D164" s="48">
        <v>9</v>
      </c>
      <c r="E164" s="30" t="s">
        <v>18</v>
      </c>
      <c r="F164" s="74"/>
      <c r="G164" s="74"/>
      <c r="H164" s="74"/>
      <c r="I164" s="30"/>
      <c r="J164" s="30"/>
      <c r="K164" s="30"/>
      <c r="L164" s="74"/>
      <c r="M164" s="74"/>
      <c r="N164" s="74"/>
      <c r="O164" s="30"/>
      <c r="P164" s="30"/>
      <c r="Q164" s="30"/>
      <c r="R164" s="74"/>
      <c r="S164" s="74"/>
      <c r="T164" s="30"/>
      <c r="U164" s="30"/>
      <c r="W164" s="30"/>
      <c r="AB164" s="30"/>
      <c r="AC164" s="30"/>
      <c r="AF164" s="30"/>
      <c r="AG164" s="30"/>
      <c r="AI164" s="30"/>
      <c r="AK164" s="30"/>
      <c r="AL164" s="30"/>
      <c r="AP164" s="30"/>
      <c r="AQ164" s="30"/>
      <c r="AS164" s="30"/>
      <c r="AU164" s="30"/>
      <c r="AW164" s="30"/>
      <c r="AZ164" s="30"/>
      <c r="BA164" s="30"/>
      <c r="BE164" s="30"/>
      <c r="BH164" s="30"/>
      <c r="BI164" s="30"/>
      <c r="BL164" s="30"/>
      <c r="BN164" s="30"/>
      <c r="BP164" s="30"/>
      <c r="BS164" s="30"/>
      <c r="BT164" s="30"/>
      <c r="BW164" s="30"/>
      <c r="BX164" s="30"/>
      <c r="BZ164" s="30"/>
      <c r="CC164" s="30"/>
      <c r="CD164" s="30"/>
      <c r="CG164" s="30"/>
      <c r="CK164" s="30"/>
      <c r="CN164" s="30"/>
      <c r="CQ164" s="30"/>
      <c r="CU164" s="30"/>
      <c r="CX164" s="30"/>
    </row>
    <row r="165" spans="1:102" s="47" customFormat="1" x14ac:dyDescent="0.3">
      <c r="A165" s="47" t="s">
        <v>87</v>
      </c>
      <c r="B165" s="47">
        <v>1</v>
      </c>
      <c r="C165" s="31" t="s">
        <v>43</v>
      </c>
      <c r="D165" s="48">
        <f>756/3720</f>
        <v>0.20322580645161289</v>
      </c>
      <c r="E165" s="30" t="s">
        <v>105</v>
      </c>
      <c r="F165" s="75">
        <f>D165/D99</f>
        <v>1.0161290322580644E-2</v>
      </c>
      <c r="G165" s="34" t="s">
        <v>31</v>
      </c>
      <c r="H165" s="74"/>
      <c r="I165" s="30"/>
      <c r="J165" s="30"/>
      <c r="K165" s="30"/>
      <c r="L165" s="74"/>
      <c r="M165" s="74"/>
      <c r="N165" s="74"/>
      <c r="O165" s="30"/>
      <c r="P165" s="30"/>
      <c r="Q165" s="30"/>
      <c r="R165" s="74"/>
      <c r="S165" s="74"/>
      <c r="T165" s="30"/>
      <c r="U165" s="30"/>
      <c r="W165" s="30"/>
      <c r="AB165" s="30"/>
      <c r="AC165" s="30"/>
      <c r="AF165" s="30"/>
      <c r="AG165" s="30"/>
      <c r="AI165" s="30"/>
      <c r="AK165" s="30"/>
      <c r="AL165" s="30"/>
      <c r="AP165" s="30"/>
      <c r="AQ165" s="30"/>
      <c r="AS165" s="30"/>
      <c r="AU165" s="30"/>
      <c r="AW165" s="30"/>
      <c r="AZ165" s="30"/>
      <c r="BA165" s="30"/>
      <c r="BE165" s="30"/>
      <c r="BH165" s="30"/>
      <c r="BI165" s="30"/>
      <c r="BL165" s="30"/>
      <c r="BN165" s="30"/>
      <c r="BP165" s="30"/>
      <c r="BS165" s="30"/>
      <c r="BT165" s="30"/>
      <c r="BW165" s="30"/>
      <c r="BX165" s="30"/>
      <c r="BZ165" s="30"/>
      <c r="CC165" s="30"/>
      <c r="CD165" s="30"/>
      <c r="CG165" s="30"/>
      <c r="CK165" s="30"/>
      <c r="CN165" s="30"/>
      <c r="CQ165" s="30"/>
      <c r="CU165" s="30"/>
      <c r="CX165" s="30"/>
    </row>
    <row r="166" spans="1:102" s="47" customFormat="1" x14ac:dyDescent="0.3">
      <c r="A166" s="47" t="s">
        <v>9</v>
      </c>
      <c r="B166" s="47">
        <v>1</v>
      </c>
      <c r="C166" s="31" t="s">
        <v>111</v>
      </c>
      <c r="D166" s="48">
        <f>600/400</f>
        <v>1.5</v>
      </c>
      <c r="E166" s="30" t="s">
        <v>105</v>
      </c>
      <c r="F166" s="74"/>
      <c r="G166" s="74"/>
      <c r="H166" s="74"/>
      <c r="I166" s="30"/>
      <c r="J166" s="30"/>
      <c r="K166" s="30"/>
      <c r="L166" s="74"/>
      <c r="M166" s="74"/>
      <c r="N166" s="74"/>
      <c r="O166" s="30"/>
      <c r="P166" s="30"/>
      <c r="Q166" s="30"/>
      <c r="R166" s="74"/>
      <c r="S166" s="74"/>
      <c r="T166" s="30"/>
      <c r="U166" s="30"/>
      <c r="W166" s="30"/>
      <c r="AB166" s="30"/>
      <c r="AC166" s="30"/>
      <c r="AF166" s="30"/>
      <c r="AG166" s="30"/>
      <c r="AI166" s="30"/>
      <c r="AK166" s="30"/>
      <c r="AL166" s="30"/>
      <c r="AP166" s="30"/>
      <c r="AQ166" s="30"/>
      <c r="AS166" s="30"/>
      <c r="AU166" s="30"/>
      <c r="AW166" s="30"/>
      <c r="AZ166" s="30"/>
      <c r="BA166" s="30"/>
      <c r="BE166" s="30"/>
      <c r="BH166" s="30"/>
      <c r="BI166" s="30"/>
      <c r="BL166" s="30"/>
      <c r="BN166" s="30"/>
      <c r="BP166" s="30"/>
      <c r="BS166" s="30"/>
      <c r="BT166" s="30"/>
      <c r="BW166" s="30"/>
      <c r="BX166" s="30"/>
      <c r="BZ166" s="30"/>
      <c r="CC166" s="30"/>
      <c r="CD166" s="30"/>
      <c r="CG166" s="30"/>
      <c r="CK166" s="30"/>
      <c r="CN166" s="30"/>
      <c r="CQ166" s="30"/>
      <c r="CU166" s="30"/>
      <c r="CX166" s="30"/>
    </row>
    <row r="167" spans="1:102" s="47" customFormat="1" x14ac:dyDescent="0.3">
      <c r="A167" s="47" t="s">
        <v>130</v>
      </c>
      <c r="B167" s="47">
        <v>1</v>
      </c>
      <c r="C167" s="31" t="s">
        <v>46</v>
      </c>
      <c r="D167" s="48">
        <f>600/400</f>
        <v>1.5</v>
      </c>
      <c r="E167" s="30" t="s">
        <v>105</v>
      </c>
      <c r="F167" s="74"/>
      <c r="G167" s="74"/>
      <c r="H167" s="74"/>
      <c r="I167" s="30"/>
      <c r="J167" s="30"/>
      <c r="K167" s="30"/>
      <c r="L167" s="74"/>
      <c r="M167" s="74"/>
      <c r="N167" s="74"/>
      <c r="O167" s="30"/>
      <c r="P167" s="30"/>
      <c r="Q167" s="30"/>
      <c r="R167" s="74"/>
      <c r="S167" s="74"/>
      <c r="T167" s="30"/>
      <c r="U167" s="30"/>
      <c r="W167" s="30"/>
      <c r="AB167" s="30"/>
      <c r="AC167" s="30"/>
      <c r="AF167" s="30"/>
      <c r="AG167" s="30"/>
      <c r="AI167" s="30"/>
      <c r="AK167" s="30"/>
      <c r="AL167" s="30"/>
      <c r="AP167" s="30"/>
      <c r="AQ167" s="30"/>
      <c r="AS167" s="30"/>
      <c r="AU167" s="30"/>
      <c r="AW167" s="30"/>
      <c r="AZ167" s="30"/>
      <c r="BA167" s="30"/>
      <c r="BE167" s="30"/>
      <c r="BH167" s="30"/>
      <c r="BI167" s="30"/>
      <c r="BL167" s="30"/>
      <c r="BN167" s="30"/>
      <c r="BP167" s="30"/>
      <c r="BS167" s="30"/>
      <c r="BT167" s="30"/>
      <c r="BW167" s="30"/>
      <c r="BX167" s="30"/>
      <c r="BZ167" s="30"/>
      <c r="CC167" s="30"/>
      <c r="CD167" s="30"/>
      <c r="CG167" s="30"/>
      <c r="CK167" s="30"/>
      <c r="CN167" s="30"/>
      <c r="CQ167" s="30"/>
      <c r="CU167" s="30"/>
      <c r="CX167" s="30"/>
    </row>
    <row r="168" spans="1:102" s="47" customFormat="1" x14ac:dyDescent="0.3">
      <c r="A168" s="47" t="s">
        <v>37</v>
      </c>
      <c r="B168" s="47">
        <v>1</v>
      </c>
      <c r="C168" s="31" t="s">
        <v>43</v>
      </c>
      <c r="D168" s="48">
        <f>3600/2400</f>
        <v>1.5</v>
      </c>
      <c r="E168" s="30" t="s">
        <v>105</v>
      </c>
      <c r="F168" s="75">
        <f>D168/D99</f>
        <v>7.4999999999999997E-2</v>
      </c>
      <c r="G168" s="34" t="s">
        <v>31</v>
      </c>
      <c r="H168" s="74"/>
      <c r="I168" s="30"/>
      <c r="J168" s="30"/>
      <c r="K168" s="30"/>
      <c r="L168" s="74"/>
      <c r="M168" s="74"/>
      <c r="N168" s="74"/>
      <c r="O168" s="30"/>
      <c r="P168" s="30"/>
      <c r="Q168" s="30"/>
      <c r="R168" s="74"/>
      <c r="S168" s="74"/>
      <c r="T168" s="30"/>
      <c r="U168" s="30"/>
      <c r="W168" s="30"/>
      <c r="AB168" s="30"/>
      <c r="AC168" s="30"/>
      <c r="AF168" s="30"/>
      <c r="AG168" s="30"/>
      <c r="AI168" s="30"/>
      <c r="AK168" s="30"/>
      <c r="AL168" s="30"/>
      <c r="AP168" s="30"/>
      <c r="AQ168" s="30"/>
      <c r="AS168" s="30"/>
      <c r="AU168" s="30"/>
      <c r="AW168" s="30"/>
      <c r="AZ168" s="30"/>
      <c r="BA168" s="30"/>
      <c r="BE168" s="30"/>
      <c r="BH168" s="30"/>
      <c r="BI168" s="30"/>
      <c r="BL168" s="30"/>
      <c r="BN168" s="30"/>
      <c r="BP168" s="30"/>
      <c r="BS168" s="30"/>
      <c r="BT168" s="30"/>
      <c r="BW168" s="30"/>
      <c r="BX168" s="30"/>
      <c r="BZ168" s="30"/>
      <c r="CC168" s="30"/>
      <c r="CD168" s="30"/>
      <c r="CG168" s="30"/>
      <c r="CK168" s="30"/>
      <c r="CN168" s="30"/>
      <c r="CQ168" s="30"/>
      <c r="CU168" s="30"/>
      <c r="CX168" s="30"/>
    </row>
    <row r="169" spans="1:102" s="63" customFormat="1" x14ac:dyDescent="0.3">
      <c r="A169" s="47" t="s">
        <v>25</v>
      </c>
      <c r="B169" s="47">
        <v>1</v>
      </c>
      <c r="C169" s="31" t="s">
        <v>43</v>
      </c>
      <c r="D169" s="63">
        <v>153.125</v>
      </c>
      <c r="E169" s="30" t="s">
        <v>100</v>
      </c>
      <c r="F169" s="65">
        <f>D169/D107</f>
        <v>1.3671875</v>
      </c>
      <c r="G169" s="30" t="s">
        <v>105</v>
      </c>
      <c r="H169" s="51"/>
      <c r="K169" s="30"/>
      <c r="M169" s="51"/>
      <c r="N169" s="51"/>
      <c r="Q169" s="30"/>
      <c r="U169" s="30"/>
      <c r="AB169" s="30"/>
      <c r="AF169" s="30"/>
      <c r="AH169" s="47"/>
      <c r="AI169" s="30"/>
      <c r="AL169" s="30"/>
      <c r="AN169" s="51"/>
      <c r="AO169" s="51"/>
      <c r="AP169" s="30"/>
      <c r="AS169" s="30"/>
      <c r="AW169" s="30"/>
      <c r="BA169" s="30"/>
      <c r="BE169" s="30"/>
      <c r="BI169" s="30"/>
      <c r="BK169" s="51"/>
      <c r="BL169" s="30"/>
      <c r="BP169" s="30"/>
      <c r="BS169" s="30"/>
      <c r="BW169" s="30"/>
      <c r="BZ169" s="30"/>
      <c r="CC169" s="30"/>
    </row>
    <row r="170" spans="1:102" s="47" customFormat="1" x14ac:dyDescent="0.3">
      <c r="A170" s="107" t="s">
        <v>33</v>
      </c>
      <c r="B170" s="47">
        <v>1</v>
      </c>
      <c r="C170" s="30" t="s">
        <v>28</v>
      </c>
      <c r="D170" s="48">
        <v>1</v>
      </c>
      <c r="E170" s="30" t="s">
        <v>46</v>
      </c>
      <c r="F170" s="65">
        <f>F171</f>
        <v>3.0446428571428572</v>
      </c>
      <c r="G170" s="30" t="s">
        <v>105</v>
      </c>
      <c r="I170" s="63"/>
      <c r="J170" s="63"/>
      <c r="K170" s="30"/>
      <c r="O170" s="63"/>
      <c r="P170" s="63"/>
      <c r="Q170" s="30"/>
      <c r="T170" s="63"/>
      <c r="U170" s="30"/>
      <c r="W170" s="63"/>
      <c r="AB170" s="30"/>
      <c r="AC170" s="63"/>
      <c r="AF170" s="30"/>
      <c r="AG170" s="63"/>
      <c r="AI170" s="30"/>
      <c r="AK170" s="63"/>
      <c r="AL170" s="30"/>
      <c r="AP170" s="30"/>
      <c r="AQ170" s="63"/>
      <c r="AS170" s="30"/>
      <c r="AU170" s="63"/>
      <c r="AW170" s="30"/>
      <c r="AZ170" s="63"/>
      <c r="BA170" s="30"/>
      <c r="BE170" s="30"/>
      <c r="BH170" s="63"/>
      <c r="BI170" s="30"/>
      <c r="BL170" s="30"/>
      <c r="BN170" s="63"/>
      <c r="BP170" s="30"/>
      <c r="BS170" s="30"/>
      <c r="BT170" s="63"/>
      <c r="BW170" s="30"/>
      <c r="BX170" s="63"/>
      <c r="BZ170" s="30"/>
      <c r="CC170" s="30"/>
      <c r="CD170" s="63"/>
      <c r="CG170" s="63"/>
      <c r="CK170" s="63"/>
      <c r="CN170" s="63"/>
      <c r="CQ170" s="63"/>
      <c r="CU170" s="63"/>
      <c r="CX170" s="63"/>
    </row>
    <row r="171" spans="1:102" s="47" customFormat="1" x14ac:dyDescent="0.3">
      <c r="A171" s="107"/>
      <c r="B171" s="47">
        <v>1</v>
      </c>
      <c r="C171" s="30" t="s">
        <v>46</v>
      </c>
      <c r="D171" s="48">
        <f>(355+327)/2</f>
        <v>341</v>
      </c>
      <c r="E171" s="30" t="s">
        <v>100</v>
      </c>
      <c r="F171" s="65">
        <f>D171/D107</f>
        <v>3.0446428571428572</v>
      </c>
      <c r="G171" s="30" t="s">
        <v>105</v>
      </c>
      <c r="I171" s="63"/>
      <c r="J171" s="63"/>
      <c r="K171" s="30"/>
      <c r="O171" s="63"/>
      <c r="P171" s="63"/>
      <c r="Q171" s="30"/>
      <c r="T171" s="63"/>
      <c r="U171" s="30"/>
      <c r="W171" s="63"/>
      <c r="AB171" s="30"/>
      <c r="AC171" s="63"/>
      <c r="AF171" s="30"/>
      <c r="AG171" s="63"/>
      <c r="AI171" s="30"/>
      <c r="AK171" s="63"/>
      <c r="AL171" s="30"/>
      <c r="AP171" s="30"/>
      <c r="AQ171" s="63"/>
      <c r="AS171" s="30"/>
      <c r="AU171" s="63"/>
      <c r="AW171" s="30"/>
      <c r="AZ171" s="63"/>
      <c r="BA171" s="30"/>
      <c r="BE171" s="30"/>
      <c r="BH171" s="63"/>
      <c r="BI171" s="30"/>
      <c r="BL171" s="30"/>
      <c r="BN171" s="63"/>
      <c r="BP171" s="30"/>
      <c r="BS171" s="30"/>
      <c r="BT171" s="63"/>
      <c r="BW171" s="30"/>
      <c r="BX171" s="63"/>
      <c r="BZ171" s="30"/>
      <c r="CC171" s="30"/>
      <c r="CD171" s="63"/>
      <c r="CG171" s="63"/>
      <c r="CK171" s="63"/>
      <c r="CN171" s="63"/>
      <c r="CQ171" s="63"/>
      <c r="CU171" s="63"/>
      <c r="CX171" s="63"/>
    </row>
    <row r="172" spans="1:102" s="47" customFormat="1" x14ac:dyDescent="0.3">
      <c r="A172" s="107"/>
      <c r="B172" s="47">
        <v>1</v>
      </c>
      <c r="C172" s="31" t="s">
        <v>19</v>
      </c>
      <c r="D172" s="48">
        <f>(2.2+2.5)/2</f>
        <v>2.35</v>
      </c>
      <c r="E172" s="30" t="s">
        <v>100</v>
      </c>
      <c r="F172" s="65">
        <f>D172/D107</f>
        <v>2.0982142857142859E-2</v>
      </c>
      <c r="G172" s="30" t="s">
        <v>105</v>
      </c>
      <c r="I172" s="63"/>
      <c r="J172" s="63"/>
      <c r="K172" s="30"/>
      <c r="O172" s="63"/>
      <c r="P172" s="63"/>
      <c r="Q172" s="30"/>
      <c r="T172" s="63"/>
      <c r="U172" s="30"/>
      <c r="W172" s="63"/>
      <c r="AB172" s="30"/>
      <c r="AC172" s="63"/>
      <c r="AF172" s="30"/>
      <c r="AG172" s="63"/>
      <c r="AI172" s="30"/>
      <c r="AK172" s="63"/>
      <c r="AL172" s="30"/>
      <c r="AP172" s="30"/>
      <c r="AQ172" s="63"/>
      <c r="AS172" s="30"/>
      <c r="AU172" s="63"/>
      <c r="AW172" s="30"/>
      <c r="AZ172" s="63"/>
      <c r="BA172" s="30"/>
      <c r="BE172" s="30"/>
      <c r="BH172" s="63"/>
      <c r="BI172" s="30"/>
      <c r="BL172" s="30"/>
      <c r="BN172" s="63"/>
      <c r="BP172" s="30"/>
      <c r="BS172" s="30"/>
      <c r="BT172" s="63"/>
      <c r="BW172" s="30"/>
      <c r="BX172" s="63"/>
      <c r="BZ172" s="30"/>
      <c r="CC172" s="30"/>
      <c r="CD172" s="63"/>
      <c r="CG172" s="63"/>
      <c r="CK172" s="63"/>
      <c r="CN172" s="63"/>
      <c r="CQ172" s="63"/>
      <c r="CU172" s="63"/>
      <c r="CX172" s="63"/>
    </row>
    <row r="173" spans="1:102" s="80" customFormat="1" x14ac:dyDescent="0.3">
      <c r="A173" s="47" t="s">
        <v>95</v>
      </c>
      <c r="B173" s="47">
        <v>1</v>
      </c>
      <c r="C173" s="31" t="s">
        <v>28</v>
      </c>
      <c r="D173" s="48">
        <v>640</v>
      </c>
      <c r="E173" s="30" t="s">
        <v>100</v>
      </c>
      <c r="F173" s="65">
        <f>D173/D107</f>
        <v>5.7142857142857144</v>
      </c>
      <c r="G173" s="30" t="s">
        <v>105</v>
      </c>
      <c r="H173" s="76"/>
      <c r="I173" s="63"/>
      <c r="J173" s="63"/>
      <c r="K173" s="30"/>
      <c r="L173" s="77"/>
      <c r="M173" s="76"/>
      <c r="N173" s="76"/>
      <c r="O173" s="63"/>
      <c r="P173" s="63"/>
      <c r="Q173" s="30"/>
      <c r="R173" s="77"/>
      <c r="S173" s="76"/>
      <c r="T173" s="63"/>
      <c r="U173" s="30"/>
      <c r="V173" s="76"/>
      <c r="W173" s="63"/>
      <c r="X173" s="76"/>
      <c r="Y173" s="77"/>
      <c r="Z173" s="76"/>
      <c r="AA173" s="76"/>
      <c r="AB173" s="30"/>
      <c r="AC173" s="63"/>
      <c r="AD173" s="76"/>
      <c r="AE173" s="76"/>
      <c r="AF173" s="30"/>
      <c r="AG173" s="63"/>
      <c r="AH173" s="77"/>
      <c r="AI173" s="30"/>
      <c r="AJ173" s="76"/>
      <c r="AK173" s="63"/>
      <c r="AL173" s="30"/>
      <c r="AM173" s="78"/>
      <c r="AN173" s="76"/>
      <c r="AO173" s="79"/>
      <c r="AP173" s="30"/>
      <c r="AQ173" s="63"/>
      <c r="AR173" s="76"/>
      <c r="AS173" s="30"/>
      <c r="AT173" s="77"/>
      <c r="AU173" s="63"/>
      <c r="AV173" s="76"/>
      <c r="AW173" s="30"/>
      <c r="AX173" s="76"/>
      <c r="AY173" s="76"/>
      <c r="AZ173" s="63"/>
      <c r="BA173" s="30"/>
      <c r="BB173" s="77"/>
      <c r="BC173" s="76"/>
      <c r="BD173" s="76"/>
      <c r="BE173" s="30"/>
      <c r="BF173" s="77"/>
      <c r="BG173" s="76"/>
      <c r="BH173" s="63"/>
      <c r="BI173" s="30"/>
      <c r="BJ173" s="77"/>
      <c r="BK173" s="76"/>
      <c r="BL173" s="30"/>
      <c r="BM173" s="77"/>
      <c r="BN173" s="63"/>
      <c r="BO173" s="76"/>
      <c r="BP173" s="30"/>
      <c r="BQ173" s="79"/>
      <c r="BR173" s="76"/>
      <c r="BS173" s="30"/>
      <c r="BT173" s="63"/>
      <c r="BW173" s="30"/>
      <c r="BX173" s="63"/>
      <c r="BZ173" s="30"/>
      <c r="CC173" s="30"/>
      <c r="CD173" s="63"/>
      <c r="CG173" s="63"/>
      <c r="CK173" s="63"/>
      <c r="CN173" s="63"/>
      <c r="CQ173" s="63"/>
      <c r="CU173" s="63"/>
      <c r="CX173" s="63"/>
    </row>
    <row r="174" spans="1:102" s="80" customFormat="1" x14ac:dyDescent="0.3">
      <c r="A174" s="107" t="s">
        <v>5</v>
      </c>
      <c r="B174" s="47">
        <v>1</v>
      </c>
      <c r="C174" s="31" t="s">
        <v>21</v>
      </c>
      <c r="D174" s="48">
        <v>196</v>
      </c>
      <c r="E174" s="30" t="s">
        <v>100</v>
      </c>
      <c r="F174" s="65">
        <f>D174/D107</f>
        <v>1.75</v>
      </c>
      <c r="G174" s="30" t="s">
        <v>105</v>
      </c>
      <c r="H174" s="76"/>
      <c r="I174" s="63"/>
      <c r="J174" s="63"/>
      <c r="K174" s="30"/>
      <c r="L174" s="76"/>
      <c r="M174" s="79"/>
      <c r="N174" s="76"/>
      <c r="O174" s="63"/>
      <c r="P174" s="63"/>
      <c r="Q174" s="30"/>
      <c r="R174" s="76"/>
      <c r="S174" s="79"/>
      <c r="T174" s="63"/>
      <c r="U174" s="30"/>
      <c r="V174" s="76"/>
      <c r="W174" s="63"/>
      <c r="X174" s="76"/>
      <c r="Y174" s="76"/>
      <c r="Z174" s="79"/>
      <c r="AA174" s="79"/>
      <c r="AB174" s="30"/>
      <c r="AC174" s="63"/>
      <c r="AD174" s="76"/>
      <c r="AE174" s="76"/>
      <c r="AF174" s="30"/>
      <c r="AG174" s="63"/>
      <c r="AH174" s="76"/>
      <c r="AI174" s="30"/>
      <c r="AJ174" s="79"/>
      <c r="AK174" s="63"/>
      <c r="AL174" s="30"/>
      <c r="AM174" s="76"/>
      <c r="AO174" s="76"/>
      <c r="AP174" s="30"/>
      <c r="AQ174" s="63"/>
      <c r="AR174" s="79"/>
      <c r="AS174" s="30"/>
      <c r="AT174" s="76"/>
      <c r="AU174" s="63"/>
      <c r="AV174" s="79"/>
      <c r="AW174" s="30"/>
      <c r="AX174" s="76"/>
      <c r="AY174" s="76"/>
      <c r="AZ174" s="63"/>
      <c r="BA174" s="30"/>
      <c r="BB174" s="76"/>
      <c r="BC174" s="79"/>
      <c r="BD174" s="79"/>
      <c r="BE174" s="30"/>
      <c r="BF174" s="76"/>
      <c r="BG174" s="79"/>
      <c r="BH174" s="63"/>
      <c r="BI174" s="30"/>
      <c r="BJ174" s="76"/>
      <c r="BK174" s="77"/>
      <c r="BL174" s="30"/>
      <c r="BM174" s="76"/>
      <c r="BN174" s="63"/>
      <c r="BO174" s="79"/>
      <c r="BP174" s="30"/>
      <c r="BQ174" s="76"/>
      <c r="BR174" s="79"/>
      <c r="BS174" s="30"/>
      <c r="BT174" s="63"/>
      <c r="BU174" s="76"/>
      <c r="BW174" s="30"/>
      <c r="BX174" s="63"/>
      <c r="BZ174" s="30"/>
      <c r="CC174" s="30"/>
      <c r="CD174" s="63"/>
      <c r="CG174" s="63"/>
      <c r="CK174" s="63"/>
      <c r="CN174" s="63"/>
      <c r="CQ174" s="63"/>
      <c r="CU174" s="63"/>
      <c r="CX174" s="63"/>
    </row>
    <row r="175" spans="1:102" s="63" customFormat="1" ht="13.8" customHeight="1" x14ac:dyDescent="0.3">
      <c r="A175" s="107"/>
      <c r="B175" s="47">
        <v>1</v>
      </c>
      <c r="C175" s="31" t="s">
        <v>131</v>
      </c>
      <c r="D175" s="48">
        <v>280</v>
      </c>
      <c r="E175" s="30" t="s">
        <v>100</v>
      </c>
      <c r="F175" s="65">
        <f>D175/D107</f>
        <v>2.5</v>
      </c>
      <c r="G175" s="30" t="s">
        <v>105</v>
      </c>
      <c r="K175" s="30"/>
      <c r="Q175" s="30"/>
      <c r="U175" s="30"/>
      <c r="AB175" s="30"/>
      <c r="AF175" s="30"/>
      <c r="AI175" s="30"/>
      <c r="AL175" s="30"/>
      <c r="AP175" s="30"/>
      <c r="AS175" s="30"/>
      <c r="AW175" s="30"/>
      <c r="BA175" s="30"/>
      <c r="BE175" s="30"/>
      <c r="BI175" s="30"/>
      <c r="BL175" s="30"/>
      <c r="BP175" s="30"/>
      <c r="BS175" s="30"/>
      <c r="BW175" s="30"/>
      <c r="BZ175" s="30"/>
      <c r="CC175" s="30"/>
    </row>
    <row r="176" spans="1:102" s="63" customFormat="1" x14ac:dyDescent="0.3">
      <c r="A176" s="68" t="s">
        <v>23</v>
      </c>
      <c r="B176" s="47">
        <v>1</v>
      </c>
      <c r="C176" s="31" t="s">
        <v>111</v>
      </c>
      <c r="D176" s="48">
        <v>112</v>
      </c>
      <c r="E176" s="30" t="s">
        <v>100</v>
      </c>
      <c r="F176" s="65">
        <f>D176/D107</f>
        <v>1</v>
      </c>
      <c r="G176" s="30" t="s">
        <v>105</v>
      </c>
      <c r="K176" s="30"/>
      <c r="Q176" s="30"/>
      <c r="U176" s="30"/>
      <c r="AB176" s="30"/>
      <c r="AF176" s="30"/>
      <c r="AI176" s="30"/>
      <c r="AL176" s="30"/>
      <c r="AP176" s="30"/>
      <c r="AS176" s="30"/>
      <c r="AW176" s="30"/>
      <c r="BA176" s="30"/>
      <c r="BE176" s="30"/>
      <c r="BI176" s="30"/>
      <c r="BL176" s="30"/>
      <c r="BP176" s="30"/>
      <c r="BS176" s="30"/>
      <c r="BW176" s="30"/>
      <c r="BZ176" s="30"/>
      <c r="CC176" s="30"/>
    </row>
    <row r="177" spans="1:81" s="63" customFormat="1" x14ac:dyDescent="0.3">
      <c r="A177" s="68" t="s">
        <v>83</v>
      </c>
      <c r="B177" s="47">
        <v>1</v>
      </c>
      <c r="C177" s="31" t="s">
        <v>46</v>
      </c>
      <c r="D177" s="48">
        <v>0.67513000000000001</v>
      </c>
      <c r="E177" s="30" t="s">
        <v>105</v>
      </c>
      <c r="F177" s="65">
        <f>D177/D99</f>
        <v>3.3756500000000002E-2</v>
      </c>
      <c r="G177" s="30" t="s">
        <v>31</v>
      </c>
      <c r="K177" s="30"/>
      <c r="Q177" s="30"/>
      <c r="U177" s="30"/>
      <c r="AB177" s="30"/>
      <c r="AF177" s="30"/>
      <c r="AI177" s="30"/>
      <c r="AL177" s="30"/>
      <c r="AP177" s="30"/>
      <c r="AS177" s="30"/>
      <c r="AW177" s="30"/>
      <c r="BA177" s="30"/>
      <c r="BE177" s="30"/>
      <c r="BI177" s="30"/>
      <c r="BL177" s="30"/>
      <c r="BP177" s="30"/>
      <c r="BS177" s="30"/>
      <c r="BW177" s="30"/>
      <c r="BZ177" s="30"/>
      <c r="CC177" s="30"/>
    </row>
    <row r="178" spans="1:81" s="63" customFormat="1" x14ac:dyDescent="0.3">
      <c r="A178" s="72" t="s">
        <v>85</v>
      </c>
      <c r="B178" s="47">
        <v>1</v>
      </c>
      <c r="C178" s="31" t="s">
        <v>125</v>
      </c>
      <c r="D178" s="48">
        <v>2.39975</v>
      </c>
      <c r="E178" s="30" t="s">
        <v>105</v>
      </c>
      <c r="F178" s="65"/>
      <c r="G178" s="30"/>
      <c r="K178" s="30"/>
      <c r="Q178" s="30"/>
      <c r="U178" s="30"/>
      <c r="AB178" s="30"/>
      <c r="AF178" s="30"/>
      <c r="AI178" s="30"/>
      <c r="AL178" s="30"/>
      <c r="AP178" s="30"/>
      <c r="AS178" s="30"/>
      <c r="AW178" s="30"/>
      <c r="BA178" s="30"/>
      <c r="BE178" s="30"/>
      <c r="BI178" s="30"/>
      <c r="BL178" s="30"/>
      <c r="BP178" s="30"/>
      <c r="BS178" s="30"/>
      <c r="BW178" s="30"/>
      <c r="BZ178" s="30"/>
      <c r="CC178" s="30"/>
    </row>
    <row r="179" spans="1:81" s="63" customFormat="1" x14ac:dyDescent="0.3">
      <c r="A179" s="68" t="s">
        <v>84</v>
      </c>
      <c r="B179" s="47">
        <v>1</v>
      </c>
      <c r="C179" s="31" t="s">
        <v>43</v>
      </c>
      <c r="D179" s="48">
        <v>746.66600000000005</v>
      </c>
      <c r="E179" s="30" t="s">
        <v>100</v>
      </c>
      <c r="F179" s="65">
        <f>D179/D107</f>
        <v>6.6666607142857144</v>
      </c>
      <c r="G179" s="30" t="s">
        <v>105</v>
      </c>
      <c r="K179" s="30"/>
      <c r="Q179" s="30"/>
      <c r="U179" s="30"/>
      <c r="AB179" s="30"/>
      <c r="AF179" s="30"/>
      <c r="AI179" s="30"/>
      <c r="AL179" s="30"/>
      <c r="AP179" s="30"/>
      <c r="AS179" s="30"/>
      <c r="AW179" s="30"/>
      <c r="BA179" s="30"/>
      <c r="BE179" s="30"/>
      <c r="BI179" s="30"/>
      <c r="BL179" s="30"/>
      <c r="BP179" s="30"/>
      <c r="BS179" s="30"/>
      <c r="BW179" s="30"/>
      <c r="BZ179" s="30"/>
      <c r="CC179" s="30"/>
    </row>
    <row r="180" spans="1:81" s="63" customFormat="1" x14ac:dyDescent="0.3">
      <c r="A180" s="68" t="s">
        <v>132</v>
      </c>
      <c r="B180" s="47">
        <v>1</v>
      </c>
      <c r="C180" s="31" t="s">
        <v>46</v>
      </c>
      <c r="D180" s="48">
        <v>250</v>
      </c>
      <c r="E180" s="30" t="s">
        <v>100</v>
      </c>
      <c r="F180" s="65">
        <f>D180/D107</f>
        <v>2.2321428571428572</v>
      </c>
      <c r="G180" s="30" t="s">
        <v>105</v>
      </c>
      <c r="K180" s="30"/>
      <c r="Q180" s="30"/>
      <c r="U180" s="30"/>
      <c r="AB180" s="30"/>
      <c r="AF180" s="30"/>
      <c r="AI180" s="30"/>
      <c r="AL180" s="30"/>
      <c r="AP180" s="30"/>
      <c r="AS180" s="30"/>
      <c r="AW180" s="30"/>
      <c r="BA180" s="30"/>
      <c r="BE180" s="30"/>
      <c r="BI180" s="30"/>
      <c r="BL180" s="30"/>
      <c r="BP180" s="30"/>
      <c r="BS180" s="30"/>
      <c r="BW180" s="30"/>
      <c r="BZ180" s="30"/>
      <c r="CC180" s="30"/>
    </row>
    <row r="181" spans="1:81" s="63" customFormat="1" x14ac:dyDescent="0.3">
      <c r="A181" s="68" t="s">
        <v>23</v>
      </c>
      <c r="B181" s="47">
        <v>1</v>
      </c>
      <c r="C181" s="31" t="s">
        <v>111</v>
      </c>
      <c r="D181" s="48">
        <v>112</v>
      </c>
      <c r="E181" s="30" t="s">
        <v>100</v>
      </c>
      <c r="F181" s="65">
        <f>D181/D107</f>
        <v>1</v>
      </c>
      <c r="G181" s="30" t="s">
        <v>105</v>
      </c>
      <c r="K181" s="30"/>
      <c r="Q181" s="30"/>
      <c r="U181" s="30"/>
      <c r="AB181" s="30"/>
      <c r="AF181" s="30"/>
      <c r="AI181" s="30"/>
      <c r="AL181" s="30"/>
      <c r="AP181" s="30"/>
      <c r="AS181" s="30"/>
      <c r="AW181" s="30"/>
      <c r="BA181" s="30"/>
      <c r="BE181" s="30"/>
      <c r="BI181" s="30"/>
      <c r="BL181" s="30"/>
      <c r="BP181" s="30"/>
      <c r="BS181" s="30"/>
      <c r="BW181" s="30"/>
      <c r="BZ181" s="30"/>
      <c r="CC181" s="30"/>
    </row>
    <row r="182" spans="1:81" s="63" customFormat="1" x14ac:dyDescent="0.3">
      <c r="A182" s="108" t="s">
        <v>133</v>
      </c>
      <c r="B182" s="47">
        <v>1</v>
      </c>
      <c r="C182" s="31" t="s">
        <v>46</v>
      </c>
      <c r="D182" s="48">
        <v>227</v>
      </c>
      <c r="E182" s="30" t="s">
        <v>100</v>
      </c>
      <c r="F182" s="65">
        <f>D182/D107</f>
        <v>2.0267857142857144</v>
      </c>
      <c r="G182" s="30" t="s">
        <v>105</v>
      </c>
      <c r="K182" s="30"/>
      <c r="Q182" s="30"/>
      <c r="U182" s="30"/>
      <c r="AB182" s="30"/>
      <c r="AF182" s="30"/>
      <c r="AI182" s="30"/>
      <c r="AL182" s="30"/>
      <c r="AP182" s="30"/>
      <c r="AS182" s="30"/>
      <c r="AW182" s="30"/>
      <c r="BA182" s="30"/>
      <c r="BE182" s="30"/>
      <c r="BI182" s="30"/>
      <c r="BL182" s="30"/>
      <c r="BP182" s="30"/>
      <c r="BS182" s="30"/>
      <c r="BW182" s="30"/>
      <c r="BZ182" s="30"/>
      <c r="CC182" s="30"/>
    </row>
    <row r="183" spans="1:81" s="63" customFormat="1" x14ac:dyDescent="0.3">
      <c r="A183" s="108"/>
      <c r="B183" s="47">
        <v>1</v>
      </c>
      <c r="C183" s="30" t="s">
        <v>125</v>
      </c>
      <c r="D183" s="63">
        <v>746.66700000000003</v>
      </c>
      <c r="E183" s="30" t="s">
        <v>100</v>
      </c>
      <c r="F183" s="48">
        <f>D183/D107</f>
        <v>6.6666696428571433</v>
      </c>
      <c r="G183" s="30" t="s">
        <v>105</v>
      </c>
      <c r="H183" s="47"/>
      <c r="K183" s="51"/>
      <c r="L183" s="47"/>
      <c r="M183" s="47"/>
      <c r="N183" s="47"/>
      <c r="Q183" s="51"/>
      <c r="U183" s="51"/>
      <c r="AB183" s="51"/>
      <c r="AF183" s="51"/>
      <c r="AI183" s="51"/>
      <c r="AL183" s="51"/>
      <c r="AP183" s="51"/>
      <c r="AS183" s="51"/>
      <c r="AW183" s="51"/>
      <c r="BA183" s="51"/>
      <c r="BE183" s="51"/>
      <c r="BI183" s="51"/>
      <c r="BL183" s="51"/>
      <c r="BP183" s="51"/>
      <c r="BS183" s="51"/>
      <c r="BW183" s="51"/>
      <c r="BZ183" s="51"/>
      <c r="CC183" s="51"/>
    </row>
    <row r="184" spans="1:81" s="63" customFormat="1" x14ac:dyDescent="0.3">
      <c r="A184" s="108"/>
      <c r="B184" s="47">
        <v>1</v>
      </c>
      <c r="C184" s="30" t="s">
        <v>43</v>
      </c>
      <c r="D184" s="48">
        <v>0.75087000000000004</v>
      </c>
      <c r="E184" s="30" t="s">
        <v>32</v>
      </c>
      <c r="F184" s="48">
        <f>D184*F182</f>
        <v>1.5218525892857144</v>
      </c>
      <c r="G184" s="30" t="s">
        <v>105</v>
      </c>
      <c r="H184" s="47"/>
      <c r="K184" s="51"/>
      <c r="L184" s="47"/>
      <c r="M184" s="47"/>
      <c r="N184" s="47"/>
      <c r="Q184" s="51"/>
      <c r="U184" s="51"/>
      <c r="AB184" s="51"/>
      <c r="AF184" s="51"/>
      <c r="AI184" s="51"/>
      <c r="AL184" s="51"/>
      <c r="AP184" s="51"/>
      <c r="AS184" s="51"/>
      <c r="AW184" s="51"/>
      <c r="BA184" s="51"/>
      <c r="BE184" s="51"/>
      <c r="BI184" s="51"/>
      <c r="BL184" s="51"/>
      <c r="BP184" s="51"/>
      <c r="BS184" s="51"/>
      <c r="BW184" s="51"/>
      <c r="BZ184" s="51"/>
      <c r="CC184" s="51"/>
    </row>
  </sheetData>
  <mergeCells count="41">
    <mergeCell ref="A182:A184"/>
    <mergeCell ref="AJ2:AK2"/>
    <mergeCell ref="AL2:AM2"/>
    <mergeCell ref="AH2:AI2"/>
    <mergeCell ref="AF2:AG2"/>
    <mergeCell ref="AD2:AE2"/>
    <mergeCell ref="AB2:AC2"/>
    <mergeCell ref="A148:A150"/>
    <mergeCell ref="A155:A156"/>
    <mergeCell ref="A158:A160"/>
    <mergeCell ref="A161:A162"/>
    <mergeCell ref="A170:A172"/>
    <mergeCell ref="A174:A175"/>
    <mergeCell ref="A136:A137"/>
    <mergeCell ref="A138:A139"/>
    <mergeCell ref="A140:A141"/>
    <mergeCell ref="A142:A143"/>
    <mergeCell ref="A144:A145"/>
    <mergeCell ref="A146:A147"/>
    <mergeCell ref="B108:B109"/>
    <mergeCell ref="C108:C109"/>
    <mergeCell ref="A125:A126"/>
    <mergeCell ref="B94:B95"/>
    <mergeCell ref="C94:C95"/>
    <mergeCell ref="D94:D95"/>
    <mergeCell ref="A122:A123"/>
    <mergeCell ref="E94:E95"/>
    <mergeCell ref="Z2:AA2"/>
    <mergeCell ref="X2:Y2"/>
    <mergeCell ref="D108:D109"/>
    <mergeCell ref="E108:E109"/>
    <mergeCell ref="T2:U2"/>
    <mergeCell ref="R2:S2"/>
    <mergeCell ref="P2:Q2"/>
    <mergeCell ref="V2:W2"/>
    <mergeCell ref="N2:O2"/>
    <mergeCell ref="H2:I2"/>
    <mergeCell ref="J2:K2"/>
    <mergeCell ref="L2:M2"/>
    <mergeCell ref="F2:G2"/>
    <mergeCell ref="D2:E2"/>
  </mergeCells>
  <pageMargins left="0.75" right="0.75" top="1" bottom="1" header="0.5" footer="0.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Intro</vt:lpstr>
      <vt:lpstr>Constinople - Prices (Imports)</vt:lpstr>
      <vt:lpstr>Constinople - Prices (Exports)</vt:lpstr>
      <vt:lpstr>Constinople - InTextPrices (Im)</vt:lpstr>
      <vt:lpstr>Constinople - InTextPrices (Ex)</vt:lpstr>
      <vt:lpstr>Constinopl-Prices(Bazaar-Local)</vt:lpstr>
      <vt:lpstr>Imports - Data (Raw&amp;Adj)</vt:lpstr>
      <vt:lpstr>Exports - Data (Raw&amp;Adj)</vt:lpstr>
      <vt:lpstr>Imports - Prices (Raw&amp;Adj)</vt:lpstr>
      <vt:lpstr>Exports - Prices (Raw&amp;Adj)</vt:lpstr>
      <vt:lpstr>Bazaar(Local)- Prices (Raw&amp;Adj)</vt:lpstr>
      <vt:lpstr>Colour Legend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Rai Ghulam Mustafa</cp:lastModifiedBy>
  <cp:lastPrinted>2018-06-13T21:10:17Z</cp:lastPrinted>
  <dcterms:created xsi:type="dcterms:W3CDTF">2016-08-19T09:32:09Z</dcterms:created>
  <dcterms:modified xsi:type="dcterms:W3CDTF">2018-11-11T18:33:20Z</dcterms:modified>
</cp:coreProperties>
</file>